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hi\Documents\Nerd Shit\rm_electrical-supercap\Design\"/>
    </mc:Choice>
  </mc:AlternateContent>
  <xr:revisionPtr revIDLastSave="0" documentId="13_ncr:1_{089C7F3B-8E6F-41B5-A8D4-09850BDE0320}" xr6:coauthVersionLast="47" xr6:coauthVersionMax="47" xr10:uidLastSave="{00000000-0000-0000-0000-000000000000}"/>
  <bookViews>
    <workbookView xWindow="-120" yWindow="-120" windowWidth="29040" windowHeight="15840" activeTab="1" xr2:uid="{54449181-DBEC-415B-9D38-DA42EECC2BCF}"/>
  </bookViews>
  <sheets>
    <sheet name="Intro" sheetId="7" r:id="rId1"/>
    <sheet name="Boost Calculations" sheetId="1" r:id="rId2"/>
    <sheet name="Small Signal" sheetId="4" r:id="rId3"/>
    <sheet name="EVM Matching" sheetId="9" state="hidden" r:id="rId4"/>
    <sheet name="Std. R and C Values" sheetId="6" state="hidden" r:id="rId5"/>
    <sheet name="partdata" sheetId="8" state="hidden" r:id="rId6"/>
  </sheets>
  <definedNames>
    <definedName name="Acs">'Small Signal'!$C$56</definedName>
    <definedName name="aol">'Small Signal'!$C$58</definedName>
    <definedName name="C_f1">'Std. R and C Values'!$K$18</definedName>
    <definedName name="C_f2">'Std. R and C Values'!$K$25</definedName>
    <definedName name="c_s1">'Std. R and C Values'!$J$7</definedName>
    <definedName name="C_s2">'Std. R and C Values'!$J$20</definedName>
    <definedName name="Cbulkss">'Small Signal'!$F$17</definedName>
    <definedName name="Ccerss">'Small Signal'!$C$54</definedName>
    <definedName name="Ccomp">'Boost Calculations'!$D$174</definedName>
    <definedName name="Ccompss">'Small Signal'!$F$11</definedName>
    <definedName name="Cffss">'Small Signal'!$C$50</definedName>
    <definedName name="Chf">'Boost Calculations'!$D$177</definedName>
    <definedName name="Chfss">'Small Signal'!$F$12</definedName>
    <definedName name="Cin_chosen">'Boost Calculations'!$D$129</definedName>
    <definedName name="Co">'Boost Calculations'!$D$83</definedName>
    <definedName name="Co_esr">'Boost Calculations'!$D$84</definedName>
    <definedName name="Cochosen">'Boost Calculations'!$D$83</definedName>
    <definedName name="Coss">'Boost Calculations'!$D$94</definedName>
    <definedName name="CVcc">'Boost Calculations'!$D$117</definedName>
    <definedName name="DCR">'Boost Calculations'!$D$59</definedName>
    <definedName name="DCRss">'Small Signal'!$F$15</definedName>
    <definedName name="devfreqmax">'Boost Calculations'!$F$186</definedName>
    <definedName name="devfreqmin">'Boost Calculations'!$D$186</definedName>
    <definedName name="dItran">'Boost Calculations'!$D$15</definedName>
    <definedName name="Dmax">'Boost Calculations'!$D$45</definedName>
    <definedName name="Dmin">'Boost Calculations'!$D$46</definedName>
    <definedName name="Dnom">'Boost Calculations'!$D$44</definedName>
    <definedName name="Dss">'Small Signal'!$F$27</definedName>
    <definedName name="dVtran">'Boost Calculations'!$D$16</definedName>
    <definedName name="E12_f">'Std. R and C Values'!$F$22</definedName>
    <definedName name="E12_s">'Std. R and C Values'!$E$11</definedName>
    <definedName name="E24_f">'Std. R and C Values'!$F$47</definedName>
    <definedName name="E24_s">'Std. R and C Values'!$E$24</definedName>
    <definedName name="E48_f">'Std. R and C Values'!$F$96</definedName>
    <definedName name="E48_s">'Std. R and C Values'!$E$49</definedName>
    <definedName name="E6_f">'Std. R and C Values'!$F$9</definedName>
    <definedName name="E6_s">'Std. R and C Values'!$E$4</definedName>
    <definedName name="E96_f">'Std. R and C Values'!$H$99</definedName>
    <definedName name="E96_s">'Std. R and C Values'!$G$4</definedName>
    <definedName name="ESRss">'Small Signal'!$F$18</definedName>
    <definedName name="Fco_target">'Boost Calculations'!$D$167</definedName>
    <definedName name="Fm">'Small Signal'!$F$30</definedName>
    <definedName name="frhpz">'Boost Calculations'!$D$161</definedName>
    <definedName name="fsw">'Boost Calculations'!$D$14*1000</definedName>
    <definedName name="fswss">'Small Signal'!$F$13</definedName>
    <definedName name="gbw">'Small Signal'!$F$36</definedName>
    <definedName name="gea">'Boost Calculations'!$E$187</definedName>
    <definedName name="gea_typ">'Boost Calculations'!$E$187</definedName>
    <definedName name="Icrit">'Boost Calculations'!$F$61</definedName>
    <definedName name="Idrive_hs">'Boost Calculations'!$D$105</definedName>
    <definedName name="Idrive_ls">'Boost Calculations'!$D$90</definedName>
    <definedName name="Ien_hys">'Boost Calculations'!$E$204</definedName>
    <definedName name="Ien_pup">'Boost Calculations'!$E$203</definedName>
    <definedName name="Iin_max">'Boost Calculations'!$D$52</definedName>
    <definedName name="Ilpeak">'Boost Calculations'!$D$64</definedName>
    <definedName name="Ilrms">'Boost Calculations'!$D$63</definedName>
    <definedName name="Iout">'Boost Calculations'!$D$13</definedName>
    <definedName name="Ioutss">'Small Signal'!$F$7</definedName>
    <definedName name="Iq">'Boost Calculations'!$E$205</definedName>
    <definedName name="Iripple">'Boost Calculations'!$D$60</definedName>
    <definedName name="Irms_cin">'Boost Calculations'!$D$130</definedName>
    <definedName name="Irms_cout">'Boost Calculations'!$D$85</definedName>
    <definedName name="Isat">'Boost Calculations'!$E$64</definedName>
    <definedName name="Iss">'Boost Calculations'!$E$206</definedName>
    <definedName name="k_3">'Small Signal'!$C$49</definedName>
    <definedName name="Kind">'Boost Calculations'!$D$53</definedName>
    <definedName name="L">'Boost Calculations'!$D$58</definedName>
    <definedName name="Lss">'Small Signal'!$F$14</definedName>
    <definedName name="M">'Small Signal'!$F$28</definedName>
    <definedName name="mc">'Small Signal'!$F$35</definedName>
    <definedName name="Pind">'Boost Calculations'!$D$65</definedName>
    <definedName name="Pls_sw">'Boost Calculations'!$D$97</definedName>
    <definedName name="_xlnm.Print_Area" localSheetId="4">'Std. R and C Values'!$A$2:$I$46</definedName>
    <definedName name="PSgain_fco">'Boost Calculations'!$D$169</definedName>
    <definedName name="Psw_cond">'Boost Calculations'!$D$92</definedName>
    <definedName name="q0">'Small Signal'!$F$33</definedName>
    <definedName name="Qg_hs">'Boost Calculations'!$D$104</definedName>
    <definedName name="Qg_ls">'Boost Calculations'!$D$89</definedName>
    <definedName name="Qgd">'Boost Calculations'!$D$95</definedName>
    <definedName name="Rcerss">'Small Signal'!$C$55</definedName>
    <definedName name="Rcomp">'Boost Calculations'!$D$172</definedName>
    <definedName name="Rcompss">'Small Signal'!$F$10</definedName>
    <definedName name="Rdson_hs">'Boost Calculations'!$D$108</definedName>
    <definedName name="Rdson_ls">'Boost Calculations'!$D$91</definedName>
    <definedName name="Rdsonss">'Small Signal'!$C$16</definedName>
    <definedName name="Rea">'Boost Calculations'!$E$188</definedName>
    <definedName name="Rffss">'Small Signal'!$C$51</definedName>
    <definedName name="Rfreq">'Boost Calculations'!$D$49</definedName>
    <definedName name="Rg_hs">'Boost Calculations'!$D$110</definedName>
    <definedName name="Rg_ls">'Boost Calculations'!$D$96</definedName>
    <definedName name="Rgd_hs">'Boost Calculations'!$D$122</definedName>
    <definedName name="Rgd_ls">'Boost Calculations'!$D$121</definedName>
    <definedName name="Rhdrv_pd">'Boost Calculations'!$E$200</definedName>
    <definedName name="Rhdrv_pu">'Boost Calculations'!$E$199</definedName>
    <definedName name="Risense">'Small Signal'!$F$19</definedName>
    <definedName name="Rldrv_pd">'Boost Calculations'!$E$198</definedName>
    <definedName name="Rldrv_pu">'Boost Calculations'!$E$197</definedName>
    <definedName name="Ro">'Boost Calculations'!$D$158</definedName>
    <definedName name="Ross">'Small Signal'!$F$29</definedName>
    <definedName name="Rsense">'Boost Calculations'!$D$71</definedName>
    <definedName name="Rsh">'Boost Calculations'!$D$137</definedName>
    <definedName name="Rshss">'Small Signal'!$F$8</definedName>
    <definedName name="Rsl">'Boost Calculations'!$D$135</definedName>
    <definedName name="Rslss">'Small Signal'!$F$9</definedName>
    <definedName name="Ruvloh">'Boost Calculations'!$D$146</definedName>
    <definedName name="Ruvlol">'Boost Calculations'!$D$148</definedName>
    <definedName name="sess">'Small Signal'!$F$32</definedName>
    <definedName name="snss">'Small Signal'!$F$31</definedName>
    <definedName name="tnonoverlap">'Boost Calculations'!$E$196</definedName>
    <definedName name="toffmin">'Boost Calculations'!$E$191</definedName>
    <definedName name="tonmin">'Boost Calculations'!$E$190</definedName>
    <definedName name="tss">'Boost Calculations'!$D$140</definedName>
    <definedName name="Vcc_typ">'Boost Calculations'!$E$194</definedName>
    <definedName name="Vcs">'Boost Calculations'!$D$69</definedName>
    <definedName name="Vcs0duty_max">'Boost Calculations'!$F$192</definedName>
    <definedName name="Vcs0duty_min">'Boost Calculations'!$D$192</definedName>
    <definedName name="vdevmax">'Boost Calculations'!$F$184</definedName>
    <definedName name="Ven_dis">'Boost Calculations'!$E$202</definedName>
    <definedName name="Ven_on">'Boost Calculations'!$E$201</definedName>
    <definedName name="vf_body">'Boost Calculations'!$D$111</definedName>
    <definedName name="Vfboot">'Boost Calculations'!$D$119</definedName>
    <definedName name="Vfboot_int">'Boost Calculations'!$E$195</definedName>
    <definedName name="Vin_Max">'Boost Calculations'!$D$9</definedName>
    <definedName name="Vin_Min">'Boost Calculations'!$D$8</definedName>
    <definedName name="Vin_Nom">'Boost Calculations'!$D$7</definedName>
    <definedName name="Vinss">'Small Signal'!$F$3</definedName>
    <definedName name="Viripple">'Boost Calculations'!$D$10</definedName>
    <definedName name="Vout">'Boost Calculations'!$D$11</definedName>
    <definedName name="Vout_ripple">'Boost Calculations'!$D$12</definedName>
    <definedName name="Voutss">'Small Signal'!$F$6</definedName>
    <definedName name="Vref">'Boost Calculations'!$E$189</definedName>
    <definedName name="Vsl">'Small Signal'!$C$57</definedName>
    <definedName name="Vstart">'Boost Calculations'!$D$17</definedName>
    <definedName name="Vstop">'Boost Calculations'!$D$18</definedName>
    <definedName name="Vth">'Boost Calculations'!$D$93</definedName>
    <definedName name="wn">'Small Signal'!$F$34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0" i="1"/>
  <c r="D108" i="1"/>
  <c r="D104" i="1"/>
  <c r="F13" i="4"/>
  <c r="F6" i="4"/>
  <c r="D10" i="1"/>
  <c r="D39" i="1"/>
  <c r="E27" i="1"/>
  <c r="E28" i="1"/>
  <c r="D31" i="1"/>
  <c r="D30" i="1"/>
  <c r="D26" i="1"/>
  <c r="D25" i="1"/>
  <c r="D106" i="1"/>
  <c r="E106" i="1"/>
  <c r="D166" i="1"/>
  <c r="C7" i="4"/>
  <c r="F7" i="4" s="1"/>
  <c r="F29" i="4" s="1"/>
  <c r="D3" i="6"/>
  <c r="K4" i="6"/>
  <c r="C5" i="6"/>
  <c r="C6" i="6"/>
  <c r="C7" i="6"/>
  <c r="L7" i="6"/>
  <c r="C8" i="6"/>
  <c r="L20" i="6"/>
  <c r="C3" i="4"/>
  <c r="F3" i="4" s="1"/>
  <c r="C4" i="4"/>
  <c r="J4" i="4"/>
  <c r="K4" i="4"/>
  <c r="L4" i="4"/>
  <c r="C5" i="4"/>
  <c r="J5" i="4"/>
  <c r="K5" i="4"/>
  <c r="L5" i="4"/>
  <c r="C6" i="4"/>
  <c r="J6" i="4"/>
  <c r="K6" i="4"/>
  <c r="J7" i="4"/>
  <c r="K7" i="4"/>
  <c r="J8" i="4"/>
  <c r="K8" i="4"/>
  <c r="C9" i="4"/>
  <c r="F9" i="4"/>
  <c r="J9" i="4"/>
  <c r="K9" i="4"/>
  <c r="J10" i="4"/>
  <c r="K10" i="4"/>
  <c r="J11" i="4"/>
  <c r="K11" i="4"/>
  <c r="Q11" i="4"/>
  <c r="J12" i="4"/>
  <c r="K12" i="4"/>
  <c r="C13" i="4"/>
  <c r="J13" i="4"/>
  <c r="K13" i="4"/>
  <c r="L13" i="4"/>
  <c r="J14" i="4"/>
  <c r="K14" i="4"/>
  <c r="C15" i="4"/>
  <c r="F15" i="4"/>
  <c r="J15" i="4"/>
  <c r="K15" i="4"/>
  <c r="L15" i="4"/>
  <c r="C16" i="4"/>
  <c r="F16" i="4"/>
  <c r="J16" i="4"/>
  <c r="K16" i="4"/>
  <c r="Q16" i="4"/>
  <c r="J17" i="4"/>
  <c r="K17" i="4"/>
  <c r="J18" i="4"/>
  <c r="K18" i="4"/>
  <c r="J19" i="4"/>
  <c r="K19" i="4"/>
  <c r="J20" i="4"/>
  <c r="K20" i="4"/>
  <c r="Q20" i="4"/>
  <c r="J21" i="4"/>
  <c r="K21" i="4"/>
  <c r="J22" i="4"/>
  <c r="K22" i="4"/>
  <c r="J23" i="4"/>
  <c r="K23" i="4"/>
  <c r="J24" i="4"/>
  <c r="K24" i="4"/>
  <c r="L24" i="4"/>
  <c r="J25" i="4"/>
  <c r="K25" i="4"/>
  <c r="J26" i="4"/>
  <c r="K26" i="4"/>
  <c r="J27" i="4"/>
  <c r="K27" i="4"/>
  <c r="J28" i="4"/>
  <c r="K28" i="4"/>
  <c r="J29" i="4"/>
  <c r="K29" i="4"/>
  <c r="L29" i="4"/>
  <c r="J30" i="4"/>
  <c r="K30" i="4"/>
  <c r="J31" i="4"/>
  <c r="K31" i="4"/>
  <c r="L31" i="4"/>
  <c r="J32" i="4"/>
  <c r="K32" i="4"/>
  <c r="J33" i="4"/>
  <c r="K33" i="4"/>
  <c r="J34" i="4"/>
  <c r="K34" i="4"/>
  <c r="J35" i="4"/>
  <c r="K35" i="4"/>
  <c r="J36" i="4"/>
  <c r="K36" i="4"/>
  <c r="Q36" i="4"/>
  <c r="J37" i="4"/>
  <c r="K37" i="4"/>
  <c r="Q37" i="4"/>
  <c r="J38" i="4"/>
  <c r="K38" i="4"/>
  <c r="J39" i="4"/>
  <c r="K39" i="4"/>
  <c r="J40" i="4"/>
  <c r="K40" i="4"/>
  <c r="Q40" i="4"/>
  <c r="J41" i="4"/>
  <c r="K41" i="4"/>
  <c r="L41" i="4"/>
  <c r="J42" i="4"/>
  <c r="K42" i="4"/>
  <c r="L42" i="4"/>
  <c r="J43" i="4"/>
  <c r="K43" i="4"/>
  <c r="J44" i="4"/>
  <c r="K44" i="4"/>
  <c r="L44" i="4"/>
  <c r="J45" i="4"/>
  <c r="K45" i="4"/>
  <c r="L45" i="4"/>
  <c r="J46" i="4"/>
  <c r="K46" i="4"/>
  <c r="J47" i="4"/>
  <c r="K47" i="4"/>
  <c r="J48" i="4"/>
  <c r="K48" i="4"/>
  <c r="Q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L57" i="4"/>
  <c r="C58" i="4"/>
  <c r="J58" i="4"/>
  <c r="K58" i="4"/>
  <c r="L58" i="4"/>
  <c r="J59" i="4"/>
  <c r="K59" i="4"/>
  <c r="J60" i="4"/>
  <c r="K60" i="4"/>
  <c r="L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L69" i="4"/>
  <c r="J70" i="4"/>
  <c r="K70" i="4"/>
  <c r="J71" i="4"/>
  <c r="K71" i="4"/>
  <c r="J72" i="4"/>
  <c r="K72" i="4"/>
  <c r="J73" i="4"/>
  <c r="K73" i="4"/>
  <c r="J74" i="4"/>
  <c r="K74" i="4"/>
  <c r="J75" i="4"/>
  <c r="K75" i="4"/>
  <c r="L75" i="4"/>
  <c r="J76" i="4"/>
  <c r="K76" i="4"/>
  <c r="J77" i="4"/>
  <c r="K77" i="4"/>
  <c r="J78" i="4"/>
  <c r="K78" i="4"/>
  <c r="Q78" i="4"/>
  <c r="J79" i="4"/>
  <c r="K79" i="4"/>
  <c r="J80" i="4"/>
  <c r="K80" i="4"/>
  <c r="J81" i="4"/>
  <c r="K81" i="4"/>
  <c r="L81" i="4"/>
  <c r="J82" i="4"/>
  <c r="K82" i="4"/>
  <c r="L82" i="4"/>
  <c r="J83" i="4"/>
  <c r="K83" i="4"/>
  <c r="J84" i="4"/>
  <c r="K84" i="4"/>
  <c r="J85" i="4"/>
  <c r="K85" i="4"/>
  <c r="J86" i="4"/>
  <c r="K86" i="4"/>
  <c r="J87" i="4"/>
  <c r="K87" i="4"/>
  <c r="J88" i="4"/>
  <c r="K88" i="4"/>
  <c r="Q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Q93" i="4"/>
  <c r="J94" i="4"/>
  <c r="K94" i="4"/>
  <c r="Q94" i="4"/>
  <c r="J95" i="4"/>
  <c r="K95" i="4"/>
  <c r="J96" i="4"/>
  <c r="K96" i="4"/>
  <c r="J97" i="4"/>
  <c r="K97" i="4"/>
  <c r="J98" i="4"/>
  <c r="K98" i="4"/>
  <c r="Q98" i="4"/>
  <c r="J99" i="4"/>
  <c r="K99" i="4"/>
  <c r="J100" i="4"/>
  <c r="K100" i="4"/>
  <c r="Q100" i="4"/>
  <c r="J101" i="4"/>
  <c r="K101" i="4"/>
  <c r="J102" i="4"/>
  <c r="K102" i="4"/>
  <c r="J103" i="4"/>
  <c r="K103" i="4"/>
  <c r="Q103" i="4"/>
  <c r="J104" i="4"/>
  <c r="K104" i="4"/>
  <c r="J105" i="4"/>
  <c r="K105" i="4"/>
  <c r="J106" i="4"/>
  <c r="K106" i="4"/>
  <c r="Q106" i="4"/>
  <c r="J107" i="4"/>
  <c r="K107" i="4"/>
  <c r="L107" i="4"/>
  <c r="J108" i="4"/>
  <c r="K108" i="4"/>
  <c r="J109" i="4"/>
  <c r="K109" i="4"/>
  <c r="J110" i="4"/>
  <c r="K110" i="4"/>
  <c r="J111" i="4"/>
  <c r="K111" i="4"/>
  <c r="Q111" i="4"/>
  <c r="J112" i="4"/>
  <c r="K112" i="4"/>
  <c r="Q112" i="4"/>
  <c r="J113" i="4"/>
  <c r="K113" i="4"/>
  <c r="J114" i="4"/>
  <c r="K114" i="4"/>
  <c r="Q114" i="4"/>
  <c r="J115" i="4"/>
  <c r="K115" i="4"/>
  <c r="J116" i="4"/>
  <c r="K116" i="4"/>
  <c r="Q116" i="4"/>
  <c r="J117" i="4"/>
  <c r="K117" i="4"/>
  <c r="J118" i="4"/>
  <c r="K118" i="4"/>
  <c r="J119" i="4"/>
  <c r="K119" i="4"/>
  <c r="Q119" i="4"/>
  <c r="J120" i="4"/>
  <c r="K120" i="4"/>
  <c r="Q120" i="4"/>
  <c r="J121" i="4"/>
  <c r="K121" i="4"/>
  <c r="J122" i="4"/>
  <c r="K122" i="4"/>
  <c r="J123" i="4"/>
  <c r="K123" i="4"/>
  <c r="Q123" i="4"/>
  <c r="J124" i="4"/>
  <c r="K124" i="4"/>
  <c r="J125" i="4"/>
  <c r="K125" i="4"/>
  <c r="J126" i="4"/>
  <c r="K126" i="4"/>
  <c r="L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Q132" i="4"/>
  <c r="J133" i="4"/>
  <c r="K133" i="4"/>
  <c r="J134" i="4"/>
  <c r="K134" i="4"/>
  <c r="J135" i="4"/>
  <c r="K135" i="4"/>
  <c r="J136" i="4"/>
  <c r="K136" i="4"/>
  <c r="J137" i="4"/>
  <c r="K137" i="4"/>
  <c r="L137" i="4"/>
  <c r="J138" i="4"/>
  <c r="K138" i="4"/>
  <c r="J139" i="4"/>
  <c r="K139" i="4"/>
  <c r="J140" i="4"/>
  <c r="K140" i="4"/>
  <c r="J141" i="4"/>
  <c r="K141" i="4"/>
  <c r="Q141" i="4"/>
  <c r="J142" i="4"/>
  <c r="K142" i="4"/>
  <c r="J143" i="4"/>
  <c r="K143" i="4"/>
  <c r="L143" i="4"/>
  <c r="J144" i="4"/>
  <c r="K144" i="4"/>
  <c r="L144" i="4"/>
  <c r="J145" i="4"/>
  <c r="K145" i="4"/>
  <c r="J146" i="4"/>
  <c r="K146" i="4"/>
  <c r="J147" i="4"/>
  <c r="K147" i="4"/>
  <c r="Q147" i="4"/>
  <c r="J148" i="4"/>
  <c r="K148" i="4"/>
  <c r="Q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L159" i="4"/>
  <c r="J160" i="4"/>
  <c r="K160" i="4"/>
  <c r="J161" i="4"/>
  <c r="K161" i="4"/>
  <c r="J162" i="4"/>
  <c r="K162" i="4"/>
  <c r="J163" i="4"/>
  <c r="K163" i="4"/>
  <c r="Q163" i="4"/>
  <c r="J164" i="4"/>
  <c r="K164" i="4"/>
  <c r="J165" i="4"/>
  <c r="K165" i="4"/>
  <c r="Q165" i="4"/>
  <c r="J166" i="4"/>
  <c r="K166" i="4"/>
  <c r="Q166" i="4"/>
  <c r="J167" i="4"/>
  <c r="K167" i="4"/>
  <c r="Q167" i="4"/>
  <c r="J168" i="4"/>
  <c r="K168" i="4"/>
  <c r="J169" i="4"/>
  <c r="K169" i="4"/>
  <c r="J170" i="4"/>
  <c r="K170" i="4"/>
  <c r="L170" i="4"/>
  <c r="J171" i="4"/>
  <c r="K171" i="4"/>
  <c r="J172" i="4"/>
  <c r="K172" i="4"/>
  <c r="J173" i="4"/>
  <c r="K173" i="4"/>
  <c r="J174" i="4"/>
  <c r="K174" i="4"/>
  <c r="L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Q185" i="4"/>
  <c r="J186" i="4"/>
  <c r="K186" i="4"/>
  <c r="J187" i="4"/>
  <c r="K187" i="4"/>
  <c r="L187" i="4"/>
  <c r="J188" i="4"/>
  <c r="K188" i="4"/>
  <c r="J189" i="4"/>
  <c r="K189" i="4"/>
  <c r="J190" i="4"/>
  <c r="K190" i="4"/>
  <c r="J191" i="4"/>
  <c r="K191" i="4"/>
  <c r="Q191" i="4"/>
  <c r="J192" i="4"/>
  <c r="K192" i="4"/>
  <c r="J193" i="4"/>
  <c r="K193" i="4"/>
  <c r="Q193" i="4"/>
  <c r="J194" i="4"/>
  <c r="K194" i="4"/>
  <c r="L194" i="4"/>
  <c r="J195" i="4"/>
  <c r="K195" i="4"/>
  <c r="J196" i="4"/>
  <c r="K196" i="4"/>
  <c r="L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Q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Q214" i="4"/>
  <c r="J215" i="4"/>
  <c r="K215" i="4"/>
  <c r="J216" i="4"/>
  <c r="K216" i="4"/>
  <c r="Q216" i="4"/>
  <c r="J217" i="4"/>
  <c r="K217" i="4"/>
  <c r="J218" i="4"/>
  <c r="K218" i="4"/>
  <c r="L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Q240" i="4"/>
  <c r="J241" i="4"/>
  <c r="K241" i="4"/>
  <c r="L241" i="4"/>
  <c r="J242" i="4"/>
  <c r="K242" i="4"/>
  <c r="J243" i="4"/>
  <c r="K243" i="4"/>
  <c r="J244" i="4"/>
  <c r="K244" i="4"/>
  <c r="L244" i="4"/>
  <c r="J245" i="4"/>
  <c r="K245" i="4"/>
  <c r="J246" i="4"/>
  <c r="K246" i="4"/>
  <c r="J247" i="4"/>
  <c r="K247" i="4"/>
  <c r="Q247" i="4"/>
  <c r="J248" i="4"/>
  <c r="K248" i="4"/>
  <c r="J249" i="4"/>
  <c r="K249" i="4"/>
  <c r="J250" i="4"/>
  <c r="K250" i="4"/>
  <c r="L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L257" i="4"/>
  <c r="J258" i="4"/>
  <c r="K258" i="4"/>
  <c r="J259" i="4"/>
  <c r="K259" i="4"/>
  <c r="J260" i="4"/>
  <c r="K260" i="4"/>
  <c r="Q260" i="4"/>
  <c r="J261" i="4"/>
  <c r="K261" i="4"/>
  <c r="Q261" i="4"/>
  <c r="J262" i="4"/>
  <c r="K262" i="4"/>
  <c r="J263" i="4"/>
  <c r="K263" i="4"/>
  <c r="J264" i="4"/>
  <c r="K264" i="4"/>
  <c r="L264" i="4"/>
  <c r="J265" i="4"/>
  <c r="K265" i="4"/>
  <c r="J266" i="4"/>
  <c r="K266" i="4"/>
  <c r="J267" i="4"/>
  <c r="K267" i="4"/>
  <c r="L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L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L287" i="4"/>
  <c r="J288" i="4"/>
  <c r="K288" i="4"/>
  <c r="J289" i="4"/>
  <c r="K289" i="4"/>
  <c r="J290" i="4"/>
  <c r="K290" i="4"/>
  <c r="L290" i="4"/>
  <c r="J291" i="4"/>
  <c r="K291" i="4"/>
  <c r="Q291" i="4"/>
  <c r="J292" i="4"/>
  <c r="K292" i="4"/>
  <c r="Q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Q298" i="4"/>
  <c r="J299" i="4"/>
  <c r="K299" i="4"/>
  <c r="L299" i="4"/>
  <c r="J300" i="4"/>
  <c r="K300" i="4"/>
  <c r="Q300" i="4"/>
  <c r="J301" i="4"/>
  <c r="K301" i="4"/>
  <c r="Q301" i="4"/>
  <c r="J302" i="4"/>
  <c r="K302" i="4"/>
  <c r="Q302" i="4"/>
  <c r="J303" i="4"/>
  <c r="K303" i="4"/>
  <c r="J304" i="4"/>
  <c r="K304" i="4"/>
  <c r="J305" i="4"/>
  <c r="K305" i="4"/>
  <c r="J306" i="4"/>
  <c r="K306" i="4"/>
  <c r="Q306" i="4"/>
  <c r="J307" i="4"/>
  <c r="K307" i="4"/>
  <c r="J308" i="4"/>
  <c r="K308" i="4"/>
  <c r="Q308" i="4"/>
  <c r="J309" i="4"/>
  <c r="K309" i="4"/>
  <c r="J310" i="4"/>
  <c r="K310" i="4"/>
  <c r="L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L323" i="4"/>
  <c r="J324" i="4"/>
  <c r="K324" i="4"/>
  <c r="L324" i="4"/>
  <c r="J325" i="4"/>
  <c r="K325" i="4"/>
  <c r="J326" i="4"/>
  <c r="K326" i="4"/>
  <c r="L326" i="4"/>
  <c r="J327" i="4"/>
  <c r="K327" i="4"/>
  <c r="J328" i="4"/>
  <c r="K328" i="4"/>
  <c r="J329" i="4"/>
  <c r="K329" i="4"/>
  <c r="J330" i="4"/>
  <c r="K330" i="4"/>
  <c r="L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L342" i="4"/>
  <c r="J343" i="4"/>
  <c r="K343" i="4"/>
  <c r="Q343" i="4"/>
  <c r="J344" i="4"/>
  <c r="K344" i="4"/>
  <c r="L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L353" i="4"/>
  <c r="J354" i="4"/>
  <c r="K354" i="4"/>
  <c r="J355" i="4"/>
  <c r="K355" i="4"/>
  <c r="J356" i="4"/>
  <c r="K356" i="4"/>
  <c r="Q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Q364" i="4"/>
  <c r="L364" i="4"/>
  <c r="J365" i="4"/>
  <c r="K365" i="4"/>
  <c r="J366" i="4"/>
  <c r="K366" i="4"/>
  <c r="J367" i="4"/>
  <c r="K367" i="4"/>
  <c r="L367" i="4"/>
  <c r="J368" i="4"/>
  <c r="K368" i="4"/>
  <c r="J369" i="4"/>
  <c r="K369" i="4"/>
  <c r="J370" i="4"/>
  <c r="K370" i="4"/>
  <c r="J371" i="4"/>
  <c r="K371" i="4"/>
  <c r="J372" i="4"/>
  <c r="K372" i="4"/>
  <c r="Q372" i="4"/>
  <c r="J373" i="4"/>
  <c r="K373" i="4"/>
  <c r="J374" i="4"/>
  <c r="K374" i="4"/>
  <c r="J375" i="4"/>
  <c r="K375" i="4"/>
  <c r="L375" i="4"/>
  <c r="J376" i="4"/>
  <c r="K376" i="4"/>
  <c r="J377" i="4"/>
  <c r="K377" i="4"/>
  <c r="Q377" i="4"/>
  <c r="J378" i="4"/>
  <c r="K378" i="4"/>
  <c r="J379" i="4"/>
  <c r="K379" i="4"/>
  <c r="J380" i="4"/>
  <c r="K380" i="4"/>
  <c r="J381" i="4"/>
  <c r="K381" i="4"/>
  <c r="L381" i="4"/>
  <c r="J382" i="4"/>
  <c r="K382" i="4"/>
  <c r="J383" i="4"/>
  <c r="K383" i="4"/>
  <c r="L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Q390" i="4"/>
  <c r="J391" i="4"/>
  <c r="K391" i="4"/>
  <c r="J392" i="4"/>
  <c r="K392" i="4"/>
  <c r="J393" i="4"/>
  <c r="K393" i="4"/>
  <c r="Q393" i="4"/>
  <c r="J394" i="4"/>
  <c r="K394" i="4"/>
  <c r="J395" i="4"/>
  <c r="K395" i="4"/>
  <c r="J396" i="4"/>
  <c r="K396" i="4"/>
  <c r="L396" i="4"/>
  <c r="J397" i="4"/>
  <c r="K397" i="4"/>
  <c r="J398" i="4"/>
  <c r="K398" i="4"/>
  <c r="J399" i="4"/>
  <c r="K399" i="4"/>
  <c r="J400" i="4"/>
  <c r="K400" i="4"/>
  <c r="L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Q406" i="4"/>
  <c r="J407" i="4"/>
  <c r="K407" i="4"/>
  <c r="J408" i="4"/>
  <c r="K408" i="4"/>
  <c r="L408" i="4"/>
  <c r="J409" i="4"/>
  <c r="K409" i="4"/>
  <c r="J410" i="4"/>
  <c r="K410" i="4"/>
  <c r="J411" i="4"/>
  <c r="K411" i="4"/>
  <c r="Q411" i="4"/>
  <c r="J412" i="4"/>
  <c r="K412" i="4"/>
  <c r="Q412" i="4"/>
  <c r="J413" i="4"/>
  <c r="K413" i="4"/>
  <c r="J414" i="4"/>
  <c r="K414" i="4"/>
  <c r="Q414" i="4"/>
  <c r="J415" i="4"/>
  <c r="K415" i="4"/>
  <c r="J416" i="4"/>
  <c r="K416" i="4"/>
  <c r="Q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Q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Q429" i="4"/>
  <c r="J430" i="4"/>
  <c r="K430" i="4"/>
  <c r="J431" i="4"/>
  <c r="K431" i="4"/>
  <c r="Q431" i="4"/>
  <c r="J432" i="4"/>
  <c r="K432" i="4"/>
  <c r="J433" i="4"/>
  <c r="K433" i="4"/>
  <c r="J434" i="4"/>
  <c r="K434" i="4"/>
  <c r="Q434" i="4"/>
  <c r="J435" i="4"/>
  <c r="K435" i="4"/>
  <c r="Q435" i="4"/>
  <c r="J436" i="4"/>
  <c r="K436" i="4"/>
  <c r="J437" i="4"/>
  <c r="K437" i="4"/>
  <c r="L437" i="4"/>
  <c r="J438" i="4"/>
  <c r="K438" i="4"/>
  <c r="J439" i="4"/>
  <c r="K439" i="4"/>
  <c r="J440" i="4"/>
  <c r="K440" i="4"/>
  <c r="Q440" i="4"/>
  <c r="J441" i="4"/>
  <c r="K441" i="4"/>
  <c r="J442" i="4"/>
  <c r="K442" i="4"/>
  <c r="J443" i="4"/>
  <c r="K443" i="4"/>
  <c r="Q443" i="4"/>
  <c r="L443" i="4"/>
  <c r="J444" i="4"/>
  <c r="K444" i="4"/>
  <c r="J445" i="4"/>
  <c r="K445" i="4"/>
  <c r="J446" i="4"/>
  <c r="K446" i="4"/>
  <c r="L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L465" i="4"/>
  <c r="Q465" i="4"/>
  <c r="J466" i="4"/>
  <c r="K466" i="4"/>
  <c r="J467" i="4"/>
  <c r="K467" i="4"/>
  <c r="J468" i="4"/>
  <c r="K468" i="4"/>
  <c r="J469" i="4"/>
  <c r="K469" i="4"/>
  <c r="L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Q477" i="4"/>
  <c r="J478" i="4"/>
  <c r="K478" i="4"/>
  <c r="Q478" i="4"/>
  <c r="J479" i="4"/>
  <c r="K479" i="4"/>
  <c r="J480" i="4"/>
  <c r="K480" i="4"/>
  <c r="Q480" i="4"/>
  <c r="J481" i="4"/>
  <c r="K481" i="4"/>
  <c r="Q481" i="4"/>
  <c r="J482" i="4"/>
  <c r="K482" i="4"/>
  <c r="L482" i="4"/>
  <c r="J483" i="4"/>
  <c r="K483" i="4"/>
  <c r="L483" i="4"/>
  <c r="Q483" i="4"/>
  <c r="J484" i="4"/>
  <c r="K484" i="4"/>
  <c r="J485" i="4"/>
  <c r="K485" i="4"/>
  <c r="L485" i="4"/>
  <c r="J486" i="4"/>
  <c r="K486" i="4"/>
  <c r="J487" i="4"/>
  <c r="K487" i="4"/>
  <c r="Q487" i="4"/>
  <c r="J488" i="4"/>
  <c r="K488" i="4"/>
  <c r="J489" i="4"/>
  <c r="K489" i="4"/>
  <c r="Q489" i="4"/>
  <c r="L489" i="4"/>
  <c r="J490" i="4"/>
  <c r="K490" i="4"/>
  <c r="Q490" i="4"/>
  <c r="J491" i="4"/>
  <c r="K491" i="4"/>
  <c r="L491" i="4"/>
  <c r="J492" i="4"/>
  <c r="K492" i="4"/>
  <c r="J493" i="4"/>
  <c r="K493" i="4"/>
  <c r="Q493" i="4"/>
  <c r="J494" i="4"/>
  <c r="K494" i="4"/>
  <c r="J495" i="4"/>
  <c r="K495" i="4"/>
  <c r="Q495" i="4"/>
  <c r="L495" i="4"/>
  <c r="J496" i="4"/>
  <c r="K496" i="4"/>
  <c r="J497" i="4"/>
  <c r="K497" i="4"/>
  <c r="J498" i="4"/>
  <c r="K498" i="4"/>
  <c r="L498" i="4"/>
  <c r="J499" i="4"/>
  <c r="K499" i="4"/>
  <c r="J500" i="4"/>
  <c r="K500" i="4"/>
  <c r="L500" i="4"/>
  <c r="J501" i="4"/>
  <c r="K501" i="4"/>
  <c r="J502" i="4"/>
  <c r="K502" i="4"/>
  <c r="Q502" i="4"/>
  <c r="J503" i="4"/>
  <c r="K503" i="4"/>
  <c r="J504" i="4"/>
  <c r="K504" i="4"/>
  <c r="E187" i="1"/>
  <c r="E188" i="1"/>
  <c r="E194" i="1"/>
  <c r="E25" i="1"/>
  <c r="E195" i="1"/>
  <c r="D119" i="1"/>
  <c r="D118" i="1"/>
  <c r="D28" i="1"/>
  <c r="E197" i="1"/>
  <c r="E198" i="1"/>
  <c r="E199" i="1"/>
  <c r="D123" i="1"/>
  <c r="E200" i="1"/>
  <c r="D16" i="1"/>
  <c r="E21" i="1"/>
  <c r="D37" i="1"/>
  <c r="D43" i="1"/>
  <c r="E43" i="1"/>
  <c r="D44" i="1"/>
  <c r="E68" i="1" s="1"/>
  <c r="E74" i="1" s="1"/>
  <c r="D45" i="1"/>
  <c r="E47" i="1" s="1"/>
  <c r="D46" i="1"/>
  <c r="F69" i="1" s="1"/>
  <c r="F73" i="1" s="1"/>
  <c r="D90" i="1"/>
  <c r="D105" i="1"/>
  <c r="D125" i="1"/>
  <c r="D145" i="1"/>
  <c r="E145" i="1"/>
  <c r="D146" i="1" s="1"/>
  <c r="D136" i="1"/>
  <c r="E136" i="1"/>
  <c r="D137" i="1" s="1"/>
  <c r="D48" i="1"/>
  <c r="E48" i="1"/>
  <c r="D49" i="1" s="1"/>
  <c r="D36" i="1" s="1"/>
  <c r="D141" i="1"/>
  <c r="E141" i="1"/>
  <c r="D142" i="1" s="1"/>
  <c r="D23" i="1" s="1"/>
  <c r="D158" i="1"/>
  <c r="D161" i="1" s="1"/>
  <c r="D165" i="1" s="1"/>
  <c r="D167" i="1" s="1"/>
  <c r="D15" i="1"/>
  <c r="Q326" i="4"/>
  <c r="Q44" i="4"/>
  <c r="L40" i="4"/>
  <c r="L147" i="4"/>
  <c r="L343" i="4"/>
  <c r="L103" i="4"/>
  <c r="L37" i="4"/>
  <c r="L141" i="4"/>
  <c r="Q81" i="4"/>
  <c r="Q196" i="4"/>
  <c r="L216" i="4"/>
  <c r="L377" i="4"/>
  <c r="L112" i="4"/>
  <c r="L185" i="4"/>
  <c r="L20" i="4"/>
  <c r="Q287" i="4"/>
  <c r="Q45" i="4"/>
  <c r="L261" i="4"/>
  <c r="Q241" i="4"/>
  <c r="Q24" i="4"/>
  <c r="L301" i="4"/>
  <c r="Q290" i="4"/>
  <c r="L66" i="4"/>
  <c r="Q66" i="4"/>
  <c r="L390" i="4"/>
  <c r="L248" i="4"/>
  <c r="Q248" i="4"/>
  <c r="Q29" i="4"/>
  <c r="Q15" i="4"/>
  <c r="Q264" i="4"/>
  <c r="L39" i="4"/>
  <c r="Q39" i="4"/>
  <c r="Q381" i="4"/>
  <c r="L243" i="4"/>
  <c r="Q243" i="4"/>
  <c r="L179" i="4"/>
  <c r="Q179" i="4"/>
  <c r="Q72" i="4"/>
  <c r="L72" i="4"/>
  <c r="L302" i="4"/>
  <c r="Q187" i="4"/>
  <c r="Q57" i="4"/>
  <c r="L193" i="4"/>
  <c r="L111" i="4"/>
  <c r="Q375" i="4"/>
  <c r="L114" i="4"/>
  <c r="L406" i="4"/>
  <c r="L306" i="4"/>
  <c r="Q133" i="4"/>
  <c r="L133" i="4"/>
  <c r="Q408" i="4"/>
  <c r="Q299" i="4"/>
  <c r="L260" i="4"/>
  <c r="L163" i="4"/>
  <c r="Q107" i="4"/>
  <c r="Q90" i="4"/>
  <c r="Q92" i="4"/>
  <c r="Q304" i="4"/>
  <c r="L304" i="4"/>
  <c r="Q437" i="4"/>
  <c r="L481" i="4"/>
  <c r="Q367" i="4"/>
  <c r="Q324" i="4"/>
  <c r="Q143" i="4"/>
  <c r="L88" i="4"/>
  <c r="Q69" i="4"/>
  <c r="Q5" i="4"/>
  <c r="L167" i="4"/>
  <c r="L106" i="4"/>
  <c r="L120" i="4"/>
  <c r="Q383" i="4"/>
  <c r="L36" i="4"/>
  <c r="Q75" i="4"/>
  <c r="Q485" i="4"/>
  <c r="L365" i="4"/>
  <c r="Q365" i="4"/>
  <c r="L289" i="4"/>
  <c r="Q289" i="4"/>
  <c r="L411" i="4"/>
  <c r="L308" i="4"/>
  <c r="L203" i="4"/>
  <c r="Q203" i="4"/>
  <c r="L173" i="4"/>
  <c r="Q173" i="4"/>
  <c r="Q374" i="4"/>
  <c r="L374" i="4"/>
  <c r="Q204" i="4"/>
  <c r="L204" i="4"/>
  <c r="Q194" i="4"/>
  <c r="Q124" i="4"/>
  <c r="L124" i="4"/>
  <c r="Q101" i="4"/>
  <c r="L101" i="4"/>
  <c r="Q33" i="4"/>
  <c r="L33" i="4"/>
  <c r="Q137" i="4"/>
  <c r="Q330" i="4"/>
  <c r="L393" i="4"/>
  <c r="Q170" i="4"/>
  <c r="Q344" i="4"/>
  <c r="Q274" i="4"/>
  <c r="Q310" i="4"/>
  <c r="Q244" i="4"/>
  <c r="Q323" i="4"/>
  <c r="L292" i="4"/>
  <c r="L98" i="4"/>
  <c r="L422" i="4"/>
  <c r="L414" i="4"/>
  <c r="L412" i="4"/>
  <c r="L284" i="4"/>
  <c r="Q284" i="4"/>
  <c r="Q252" i="4"/>
  <c r="L252" i="4"/>
  <c r="Q250" i="4"/>
  <c r="Q142" i="4"/>
  <c r="L142" i="4"/>
  <c r="L48" i="4"/>
  <c r="Q41" i="4"/>
  <c r="Q18" i="4"/>
  <c r="L18" i="4"/>
  <c r="L10" i="4"/>
  <c r="Q10" i="4"/>
  <c r="Q21" i="4"/>
  <c r="L21" i="4"/>
  <c r="L11" i="4"/>
  <c r="Q58" i="4"/>
  <c r="L298" i="4"/>
  <c r="L296" i="4"/>
  <c r="Q296" i="4"/>
  <c r="L259" i="4"/>
  <c r="Q259" i="4"/>
  <c r="Q144" i="4"/>
  <c r="L132" i="4"/>
  <c r="Q91" i="4"/>
  <c r="Q85" i="4"/>
  <c r="L85" i="4"/>
  <c r="Q245" i="4"/>
  <c r="L245" i="4"/>
  <c r="L207" i="4"/>
  <c r="Q174" i="4"/>
  <c r="L166" i="4"/>
  <c r="L151" i="4"/>
  <c r="Q151" i="4"/>
  <c r="L140" i="4"/>
  <c r="Q140" i="4"/>
  <c r="L78" i="4"/>
  <c r="Q469" i="4"/>
  <c r="L434" i="4"/>
  <c r="L431" i="4"/>
  <c r="L211" i="4"/>
  <c r="Q211" i="4"/>
  <c r="L178" i="4"/>
  <c r="Q178" i="4"/>
  <c r="Q146" i="4"/>
  <c r="L146" i="4"/>
  <c r="L97" i="4"/>
  <c r="Q97" i="4"/>
  <c r="L93" i="4"/>
  <c r="Q89" i="4"/>
  <c r="L73" i="4"/>
  <c r="Q73" i="4"/>
  <c r="Q71" i="4"/>
  <c r="L71" i="4"/>
  <c r="Q65" i="4"/>
  <c r="L65" i="4"/>
  <c r="Q60" i="4"/>
  <c r="Q52" i="4"/>
  <c r="L52" i="4"/>
  <c r="Q31" i="4"/>
  <c r="Q207" i="4"/>
  <c r="Q491" i="4"/>
  <c r="Q455" i="4"/>
  <c r="L455" i="4"/>
  <c r="L435" i="4"/>
  <c r="Q353" i="4"/>
  <c r="L300" i="4"/>
  <c r="L291" i="4"/>
  <c r="Q267" i="4"/>
  <c r="L263" i="4"/>
  <c r="Q263" i="4"/>
  <c r="Q218" i="4"/>
  <c r="L214" i="4"/>
  <c r="Q126" i="4"/>
  <c r="L117" i="4"/>
  <c r="Q117" i="4"/>
  <c r="L109" i="4"/>
  <c r="Q109" i="4"/>
  <c r="L17" i="4"/>
  <c r="Q17" i="4"/>
  <c r="Q13" i="4"/>
  <c r="Q4" i="4"/>
  <c r="L490" i="4"/>
  <c r="Q446" i="4"/>
  <c r="L429" i="4"/>
  <c r="Q400" i="4"/>
  <c r="L325" i="4"/>
  <c r="Q325" i="4"/>
  <c r="Q271" i="4"/>
  <c r="L271" i="4"/>
  <c r="Q262" i="4"/>
  <c r="L262" i="4"/>
  <c r="L255" i="4"/>
  <c r="Q255" i="4"/>
  <c r="L247" i="4"/>
  <c r="L199" i="4"/>
  <c r="Q199" i="4"/>
  <c r="Q128" i="4"/>
  <c r="L128" i="4"/>
  <c r="L123" i="4"/>
  <c r="L119" i="4"/>
  <c r="L100" i="4"/>
  <c r="Q82" i="4"/>
  <c r="Q46" i="4"/>
  <c r="L46" i="4"/>
  <c r="Q19" i="4"/>
  <c r="L19" i="4"/>
  <c r="L16" i="4"/>
  <c r="L206" i="4"/>
  <c r="L70" i="4"/>
  <c r="Q70" i="4"/>
  <c r="L487" i="4"/>
  <c r="L502" i="4"/>
  <c r="Q266" i="4"/>
  <c r="L266" i="4"/>
  <c r="Q168" i="4"/>
  <c r="L168" i="4"/>
  <c r="L165" i="4"/>
  <c r="L145" i="4"/>
  <c r="Q145" i="4"/>
  <c r="Q131" i="4"/>
  <c r="L131" i="4"/>
  <c r="L104" i="4"/>
  <c r="Q104" i="4"/>
  <c r="Q51" i="4"/>
  <c r="L51" i="4"/>
  <c r="L94" i="4"/>
  <c r="D32" i="1"/>
  <c r="C19" i="4"/>
  <c r="F19" i="4" s="1"/>
  <c r="D159" i="1"/>
  <c r="D72" i="1"/>
  <c r="E32" i="1" s="1"/>
  <c r="E159" i="1"/>
  <c r="Q504" i="4"/>
  <c r="L504" i="4"/>
  <c r="Q500" i="4"/>
  <c r="Q498" i="4"/>
  <c r="L480" i="4"/>
  <c r="Q442" i="4"/>
  <c r="L442" i="4"/>
  <c r="L440" i="4"/>
  <c r="L372" i="4"/>
  <c r="Q360" i="4"/>
  <c r="L360" i="4"/>
  <c r="Q358" i="4"/>
  <c r="L358" i="4"/>
  <c r="L356" i="4"/>
  <c r="Q354" i="4"/>
  <c r="L354" i="4"/>
  <c r="L352" i="4"/>
  <c r="Q352" i="4"/>
  <c r="Q342" i="4"/>
  <c r="Q337" i="4"/>
  <c r="L337" i="4"/>
  <c r="Q321" i="4"/>
  <c r="L321" i="4"/>
  <c r="Q276" i="4"/>
  <c r="L276" i="4"/>
  <c r="L240" i="4"/>
  <c r="L238" i="4"/>
  <c r="Q238" i="4"/>
  <c r="Q236" i="4"/>
  <c r="L236" i="4"/>
  <c r="Q230" i="4"/>
  <c r="L230" i="4"/>
  <c r="Q228" i="4"/>
  <c r="L228" i="4"/>
  <c r="L190" i="4"/>
  <c r="Q190" i="4"/>
  <c r="Q183" i="4"/>
  <c r="L183" i="4"/>
  <c r="L181" i="4"/>
  <c r="Q181" i="4"/>
  <c r="Q176" i="4"/>
  <c r="L176" i="4"/>
  <c r="L171" i="4"/>
  <c r="Q171" i="4"/>
  <c r="Q164" i="4"/>
  <c r="L164" i="4"/>
  <c r="Q161" i="4"/>
  <c r="L161" i="4"/>
  <c r="Q158" i="4"/>
  <c r="L158" i="4"/>
  <c r="L155" i="4"/>
  <c r="Q155" i="4"/>
  <c r="Q152" i="4"/>
  <c r="L152" i="4"/>
  <c r="L149" i="4"/>
  <c r="Q149" i="4"/>
  <c r="L135" i="4"/>
  <c r="Q135" i="4"/>
  <c r="L127" i="4"/>
  <c r="Q127" i="4"/>
  <c r="Q122" i="4"/>
  <c r="L122" i="4"/>
  <c r="Q110" i="4"/>
  <c r="L110" i="4"/>
  <c r="Q102" i="4"/>
  <c r="L102" i="4"/>
  <c r="Q87" i="4"/>
  <c r="L87" i="4"/>
  <c r="L76" i="4"/>
  <c r="Q76" i="4"/>
  <c r="L62" i="4"/>
  <c r="Q62" i="4"/>
  <c r="Q59" i="4"/>
  <c r="L59" i="4"/>
  <c r="Q56" i="4"/>
  <c r="L56" i="4"/>
  <c r="Q54" i="4"/>
  <c r="L54" i="4"/>
  <c r="Q34" i="4"/>
  <c r="L34" i="4"/>
  <c r="Q28" i="4"/>
  <c r="L28" i="4"/>
  <c r="L25" i="4"/>
  <c r="Q25" i="4"/>
  <c r="L22" i="4"/>
  <c r="Q22" i="4"/>
  <c r="L12" i="4"/>
  <c r="Q12" i="4"/>
  <c r="Q9" i="4"/>
  <c r="L9" i="4"/>
  <c r="Q6" i="4"/>
  <c r="L6" i="4"/>
  <c r="Q503" i="4"/>
  <c r="L503" i="4"/>
  <c r="Q501" i="4"/>
  <c r="L501" i="4"/>
  <c r="Q482" i="4"/>
  <c r="L479" i="4"/>
  <c r="Q479" i="4"/>
  <c r="L477" i="4"/>
  <c r="Q463" i="4"/>
  <c r="L463" i="4"/>
  <c r="Q453" i="4"/>
  <c r="L453" i="4"/>
  <c r="L417" i="4"/>
  <c r="Q417" i="4"/>
  <c r="L373" i="4"/>
  <c r="Q373" i="4"/>
  <c r="L371" i="4"/>
  <c r="Q371" i="4"/>
  <c r="L369" i="4"/>
  <c r="Q369" i="4"/>
  <c r="Q366" i="4"/>
  <c r="L366" i="4"/>
  <c r="L362" i="4"/>
  <c r="Q362" i="4"/>
  <c r="Q359" i="4"/>
  <c r="L359" i="4"/>
  <c r="Q357" i="4"/>
  <c r="L357" i="4"/>
  <c r="L355" i="4"/>
  <c r="Q355" i="4"/>
  <c r="Q349" i="4"/>
  <c r="L349" i="4"/>
  <c r="Q347" i="4"/>
  <c r="L347" i="4"/>
  <c r="Q341" i="4"/>
  <c r="L341" i="4"/>
  <c r="L339" i="4"/>
  <c r="Q339" i="4"/>
  <c r="Q335" i="4"/>
  <c r="L335" i="4"/>
  <c r="Q327" i="4"/>
  <c r="L327" i="4"/>
  <c r="Q319" i="4"/>
  <c r="L319" i="4"/>
  <c r="L282" i="4"/>
  <c r="Q282" i="4"/>
  <c r="Q278" i="4"/>
  <c r="L278" i="4"/>
  <c r="Q234" i="4"/>
  <c r="L234" i="4"/>
  <c r="Q231" i="4"/>
  <c r="L231" i="4"/>
  <c r="L229" i="4"/>
  <c r="Q229" i="4"/>
  <c r="L201" i="4"/>
  <c r="Q201" i="4"/>
  <c r="L191" i="4"/>
  <c r="L184" i="4"/>
  <c r="Q184" i="4"/>
  <c r="Q180" i="4"/>
  <c r="L180" i="4"/>
  <c r="L177" i="4"/>
  <c r="Q177" i="4"/>
  <c r="Q175" i="4"/>
  <c r="L175" i="4"/>
  <c r="L172" i="4"/>
  <c r="Q172" i="4"/>
  <c r="Q160" i="4"/>
  <c r="L160" i="4"/>
  <c r="L156" i="4"/>
  <c r="Q156" i="4"/>
  <c r="Q154" i="4"/>
  <c r="L154" i="4"/>
  <c r="L150" i="4"/>
  <c r="Q150" i="4"/>
  <c r="L139" i="4"/>
  <c r="Q139" i="4"/>
  <c r="Q136" i="4"/>
  <c r="L136" i="4"/>
  <c r="Q118" i="4"/>
  <c r="L118" i="4"/>
  <c r="Q96" i="4"/>
  <c r="L96" i="4"/>
  <c r="L86" i="4"/>
  <c r="Q86" i="4"/>
  <c r="L83" i="4"/>
  <c r="Q83" i="4"/>
  <c r="L80" i="4"/>
  <c r="Q80" i="4"/>
  <c r="Q77" i="4"/>
  <c r="L77" i="4"/>
  <c r="Q64" i="4"/>
  <c r="L64" i="4"/>
  <c r="Q61" i="4"/>
  <c r="L61" i="4"/>
  <c r="L55" i="4"/>
  <c r="Q55" i="4"/>
  <c r="Q49" i="4"/>
  <c r="L49" i="4"/>
  <c r="L38" i="4"/>
  <c r="Q38" i="4"/>
  <c r="L35" i="4"/>
  <c r="Q35" i="4"/>
  <c r="L27" i="4"/>
  <c r="Q27" i="4"/>
  <c r="Q23" i="4"/>
  <c r="L23" i="4"/>
  <c r="F32" i="4"/>
  <c r="F34" i="4"/>
  <c r="Q7" i="4"/>
  <c r="L7" i="4"/>
  <c r="Q472" i="4"/>
  <c r="L472" i="4"/>
  <c r="Q427" i="4"/>
  <c r="L427" i="4"/>
  <c r="L415" i="4"/>
  <c r="Q415" i="4"/>
  <c r="L388" i="4"/>
  <c r="Q388" i="4"/>
  <c r="Q474" i="4"/>
  <c r="L474" i="4"/>
  <c r="Q396" i="4"/>
  <c r="D54" i="1"/>
  <c r="D56" i="1"/>
  <c r="D52" i="1"/>
  <c r="D97" i="1"/>
  <c r="D69" i="1"/>
  <c r="D73" i="1" s="1"/>
  <c r="Q419" i="4"/>
  <c r="L419" i="4"/>
  <c r="D47" i="1"/>
  <c r="D55" i="1"/>
  <c r="D57" i="1"/>
  <c r="Q497" i="4"/>
  <c r="L497" i="4"/>
  <c r="L488" i="4"/>
  <c r="Q488" i="4"/>
  <c r="L473" i="4"/>
  <c r="Q473" i="4"/>
  <c r="L470" i="4"/>
  <c r="Q470" i="4"/>
  <c r="L468" i="4"/>
  <c r="Q468" i="4"/>
  <c r="L462" i="4"/>
  <c r="Q462" i="4"/>
  <c r="L460" i="4"/>
  <c r="Q460" i="4"/>
  <c r="Q458" i="4"/>
  <c r="L458" i="4"/>
  <c r="L456" i="4"/>
  <c r="Q456" i="4"/>
  <c r="L452" i="4"/>
  <c r="Q452" i="4"/>
  <c r="Q450" i="4"/>
  <c r="L450" i="4"/>
  <c r="L444" i="4"/>
  <c r="Q444" i="4"/>
  <c r="Q430" i="4"/>
  <c r="L430" i="4"/>
  <c r="Q407" i="4"/>
  <c r="L407" i="4"/>
  <c r="L405" i="4"/>
  <c r="Q405" i="4"/>
  <c r="L403" i="4"/>
  <c r="Q403" i="4"/>
  <c r="Q401" i="4"/>
  <c r="L401" i="4"/>
  <c r="L399" i="4"/>
  <c r="Q399" i="4"/>
  <c r="Q397" i="4"/>
  <c r="L397" i="4"/>
  <c r="Q394" i="4"/>
  <c r="L394" i="4"/>
  <c r="L392" i="4"/>
  <c r="Q392" i="4"/>
  <c r="L387" i="4"/>
  <c r="Q387" i="4"/>
  <c r="L385" i="4"/>
  <c r="Q385" i="4"/>
  <c r="L380" i="4"/>
  <c r="Q380" i="4"/>
  <c r="L378" i="4"/>
  <c r="Q378" i="4"/>
  <c r="L376" i="4"/>
  <c r="Q376" i="4"/>
  <c r="Q350" i="4"/>
  <c r="L350" i="4"/>
  <c r="L346" i="4"/>
  <c r="Q346" i="4"/>
  <c r="Q338" i="4"/>
  <c r="L338" i="4"/>
  <c r="Q334" i="4"/>
  <c r="L334" i="4"/>
  <c r="L332" i="4"/>
  <c r="Q332" i="4"/>
  <c r="Q322" i="4"/>
  <c r="L322" i="4"/>
  <c r="Q318" i="4"/>
  <c r="L318" i="4"/>
  <c r="L316" i="4"/>
  <c r="Q316" i="4"/>
  <c r="Q314" i="4"/>
  <c r="L314" i="4"/>
  <c r="L312" i="4"/>
  <c r="Q312" i="4"/>
  <c r="Q307" i="4"/>
  <c r="L307" i="4"/>
  <c r="L303" i="4"/>
  <c r="Q303" i="4"/>
  <c r="L295" i="4"/>
  <c r="Q295" i="4"/>
  <c r="Q285" i="4"/>
  <c r="L285" i="4"/>
  <c r="Q281" i="4"/>
  <c r="L281" i="4"/>
  <c r="L277" i="4"/>
  <c r="Q277" i="4"/>
  <c r="Q251" i="4"/>
  <c r="L251" i="4"/>
  <c r="Q246" i="4"/>
  <c r="L246" i="4"/>
  <c r="L235" i="4"/>
  <c r="Q235" i="4"/>
  <c r="L232" i="4"/>
  <c r="Q232" i="4"/>
  <c r="L226" i="4"/>
  <c r="Q226" i="4"/>
  <c r="L224" i="4"/>
  <c r="Q224" i="4"/>
  <c r="L222" i="4"/>
  <c r="Q222" i="4"/>
  <c r="L220" i="4"/>
  <c r="Q220" i="4"/>
  <c r="L215" i="4"/>
  <c r="Q215" i="4"/>
  <c r="L210" i="4"/>
  <c r="Q210" i="4"/>
  <c r="Q205" i="4"/>
  <c r="L205" i="4"/>
  <c r="Q202" i="4"/>
  <c r="L202" i="4"/>
  <c r="Q195" i="4"/>
  <c r="L195" i="4"/>
  <c r="L189" i="4"/>
  <c r="Q189" i="4"/>
  <c r="D116" i="1"/>
  <c r="D120" i="1"/>
  <c r="Q499" i="4"/>
  <c r="L499" i="4"/>
  <c r="L496" i="4"/>
  <c r="Q496" i="4"/>
  <c r="L494" i="4"/>
  <c r="Q494" i="4"/>
  <c r="Q475" i="4"/>
  <c r="L475" i="4"/>
  <c r="Q471" i="4"/>
  <c r="L471" i="4"/>
  <c r="L466" i="4"/>
  <c r="Q466" i="4"/>
  <c r="Q464" i="4"/>
  <c r="L464" i="4"/>
  <c r="L461" i="4"/>
  <c r="Q461" i="4"/>
  <c r="Q459" i="4"/>
  <c r="L459" i="4"/>
  <c r="L454" i="4"/>
  <c r="Q454" i="4"/>
  <c r="L451" i="4"/>
  <c r="Q451" i="4"/>
  <c r="L449" i="4"/>
  <c r="Q449" i="4"/>
  <c r="Q447" i="4"/>
  <c r="L447" i="4"/>
  <c r="Q445" i="4"/>
  <c r="L445" i="4"/>
  <c r="Q421" i="4"/>
  <c r="L421" i="4"/>
  <c r="Q409" i="4"/>
  <c r="L409" i="4"/>
  <c r="L404" i="4"/>
  <c r="Q404" i="4"/>
  <c r="L402" i="4"/>
  <c r="Q402" i="4"/>
  <c r="Q391" i="4"/>
  <c r="L391" i="4"/>
  <c r="L389" i="4"/>
  <c r="Q389" i="4"/>
  <c r="L386" i="4"/>
  <c r="Q386" i="4"/>
  <c r="L384" i="4"/>
  <c r="Q384" i="4"/>
  <c r="Q382" i="4"/>
  <c r="L382" i="4"/>
  <c r="Q348" i="4"/>
  <c r="L348" i="4"/>
  <c r="Q340" i="4"/>
  <c r="L340" i="4"/>
  <c r="Q333" i="4"/>
  <c r="L333" i="4"/>
  <c r="Q331" i="4"/>
  <c r="L331" i="4"/>
  <c r="Q329" i="4"/>
  <c r="L329" i="4"/>
  <c r="L320" i="4"/>
  <c r="Q320" i="4"/>
  <c r="Q317" i="4"/>
  <c r="L317" i="4"/>
  <c r="L315" i="4"/>
  <c r="Q315" i="4"/>
  <c r="L313" i="4"/>
  <c r="Q313" i="4"/>
  <c r="Q311" i="4"/>
  <c r="L311" i="4"/>
  <c r="Q309" i="4"/>
  <c r="L309" i="4"/>
  <c r="L305" i="4"/>
  <c r="Q305" i="4"/>
  <c r="Q297" i="4"/>
  <c r="L297" i="4"/>
  <c r="L293" i="4"/>
  <c r="Q293" i="4"/>
  <c r="L283" i="4"/>
  <c r="Q283" i="4"/>
  <c r="L279" i="4"/>
  <c r="Q279" i="4"/>
  <c r="L275" i="4"/>
  <c r="Q275" i="4"/>
  <c r="Q239" i="4"/>
  <c r="L239" i="4"/>
  <c r="L233" i="4"/>
  <c r="Q233" i="4"/>
  <c r="L227" i="4"/>
  <c r="Q227" i="4"/>
  <c r="Q223" i="4"/>
  <c r="L223" i="4"/>
  <c r="Q221" i="4"/>
  <c r="L221" i="4"/>
  <c r="L219" i="4"/>
  <c r="Q219" i="4"/>
  <c r="Q217" i="4"/>
  <c r="L217" i="4"/>
  <c r="L188" i="4"/>
  <c r="Q188" i="4"/>
  <c r="Q484" i="4"/>
  <c r="L484" i="4"/>
  <c r="Q438" i="4"/>
  <c r="L438" i="4"/>
  <c r="Q426" i="4"/>
  <c r="L426" i="4"/>
  <c r="L424" i="4"/>
  <c r="Q424" i="4"/>
  <c r="Q486" i="4"/>
  <c r="L486" i="4"/>
  <c r="Q441" i="4"/>
  <c r="L441" i="4"/>
  <c r="Q433" i="4"/>
  <c r="L433" i="4"/>
  <c r="Q428" i="4"/>
  <c r="L428" i="4"/>
  <c r="L416" i="4"/>
  <c r="L186" i="4"/>
  <c r="Q186" i="4"/>
  <c r="Q115" i="4"/>
  <c r="L115" i="4"/>
  <c r="L30" i="4"/>
  <c r="Q30" i="4"/>
  <c r="L476" i="4"/>
  <c r="Q476" i="4"/>
  <c r="L418" i="4"/>
  <c r="Q418" i="4"/>
  <c r="Q270" i="4"/>
  <c r="L270" i="4"/>
  <c r="Q182" i="4"/>
  <c r="L182" i="4"/>
  <c r="Q47" i="4"/>
  <c r="L47" i="4"/>
  <c r="Q32" i="4"/>
  <c r="L32" i="4"/>
  <c r="D62" i="1"/>
  <c r="D99" i="1"/>
  <c r="D82" i="1"/>
  <c r="C18" i="4"/>
  <c r="E61" i="1"/>
  <c r="E69" i="1"/>
  <c r="E73" i="1" s="1"/>
  <c r="E76" i="1" s="1"/>
  <c r="L395" i="4"/>
  <c r="Q395" i="4"/>
  <c r="Q351" i="4"/>
  <c r="L351" i="4"/>
  <c r="L336" i="4"/>
  <c r="Q336" i="4"/>
  <c r="Q288" i="4"/>
  <c r="L288" i="4"/>
  <c r="L280" i="4"/>
  <c r="Q280" i="4"/>
  <c r="Q273" i="4"/>
  <c r="L273" i="4"/>
  <c r="L258" i="4"/>
  <c r="Q258" i="4"/>
  <c r="Q249" i="4"/>
  <c r="L249" i="4"/>
  <c r="L242" i="4"/>
  <c r="Q242" i="4"/>
  <c r="Q225" i="4"/>
  <c r="L225" i="4"/>
  <c r="L209" i="4"/>
  <c r="Q209" i="4"/>
  <c r="L200" i="4"/>
  <c r="Q200" i="4"/>
  <c r="L192" i="4"/>
  <c r="Q192" i="4"/>
  <c r="L169" i="4"/>
  <c r="Q169" i="4"/>
  <c r="Q162" i="4"/>
  <c r="L162" i="4"/>
  <c r="Q153" i="4"/>
  <c r="L153" i="4"/>
  <c r="Q138" i="4"/>
  <c r="L138" i="4"/>
  <c r="Q121" i="4"/>
  <c r="L121" i="4"/>
  <c r="L113" i="4"/>
  <c r="Q113" i="4"/>
  <c r="Q84" i="4"/>
  <c r="L84" i="4"/>
  <c r="Q68" i="4"/>
  <c r="L68" i="4"/>
  <c r="L53" i="4"/>
  <c r="Q53" i="4"/>
  <c r="Q26" i="4"/>
  <c r="L26" i="4"/>
  <c r="Q410" i="4"/>
  <c r="L410" i="4"/>
  <c r="L436" i="4"/>
  <c r="Q436" i="4"/>
  <c r="Q423" i="4"/>
  <c r="L423" i="4"/>
  <c r="Q457" i="4"/>
  <c r="L457" i="4"/>
  <c r="L448" i="4"/>
  <c r="Q448" i="4"/>
  <c r="F62" i="1"/>
  <c r="D60" i="1"/>
  <c r="D63" i="1" s="1"/>
  <c r="D65" i="1" s="1"/>
  <c r="E60" i="1"/>
  <c r="F61" i="1"/>
  <c r="D61" i="1"/>
  <c r="E62" i="1"/>
  <c r="D29" i="1"/>
  <c r="F14" i="4"/>
  <c r="F60" i="1"/>
  <c r="C14" i="4"/>
  <c r="L439" i="4"/>
  <c r="Q439" i="4"/>
  <c r="L328" i="4"/>
  <c r="Q328" i="4"/>
  <c r="Q265" i="4"/>
  <c r="L265" i="4"/>
  <c r="L208" i="4"/>
  <c r="Q208" i="4"/>
  <c r="Q130" i="4"/>
  <c r="L130" i="4"/>
  <c r="Q105" i="4"/>
  <c r="L105" i="4"/>
  <c r="Q67" i="4"/>
  <c r="L67" i="4"/>
  <c r="Q379" i="4"/>
  <c r="L379" i="4"/>
  <c r="Q272" i="4"/>
  <c r="L272" i="4"/>
  <c r="Q129" i="4"/>
  <c r="L129" i="4"/>
  <c r="Q14" i="4"/>
  <c r="L14" i="4"/>
  <c r="L8" i="4"/>
  <c r="Q8" i="4"/>
  <c r="L294" i="4"/>
  <c r="Q294" i="4"/>
  <c r="Q286" i="4"/>
  <c r="L286" i="4"/>
  <c r="L198" i="4"/>
  <c r="Q198" i="4"/>
  <c r="L95" i="4"/>
  <c r="Q95" i="4"/>
  <c r="Q74" i="4"/>
  <c r="L74" i="4"/>
  <c r="D85" i="1"/>
  <c r="F27" i="1" s="1"/>
  <c r="D68" i="1"/>
  <c r="D74" i="1" s="1"/>
  <c r="L493" i="4"/>
  <c r="L467" i="4"/>
  <c r="Q467" i="4"/>
  <c r="L256" i="4"/>
  <c r="Q256" i="4"/>
  <c r="L197" i="4"/>
  <c r="Q197" i="4"/>
  <c r="Q50" i="4"/>
  <c r="L50" i="4"/>
  <c r="Q420" i="4"/>
  <c r="L420" i="4"/>
  <c r="Q370" i="4"/>
  <c r="L370" i="4"/>
  <c r="L363" i="4"/>
  <c r="Q363" i="4"/>
  <c r="L43" i="4"/>
  <c r="Q43" i="4"/>
  <c r="L413" i="4"/>
  <c r="Q413" i="4"/>
  <c r="L269" i="4"/>
  <c r="Q269" i="4"/>
  <c r="Q254" i="4"/>
  <c r="L254" i="4"/>
  <c r="L237" i="4"/>
  <c r="Q237" i="4"/>
  <c r="Q213" i="4"/>
  <c r="L213" i="4"/>
  <c r="L134" i="4"/>
  <c r="Q134" i="4"/>
  <c r="E26" i="1"/>
  <c r="D124" i="1"/>
  <c r="L492" i="4"/>
  <c r="Q492" i="4"/>
  <c r="L398" i="4"/>
  <c r="Q398" i="4"/>
  <c r="L253" i="4"/>
  <c r="Q253" i="4"/>
  <c r="L212" i="4"/>
  <c r="Q212" i="4"/>
  <c r="L157" i="4"/>
  <c r="Q157" i="4"/>
  <c r="L125" i="4"/>
  <c r="Q125" i="4"/>
  <c r="L63" i="4"/>
  <c r="Q63" i="4"/>
  <c r="L432" i="4"/>
  <c r="Q432" i="4"/>
  <c r="Q425" i="4"/>
  <c r="L425" i="4"/>
  <c r="L368" i="4"/>
  <c r="Q368" i="4"/>
  <c r="L361" i="4"/>
  <c r="Q361" i="4"/>
  <c r="L268" i="4"/>
  <c r="Q268" i="4"/>
  <c r="L108" i="4"/>
  <c r="Q108" i="4"/>
  <c r="L79" i="4"/>
  <c r="Q79" i="4"/>
  <c r="D80" i="1"/>
  <c r="L345" i="4"/>
  <c r="Q345" i="4"/>
  <c r="Q99" i="4"/>
  <c r="L99" i="4"/>
  <c r="L478" i="4"/>
  <c r="L116" i="4"/>
  <c r="Q257" i="4"/>
  <c r="Q159" i="4"/>
  <c r="F68" i="1"/>
  <c r="F74" i="1" s="1"/>
  <c r="F77" i="1" s="1"/>
  <c r="Q42" i="4"/>
  <c r="L148" i="4"/>
  <c r="F18" i="4"/>
  <c r="F63" i="1"/>
  <c r="F65" i="1" s="1"/>
  <c r="R319" i="4"/>
  <c r="R398" i="4"/>
  <c r="R57" i="4"/>
  <c r="R135" i="4"/>
  <c r="R502" i="4"/>
  <c r="R279" i="4"/>
  <c r="R146" i="4"/>
  <c r="R284" i="4"/>
  <c r="R123" i="4"/>
  <c r="R190" i="4"/>
  <c r="R222" i="4"/>
  <c r="R462" i="4"/>
  <c r="R103" i="4"/>
  <c r="R257" i="4"/>
  <c r="R469" i="4"/>
  <c r="R433" i="4"/>
  <c r="R9" i="4"/>
  <c r="R296" i="4"/>
  <c r="R416" i="4"/>
  <c r="R67" i="4"/>
  <c r="R20" i="4"/>
  <c r="R467" i="4"/>
  <c r="R214" i="4"/>
  <c r="R99" i="4"/>
  <c r="R31" i="4"/>
  <c r="R276" i="4"/>
  <c r="R406" i="4"/>
  <c r="R14" i="4"/>
  <c r="R186" i="4"/>
  <c r="R79" i="4"/>
  <c r="R312" i="4"/>
  <c r="R484" i="4"/>
  <c r="R442" i="4"/>
  <c r="R465" i="4"/>
  <c r="R130" i="4"/>
  <c r="R178" i="4"/>
  <c r="E63" i="1"/>
  <c r="E65" i="1" s="1"/>
  <c r="D21" i="1"/>
  <c r="M163" i="4" l="1"/>
  <c r="M96" i="4"/>
  <c r="M281" i="4"/>
  <c r="M213" i="4"/>
  <c r="M206" i="4"/>
  <c r="M193" i="4"/>
  <c r="M492" i="4"/>
  <c r="D76" i="1"/>
  <c r="M118" i="4"/>
  <c r="M443" i="4"/>
  <c r="M365" i="4"/>
  <c r="M490" i="4"/>
  <c r="M90" i="4"/>
  <c r="M7" i="4"/>
  <c r="M479" i="4"/>
  <c r="M293" i="4"/>
  <c r="M405" i="4"/>
  <c r="M195" i="4"/>
  <c r="M398" i="4"/>
  <c r="M175" i="4"/>
  <c r="E77" i="1"/>
  <c r="D64" i="1"/>
  <c r="D128" i="1"/>
  <c r="M112" i="4"/>
  <c r="M360" i="4"/>
  <c r="M435" i="4"/>
  <c r="D77" i="1"/>
  <c r="M454" i="4"/>
  <c r="M400" i="4"/>
  <c r="M48" i="4"/>
  <c r="D130" i="1"/>
  <c r="F21" i="1" s="1"/>
  <c r="F76" i="1"/>
  <c r="M375" i="4"/>
  <c r="M234" i="4"/>
  <c r="M62" i="4"/>
  <c r="M312" i="4"/>
  <c r="M491" i="4"/>
  <c r="M432" i="4"/>
  <c r="M10" i="4"/>
  <c r="M176" i="4"/>
  <c r="M179" i="4"/>
  <c r="M252" i="4"/>
  <c r="M335" i="4"/>
  <c r="D92" i="1"/>
  <c r="D100" i="1" s="1"/>
  <c r="D109" i="1"/>
  <c r="D112" i="1"/>
  <c r="F29" i="1"/>
  <c r="M40" i="4"/>
  <c r="M177" i="4"/>
  <c r="M473" i="4"/>
  <c r="M153" i="4"/>
  <c r="M54" i="4"/>
  <c r="M353" i="4"/>
  <c r="M242" i="4"/>
  <c r="M337" i="4"/>
  <c r="M249" i="4"/>
  <c r="M239" i="4"/>
  <c r="M134" i="4"/>
  <c r="M183" i="4"/>
  <c r="M39" i="4"/>
  <c r="M265" i="4"/>
  <c r="M111" i="4"/>
  <c r="M99" i="4"/>
  <c r="M369" i="4"/>
  <c r="M370" i="4"/>
  <c r="M205" i="4"/>
  <c r="M387" i="4"/>
  <c r="M384" i="4"/>
  <c r="M330" i="4"/>
  <c r="M100" i="4"/>
  <c r="M338" i="4"/>
  <c r="M137" i="4"/>
  <c r="M463" i="4"/>
  <c r="M296" i="4"/>
  <c r="M257" i="4"/>
  <c r="F27" i="4"/>
  <c r="F28" i="4"/>
  <c r="M77" i="4"/>
  <c r="M444" i="4"/>
  <c r="M354" i="4"/>
  <c r="M327" i="4"/>
  <c r="M147" i="4"/>
  <c r="M376" i="4"/>
  <c r="M452" i="4"/>
  <c r="M504" i="4"/>
  <c r="M185" i="4"/>
  <c r="M85" i="4"/>
  <c r="M426" i="4"/>
  <c r="M494" i="4"/>
  <c r="M59" i="4"/>
  <c r="M66" i="4"/>
  <c r="M470" i="4"/>
  <c r="M498" i="4"/>
  <c r="M186" i="4"/>
  <c r="M379" i="4"/>
  <c r="M268" i="4"/>
  <c r="M73" i="4"/>
  <c r="M17" i="4"/>
  <c r="M427" i="4"/>
  <c r="M350" i="4"/>
  <c r="M503" i="4"/>
  <c r="M291" i="4"/>
  <c r="M132" i="4"/>
  <c r="M262" i="4"/>
  <c r="M104" i="4"/>
  <c r="M64" i="4"/>
  <c r="M390" i="4"/>
  <c r="M456" i="4"/>
  <c r="M395" i="4"/>
  <c r="M81" i="4"/>
  <c r="M33" i="4"/>
  <c r="M58" i="4"/>
  <c r="M47" i="4"/>
  <c r="M229" i="4"/>
  <c r="M74" i="4"/>
  <c r="M29" i="4"/>
  <c r="M276" i="4"/>
  <c r="M194" i="4"/>
  <c r="M148" i="4"/>
  <c r="M41" i="4"/>
  <c r="M409" i="4"/>
  <c r="M143" i="4"/>
  <c r="M280" i="4"/>
  <c r="M355" i="4"/>
  <c r="M502" i="4"/>
  <c r="M367" i="4"/>
  <c r="M422" i="4"/>
  <c r="M144" i="4"/>
  <c r="M297" i="4"/>
  <c r="M286" i="4"/>
  <c r="M352" i="4"/>
  <c r="M217" i="4"/>
  <c r="M200" i="4"/>
  <c r="M106" i="4"/>
  <c r="M138" i="4"/>
  <c r="M495" i="4"/>
  <c r="M271" i="4"/>
  <c r="M188" i="4"/>
  <c r="M122" i="4"/>
  <c r="M394" i="4"/>
  <c r="M299" i="4"/>
  <c r="M241" i="4"/>
  <c r="M396" i="4"/>
  <c r="M319" i="4"/>
  <c r="M49" i="4"/>
  <c r="M288" i="4"/>
  <c r="M440" i="4"/>
  <c r="M468" i="4"/>
  <c r="M216" i="4"/>
  <c r="M71" i="4"/>
  <c r="M75" i="4"/>
  <c r="M289" i="4"/>
  <c r="M86" i="4"/>
  <c r="M142" i="4"/>
  <c r="M20" i="4"/>
  <c r="M453" i="4"/>
  <c r="M88" i="4"/>
  <c r="M347" i="4"/>
  <c r="M65" i="4"/>
  <c r="M56" i="4"/>
  <c r="M282" i="4"/>
  <c r="M223" i="4"/>
  <c r="M404" i="4"/>
  <c r="M156" i="4"/>
  <c r="M212" i="4"/>
  <c r="M389" i="4"/>
  <c r="M309" i="4"/>
  <c r="M410" i="4"/>
  <c r="M259" i="4"/>
  <c r="M70" i="4"/>
  <c r="M4" i="4"/>
  <c r="M256" i="4"/>
  <c r="M382" i="4"/>
  <c r="M52" i="4"/>
  <c r="M320" i="4"/>
  <c r="M474" i="4"/>
  <c r="M162" i="4"/>
  <c r="M383" i="4"/>
  <c r="M130" i="4"/>
  <c r="M151" i="4"/>
  <c r="M55" i="4"/>
  <c r="M388" i="4"/>
  <c r="M125" i="4"/>
  <c r="M274" i="4"/>
  <c r="M251" i="4"/>
  <c r="M279" i="4"/>
  <c r="M214" i="4"/>
  <c r="M341" i="4"/>
  <c r="M328" i="4"/>
  <c r="M181" i="4"/>
  <c r="M407" i="4"/>
  <c r="M43" i="4"/>
  <c r="M225" i="4"/>
  <c r="M283" i="4"/>
  <c r="M496" i="4"/>
  <c r="M129" i="4"/>
  <c r="M329" i="4"/>
  <c r="M161" i="4"/>
  <c r="M374" i="4"/>
  <c r="M377" i="4"/>
  <c r="M311" i="4"/>
  <c r="M15" i="4"/>
  <c r="M169" i="4"/>
  <c r="M306" i="4"/>
  <c r="M380" i="4"/>
  <c r="M437" i="4"/>
  <c r="M431" i="4"/>
  <c r="M362" i="4"/>
  <c r="M349" i="4"/>
  <c r="M94" i="4"/>
  <c r="M191" i="4"/>
  <c r="M433" i="4"/>
  <c r="M19" i="4"/>
  <c r="M102" i="4"/>
  <c r="M105" i="4"/>
  <c r="M476" i="4"/>
  <c r="M485" i="4"/>
  <c r="M89" i="4"/>
  <c r="M103" i="4"/>
  <c r="M378" i="4"/>
  <c r="M160" i="4"/>
  <c r="M209" i="4"/>
  <c r="M123" i="4"/>
  <c r="M451" i="4"/>
  <c r="M246" i="4"/>
  <c r="M133" i="4"/>
  <c r="M6" i="4"/>
  <c r="M203" i="4"/>
  <c r="M457" i="4"/>
  <c r="M471" i="4"/>
  <c r="M207" i="4"/>
  <c r="M423" i="4"/>
  <c r="M42" i="4"/>
  <c r="M68" i="4"/>
  <c r="M344" i="4"/>
  <c r="M208" i="4"/>
  <c r="M182" i="4"/>
  <c r="M124" i="4"/>
  <c r="M401" i="4"/>
  <c r="M201" i="4"/>
  <c r="M418" i="4"/>
  <c r="M232" i="4"/>
  <c r="M342" i="4"/>
  <c r="M318" i="4"/>
  <c r="M16" i="4"/>
  <c r="M270" i="4"/>
  <c r="M91" i="4"/>
  <c r="M326" i="4"/>
  <c r="M434" i="4"/>
  <c r="M190" i="4"/>
  <c r="M23" i="4"/>
  <c r="M292" i="4"/>
  <c r="M430" i="4"/>
  <c r="M261" i="4"/>
  <c r="M321" i="4"/>
  <c r="M412" i="4"/>
  <c r="M439" i="4"/>
  <c r="M255" i="4"/>
  <c r="M198" i="4"/>
  <c r="M178" i="4"/>
  <c r="M340" i="4"/>
  <c r="M219" i="4"/>
  <c r="M126" i="4"/>
  <c r="M51" i="4"/>
  <c r="M184" i="4"/>
  <c r="M34" i="4"/>
  <c r="M449" i="4"/>
  <c r="M83" i="4"/>
  <c r="M167" i="4"/>
  <c r="M272" i="4"/>
  <c r="M235" i="4"/>
  <c r="M475" i="4"/>
  <c r="M275" i="4"/>
  <c r="M290" i="4"/>
  <c r="M465" i="4"/>
  <c r="M211" i="4"/>
  <c r="M325" i="4"/>
  <c r="M373" i="4"/>
  <c r="M215" i="4"/>
  <c r="M27" i="4"/>
  <c r="M381" i="4"/>
  <c r="M117" i="4"/>
  <c r="M135" i="4"/>
  <c r="M428" i="4"/>
  <c r="M128" i="4"/>
  <c r="M230" i="4"/>
  <c r="M264" i="4"/>
  <c r="M98" i="4"/>
  <c r="M233" i="4"/>
  <c r="M244" i="4"/>
  <c r="M416" i="4"/>
  <c r="M14" i="4"/>
  <c r="M222" i="4"/>
  <c r="M481" i="4"/>
  <c r="M189" i="4"/>
  <c r="M314" i="4"/>
  <c r="M145" i="4"/>
  <c r="M110" i="4"/>
  <c r="M278" i="4"/>
  <c r="M322" i="4"/>
  <c r="M450" i="4"/>
  <c r="M406" i="4"/>
  <c r="M298" i="4"/>
  <c r="M159" i="4"/>
  <c r="M30" i="4"/>
  <c r="M323" i="4"/>
  <c r="M78" i="4"/>
  <c r="M317" i="4"/>
  <c r="M155" i="4"/>
  <c r="M420" i="4"/>
  <c r="M11" i="4"/>
  <c r="M417" i="4"/>
  <c r="M154" i="4"/>
  <c r="M483" i="4"/>
  <c r="M346" i="4"/>
  <c r="M45" i="4"/>
  <c r="M121" i="4"/>
  <c r="M196" i="4"/>
  <c r="M455" i="4"/>
  <c r="M21" i="4"/>
  <c r="M44" i="4"/>
  <c r="D81" i="1"/>
  <c r="D83" i="1" s="1"/>
  <c r="D170" i="1" s="1"/>
  <c r="E170" i="1" s="1"/>
  <c r="M467" i="4"/>
  <c r="M273" i="4"/>
  <c r="M67" i="4"/>
  <c r="M480" i="4"/>
  <c r="M359" i="4"/>
  <c r="M204" i="4"/>
  <c r="M87" i="4"/>
  <c r="M386" i="4"/>
  <c r="M226" i="4"/>
  <c r="M53" i="4"/>
  <c r="M187" i="4"/>
  <c r="M36" i="4"/>
  <c r="M487" i="4"/>
  <c r="M461" i="4"/>
  <c r="M192" i="4"/>
  <c r="M331" i="4"/>
  <c r="M250" i="4"/>
  <c r="M397" i="4"/>
  <c r="M489" i="4"/>
  <c r="M462" i="4"/>
  <c r="M224" i="4"/>
  <c r="M477" i="4"/>
  <c r="M263" i="4"/>
  <c r="M97" i="4"/>
  <c r="M258" i="4"/>
  <c r="M82" i="4"/>
  <c r="M158" i="4"/>
  <c r="M466" i="4"/>
  <c r="M472" i="4"/>
  <c r="M13" i="4"/>
  <c r="M339" i="4"/>
  <c r="M385" i="4"/>
  <c r="M18" i="4"/>
  <c r="M260" i="4"/>
  <c r="M141" i="4"/>
  <c r="M120" i="4"/>
  <c r="M50" i="4"/>
  <c r="M46" i="4"/>
  <c r="M35" i="4"/>
  <c r="M364" i="4"/>
  <c r="M228" i="4"/>
  <c r="M303" i="4"/>
  <c r="M199" i="4"/>
  <c r="M438" i="4"/>
  <c r="M501" i="4"/>
  <c r="M305" i="4"/>
  <c r="M240" i="4"/>
  <c r="M197" i="4"/>
  <c r="M295" i="4"/>
  <c r="M116" i="4"/>
  <c r="M446" i="4"/>
  <c r="M469" i="4"/>
  <c r="M95" i="4"/>
  <c r="M399" i="4"/>
  <c r="M333" i="4"/>
  <c r="M5" i="4"/>
  <c r="M448" i="4"/>
  <c r="M84" i="4"/>
  <c r="M345" i="4"/>
  <c r="M493" i="4"/>
  <c r="M164" i="4"/>
  <c r="M31" i="4"/>
  <c r="M371" i="4"/>
  <c r="M316" i="4"/>
  <c r="M445" i="4"/>
  <c r="M403" i="4"/>
  <c r="M80" i="4"/>
  <c r="M269" i="4"/>
  <c r="M139" i="4"/>
  <c r="M284" i="4"/>
  <c r="M180" i="4"/>
  <c r="M210" i="4"/>
  <c r="M146" i="4"/>
  <c r="M166" i="4"/>
  <c r="M248" i="4"/>
  <c r="M413" i="4"/>
  <c r="M172" i="4"/>
  <c r="M238" i="4"/>
  <c r="M237" i="4"/>
  <c r="M294" i="4"/>
  <c r="M285" i="4"/>
  <c r="M245" i="4"/>
  <c r="M221" i="4"/>
  <c r="M302" i="4"/>
  <c r="M150" i="4"/>
  <c r="M361" i="4"/>
  <c r="M157" i="4"/>
  <c r="M26" i="4"/>
  <c r="M254" i="4"/>
  <c r="M168" i="4"/>
  <c r="M220" i="4"/>
  <c r="M300" i="4"/>
  <c r="M243" i="4"/>
  <c r="M113" i="4"/>
  <c r="M72" i="4"/>
  <c r="M12" i="4"/>
  <c r="M436" i="4"/>
  <c r="M313" i="4"/>
  <c r="M37" i="4"/>
  <c r="M363" i="4"/>
  <c r="M165" i="4"/>
  <c r="M115" i="4"/>
  <c r="M24" i="4"/>
  <c r="M127" i="4"/>
  <c r="M458" i="4"/>
  <c r="M76" i="4"/>
  <c r="M218" i="4"/>
  <c r="M478" i="4"/>
  <c r="M32" i="4"/>
  <c r="M108" i="4"/>
  <c r="M315" i="4"/>
  <c r="M484" i="4"/>
  <c r="M307" i="4"/>
  <c r="M236" i="4"/>
  <c r="M442" i="4"/>
  <c r="M421" i="4"/>
  <c r="M366" i="4"/>
  <c r="M348" i="4"/>
  <c r="M202" i="4"/>
  <c r="M63" i="4"/>
  <c r="M425" i="4"/>
  <c r="M419" i="4"/>
  <c r="M356" i="4"/>
  <c r="M247" i="4"/>
  <c r="M136" i="4"/>
  <c r="M500" i="4"/>
  <c r="M266" i="4"/>
  <c r="M392" i="4"/>
  <c r="M336" i="4"/>
  <c r="M499" i="4"/>
  <c r="M334" i="4"/>
  <c r="M267" i="4"/>
  <c r="M9" i="4"/>
  <c r="M93" i="4"/>
  <c r="M92" i="4"/>
  <c r="M57" i="4"/>
  <c r="M79" i="4"/>
  <c r="M107" i="4"/>
  <c r="M38" i="4"/>
  <c r="M488" i="4"/>
  <c r="M460" i="4"/>
  <c r="M411" i="4"/>
  <c r="M357" i="4"/>
  <c r="M101" i="4"/>
  <c r="M60" i="4"/>
  <c r="M171" i="4"/>
  <c r="M301" i="4"/>
  <c r="M486" i="4"/>
  <c r="M28" i="4"/>
  <c r="M69" i="4"/>
  <c r="M358" i="4"/>
  <c r="M277" i="4"/>
  <c r="M441" i="4"/>
  <c r="M25" i="4"/>
  <c r="M22" i="4"/>
  <c r="M414" i="4"/>
  <c r="M140" i="4"/>
  <c r="M119" i="4"/>
  <c r="M459" i="4"/>
  <c r="M227" i="4"/>
  <c r="M332" i="4"/>
  <c r="M114" i="4"/>
  <c r="M308" i="4"/>
  <c r="M149" i="4"/>
  <c r="M231" i="4"/>
  <c r="M482" i="4"/>
  <c r="M497" i="4"/>
  <c r="M170" i="4"/>
  <c r="M324" i="4"/>
  <c r="M408" i="4"/>
  <c r="M393" i="4"/>
  <c r="M402" i="4"/>
  <c r="M415" i="4"/>
  <c r="M61" i="4"/>
  <c r="M351" i="4"/>
  <c r="M253" i="4"/>
  <c r="M109" i="4"/>
  <c r="M8" i="4"/>
  <c r="M429" i="4"/>
  <c r="M152" i="4"/>
  <c r="M464" i="4"/>
  <c r="M174" i="4"/>
  <c r="M131" i="4"/>
  <c r="M304" i="4"/>
  <c r="M343" i="4"/>
  <c r="M391" i="4"/>
  <c r="M447" i="4"/>
  <c r="M287" i="4"/>
  <c r="M173" i="4"/>
  <c r="M310" i="4"/>
  <c r="M368" i="4"/>
  <c r="M424" i="4"/>
  <c r="M372" i="4"/>
  <c r="R172" i="4"/>
  <c r="R236" i="4"/>
  <c r="R15" i="4"/>
  <c r="R94" i="4"/>
  <c r="R138" i="4"/>
  <c r="R50" i="4"/>
  <c r="R227" i="4"/>
  <c r="R176" i="4"/>
  <c r="R306" i="4"/>
  <c r="R307" i="4"/>
  <c r="R479" i="4"/>
  <c r="R239" i="4"/>
  <c r="R368" i="4"/>
  <c r="R86" i="4"/>
  <c r="R151" i="4"/>
  <c r="R393" i="4"/>
  <c r="R238" i="4"/>
  <c r="R235" i="4"/>
  <c r="R125" i="4"/>
  <c r="R411" i="4"/>
  <c r="R231" i="4"/>
  <c r="R256" i="4"/>
  <c r="R221" i="4"/>
  <c r="R386" i="4"/>
  <c r="R60" i="4"/>
  <c r="R80" i="4"/>
  <c r="R494" i="4"/>
  <c r="R277" i="4"/>
  <c r="R258" i="4"/>
  <c r="R51" i="4"/>
  <c r="R89" i="4"/>
  <c r="R233" i="4"/>
  <c r="R347" i="4"/>
  <c r="R253" i="4"/>
  <c r="R309" i="4"/>
  <c r="R311" i="4"/>
  <c r="R223" i="4"/>
  <c r="R145" i="4"/>
  <c r="R420" i="4"/>
  <c r="R108" i="4"/>
  <c r="R384" i="4"/>
  <c r="R446" i="4"/>
  <c r="R129" i="4"/>
  <c r="R127" i="4"/>
  <c r="R308" i="4"/>
  <c r="R177" i="4"/>
  <c r="R182" i="4"/>
  <c r="R260" i="4"/>
  <c r="R489" i="4"/>
  <c r="R346" i="4"/>
  <c r="R19" i="4"/>
  <c r="R207" i="4"/>
  <c r="R113" i="4"/>
  <c r="R301" i="4"/>
  <c r="R441" i="4"/>
  <c r="R30" i="4"/>
  <c r="R141" i="4"/>
  <c r="R337" i="4"/>
  <c r="R272" i="4"/>
  <c r="R374" i="4"/>
  <c r="R289" i="4"/>
  <c r="R310" i="4"/>
  <c r="R237" i="4"/>
  <c r="R456" i="4"/>
  <c r="R84" i="4"/>
  <c r="R112" i="4"/>
  <c r="R77" i="4"/>
  <c r="R328" i="4"/>
  <c r="R181" i="4"/>
  <c r="R189" i="4"/>
  <c r="R367" i="4"/>
  <c r="R444" i="4"/>
  <c r="R300" i="4"/>
  <c r="R37" i="4"/>
  <c r="R332" i="4"/>
  <c r="R211" i="4"/>
  <c r="R199" i="4"/>
  <c r="R259" i="4"/>
  <c r="R387" i="4"/>
  <c r="R448" i="4"/>
  <c r="R64" i="4"/>
  <c r="R385" i="4"/>
  <c r="R143" i="4"/>
  <c r="R109" i="4"/>
  <c r="R490" i="4"/>
  <c r="R115" i="4"/>
  <c r="R476" i="4"/>
  <c r="R76" i="4"/>
  <c r="R355" i="4"/>
  <c r="R134" i="4"/>
  <c r="R395" i="4"/>
  <c r="R271" i="4"/>
  <c r="R74" i="4"/>
  <c r="R34" i="4"/>
  <c r="R91" i="4"/>
  <c r="R443" i="4"/>
  <c r="R477" i="4"/>
  <c r="R499" i="4"/>
  <c r="R21" i="4"/>
  <c r="R97" i="4"/>
  <c r="R350" i="4"/>
  <c r="R503" i="4"/>
  <c r="R366" i="4"/>
  <c r="R370" i="4"/>
  <c r="F31" i="4"/>
  <c r="R156" i="4"/>
  <c r="R154" i="4"/>
  <c r="R52" i="4"/>
  <c r="R144" i="4"/>
  <c r="R93" i="4"/>
  <c r="R478" i="4"/>
  <c r="R379" i="4"/>
  <c r="R359" i="4"/>
  <c r="R458" i="4"/>
  <c r="R438" i="4"/>
  <c r="R269" i="4"/>
  <c r="R460" i="4"/>
  <c r="R240" i="4"/>
  <c r="R48" i="4"/>
  <c r="R191" i="4"/>
  <c r="R251" i="4"/>
  <c r="R266" i="4"/>
  <c r="R304" i="4"/>
  <c r="R409" i="4"/>
  <c r="R407" i="4"/>
  <c r="R81" i="4"/>
  <c r="R62" i="4"/>
  <c r="R282" i="4"/>
  <c r="R475" i="4"/>
  <c r="R397" i="4"/>
  <c r="R55" i="4"/>
  <c r="R352" i="4"/>
  <c r="R247" i="4"/>
  <c r="R450" i="4"/>
  <c r="R17" i="4"/>
  <c r="R302" i="4"/>
  <c r="R116" i="4"/>
  <c r="R316" i="4"/>
  <c r="R201" i="4"/>
  <c r="R330" i="4"/>
  <c r="R392" i="4"/>
  <c r="R356" i="4"/>
  <c r="R139" i="4"/>
  <c r="R363" i="4"/>
  <c r="R200" i="4"/>
  <c r="R318" i="4"/>
  <c r="R375" i="4"/>
  <c r="R380" i="4"/>
  <c r="R262" i="4"/>
  <c r="R313" i="4"/>
  <c r="R452" i="4"/>
  <c r="R294" i="4"/>
  <c r="R252" i="4"/>
  <c r="R168" i="4"/>
  <c r="R13" i="4"/>
  <c r="R209" i="4"/>
  <c r="R429" i="4"/>
  <c r="R447" i="4"/>
  <c r="R504" i="4"/>
  <c r="R381" i="4"/>
  <c r="R261" i="4"/>
  <c r="R273" i="4"/>
  <c r="R229" i="4"/>
  <c r="R396" i="4"/>
  <c r="R405" i="4"/>
  <c r="R339" i="4"/>
  <c r="R210" i="4"/>
  <c r="R12" i="4"/>
  <c r="R428" i="4"/>
  <c r="R474" i="4"/>
  <c r="R43" i="4"/>
  <c r="R344" i="4"/>
  <c r="R104" i="4"/>
  <c r="R404" i="4"/>
  <c r="R29" i="4"/>
  <c r="R82" i="4"/>
  <c r="R180" i="4"/>
  <c r="R487" i="4"/>
  <c r="R179" i="4"/>
  <c r="R383" i="4"/>
  <c r="R25" i="4"/>
  <c r="R183" i="4"/>
  <c r="R354" i="4"/>
  <c r="R120" i="4"/>
  <c r="R249" i="4"/>
  <c r="R388" i="4"/>
  <c r="R353" i="4"/>
  <c r="R333" i="4"/>
  <c r="R345" i="4"/>
  <c r="R132" i="4"/>
  <c r="R198" i="4"/>
  <c r="R391" i="4"/>
  <c r="R49" i="4"/>
  <c r="R27" i="4"/>
  <c r="R216" i="4"/>
  <c r="R297" i="4"/>
  <c r="R334" i="4"/>
  <c r="R268" i="4"/>
  <c r="R7" i="4"/>
  <c r="R137" i="4"/>
  <c r="R215" i="4"/>
  <c r="R83" i="4"/>
  <c r="R263" i="4"/>
  <c r="R372" i="4"/>
  <c r="R35" i="4"/>
  <c r="R248" i="4"/>
  <c r="R98" i="4"/>
  <c r="R483" i="4"/>
  <c r="R343" i="4"/>
  <c r="R206" i="4"/>
  <c r="R5" i="4"/>
  <c r="R149" i="4"/>
  <c r="R205" i="4"/>
  <c r="R340" i="4"/>
  <c r="R219" i="4"/>
  <c r="R196" i="4"/>
  <c r="R166" i="4"/>
  <c r="R220" i="4"/>
  <c r="R66" i="4"/>
  <c r="R185" i="4"/>
  <c r="R338" i="4"/>
  <c r="R142" i="4"/>
  <c r="R361" i="4"/>
  <c r="R26" i="4"/>
  <c r="R324" i="4"/>
  <c r="R449" i="4"/>
  <c r="R472" i="4"/>
  <c r="R382" i="4"/>
  <c r="R298" i="4"/>
  <c r="R286" i="4"/>
  <c r="R430" i="4"/>
  <c r="R422" i="4"/>
  <c r="R427" i="4"/>
  <c r="R133" i="4"/>
  <c r="R87" i="4"/>
  <c r="R39" i="4"/>
  <c r="R401" i="4"/>
  <c r="R72" i="4"/>
  <c r="R371" i="4"/>
  <c r="R290" i="4"/>
  <c r="R217" i="4"/>
  <c r="R292" i="4"/>
  <c r="R212" i="4"/>
  <c r="R202" i="4"/>
  <c r="R38" i="4"/>
  <c r="R163" i="4"/>
  <c r="R8" i="4"/>
  <c r="R33" i="4"/>
  <c r="R488" i="4"/>
  <c r="R329" i="4"/>
  <c r="R305" i="4"/>
  <c r="R4" i="4"/>
  <c r="R63" i="4"/>
  <c r="R161" i="4"/>
  <c r="R197" i="4"/>
  <c r="R22" i="4"/>
  <c r="R250" i="4"/>
  <c r="R455" i="4"/>
  <c r="R36" i="4"/>
  <c r="R170" i="4"/>
  <c r="R417" i="4"/>
  <c r="R140" i="4"/>
  <c r="R110" i="4"/>
  <c r="R495" i="4"/>
  <c r="R451" i="4"/>
  <c r="R357" i="4"/>
  <c r="R44" i="4"/>
  <c r="R377" i="4"/>
  <c r="R410" i="4"/>
  <c r="R121" i="4"/>
  <c r="R188" i="4"/>
  <c r="R117" i="4"/>
  <c r="R241" i="4"/>
  <c r="R470" i="4"/>
  <c r="R293" i="4"/>
  <c r="R390" i="4"/>
  <c r="R501" i="4"/>
  <c r="R323" i="4"/>
  <c r="R128" i="4"/>
  <c r="R418" i="4"/>
  <c r="R480" i="4"/>
  <c r="R184" i="4"/>
  <c r="R394" i="4"/>
  <c r="R153" i="4"/>
  <c r="R402" i="4"/>
  <c r="R10" i="4"/>
  <c r="R468" i="4"/>
  <c r="R400" i="4"/>
  <c r="R152" i="4"/>
  <c r="R439" i="4"/>
  <c r="R157" i="4"/>
  <c r="R459" i="4"/>
  <c r="R351" i="4"/>
  <c r="R369" i="4"/>
  <c r="R47" i="4"/>
  <c r="R192" i="4"/>
  <c r="R245" i="4"/>
  <c r="R226" i="4"/>
  <c r="R436" i="4"/>
  <c r="R28" i="4"/>
  <c r="R270" i="4"/>
  <c r="R150" i="4"/>
  <c r="R147" i="4"/>
  <c r="R303" i="4"/>
  <c r="R164" i="4"/>
  <c r="R102" i="4"/>
  <c r="R16" i="4"/>
  <c r="R69" i="4"/>
  <c r="R336" i="4"/>
  <c r="R264" i="4"/>
  <c r="R208" i="4"/>
  <c r="R325" i="4"/>
  <c r="R59" i="4"/>
  <c r="R85" i="4"/>
  <c r="R244" i="4"/>
  <c r="R42" i="4"/>
  <c r="R78" i="4"/>
  <c r="R486" i="4"/>
  <c r="R349" i="4"/>
  <c r="R314" i="4"/>
  <c r="R278" i="4"/>
  <c r="R287" i="4"/>
  <c r="R246" i="4"/>
  <c r="R412" i="4"/>
  <c r="R360" i="4"/>
  <c r="R493" i="4"/>
  <c r="R11" i="4"/>
  <c r="R162" i="4"/>
  <c r="R159" i="4"/>
  <c r="R187" i="4"/>
  <c r="R106" i="4"/>
  <c r="R453" i="4"/>
  <c r="R111" i="4"/>
  <c r="R267" i="4"/>
  <c r="R92" i="4"/>
  <c r="R482" i="4"/>
  <c r="R148" i="4"/>
  <c r="R90" i="4"/>
  <c r="R195" i="4"/>
  <c r="R243" i="4"/>
  <c r="R45" i="4"/>
  <c r="R175" i="4"/>
  <c r="R321" i="4"/>
  <c r="R230" i="4"/>
  <c r="R299" i="4"/>
  <c r="R169" i="4"/>
  <c r="R365" i="4"/>
  <c r="R61" i="4"/>
  <c r="R194" i="4"/>
  <c r="R118" i="4"/>
  <c r="R320" i="4"/>
  <c r="R389" i="4"/>
  <c r="R124" i="4"/>
  <c r="R75" i="4"/>
  <c r="R171" i="4"/>
  <c r="R46" i="4"/>
  <c r="R426" i="4"/>
  <c r="R327" i="4"/>
  <c r="R70" i="4"/>
  <c r="R95" i="4"/>
  <c r="R73" i="4"/>
  <c r="R228" i="4"/>
  <c r="R331" i="4"/>
  <c r="R285" i="4"/>
  <c r="R358" i="4"/>
  <c r="R68" i="4"/>
  <c r="R423" i="4"/>
  <c r="R454" i="4"/>
  <c r="R473" i="4"/>
  <c r="R461" i="4"/>
  <c r="R348" i="4"/>
  <c r="R421" i="4"/>
  <c r="R275" i="4"/>
  <c r="R280" i="4"/>
  <c r="R234" i="4"/>
  <c r="R174" i="4"/>
  <c r="R414" i="4"/>
  <c r="R463" i="4"/>
  <c r="R432" i="4"/>
  <c r="R203" i="4"/>
  <c r="R274" i="4"/>
  <c r="R326" i="4"/>
  <c r="R213" i="4"/>
  <c r="R24" i="4"/>
  <c r="R342" i="4"/>
  <c r="R126" i="4"/>
  <c r="R155" i="4"/>
  <c r="R173" i="4"/>
  <c r="R315" i="4"/>
  <c r="R399" i="4"/>
  <c r="R291" i="4"/>
  <c r="R492" i="4"/>
  <c r="R96" i="4"/>
  <c r="R335" i="4"/>
  <c r="R424" i="4"/>
  <c r="R408" i="4"/>
  <c r="R445" i="4"/>
  <c r="R317" i="4"/>
  <c r="R464" i="4"/>
  <c r="R498" i="4"/>
  <c r="R413" i="4"/>
  <c r="R434" i="4"/>
  <c r="R122" i="4"/>
  <c r="R131" i="4"/>
  <c r="R364" i="4"/>
  <c r="R165" i="4"/>
  <c r="R224" i="4"/>
  <c r="R265" i="4"/>
  <c r="R40" i="4"/>
  <c r="R281" i="4"/>
  <c r="R288" i="4"/>
  <c r="R204" i="4"/>
  <c r="R88" i="4"/>
  <c r="R373" i="4"/>
  <c r="R419" i="4"/>
  <c r="R58" i="4"/>
  <c r="R53" i="4"/>
  <c r="R378" i="4"/>
  <c r="R114" i="4"/>
  <c r="R160" i="4"/>
  <c r="R255" i="4"/>
  <c r="R362" i="4"/>
  <c r="R437" i="4"/>
  <c r="R481" i="4"/>
  <c r="R107" i="4"/>
  <c r="R71" i="4"/>
  <c r="R403" i="4"/>
  <c r="R497" i="4"/>
  <c r="R119" i="4"/>
  <c r="R100" i="4"/>
  <c r="R225" i="4"/>
  <c r="R376" i="4"/>
  <c r="R232" i="4"/>
  <c r="R485" i="4"/>
  <c r="R500" i="4"/>
  <c r="R23" i="4"/>
  <c r="R41" i="4"/>
  <c r="R136" i="4"/>
  <c r="R101" i="4"/>
  <c r="R283" i="4"/>
  <c r="R218" i="4"/>
  <c r="R54" i="4"/>
  <c r="R471" i="4"/>
  <c r="R56" i="4"/>
  <c r="R341" i="4"/>
  <c r="R431" i="4"/>
  <c r="R254" i="4"/>
  <c r="R65" i="4"/>
  <c r="R32" i="4"/>
  <c r="R295" i="4"/>
  <c r="R457" i="4"/>
  <c r="R435" i="4"/>
  <c r="R425" i="4"/>
  <c r="R415" i="4"/>
  <c r="R193" i="4"/>
  <c r="R466" i="4"/>
  <c r="R6" i="4"/>
  <c r="R105" i="4"/>
  <c r="R440" i="4"/>
  <c r="R242" i="4"/>
  <c r="R167" i="4"/>
  <c r="R491" i="4"/>
  <c r="R18" i="4"/>
  <c r="R496" i="4"/>
  <c r="R158" i="4"/>
  <c r="R322" i="4"/>
  <c r="D38" i="1"/>
  <c r="C8" i="4"/>
  <c r="F8" i="4"/>
  <c r="D147" i="1"/>
  <c r="E147" i="1" s="1"/>
  <c r="D148" i="1" s="1"/>
  <c r="D34" i="1" s="1"/>
  <c r="D33" i="1"/>
  <c r="E64" i="1" l="1"/>
  <c r="E29" i="1" s="1"/>
  <c r="D70" i="1"/>
  <c r="D160" i="1"/>
  <c r="D27" i="1"/>
  <c r="D162" i="1"/>
  <c r="F17" i="4"/>
  <c r="C17" i="4"/>
  <c r="D113" i="1"/>
  <c r="F30" i="4"/>
  <c r="F35" i="4"/>
  <c r="F33" i="4"/>
  <c r="D149" i="1"/>
  <c r="D150" i="1"/>
  <c r="S455" i="4" l="1"/>
  <c r="S482" i="4"/>
  <c r="S402" i="4"/>
  <c r="S367" i="4"/>
  <c r="S136" i="4"/>
  <c r="S277" i="4"/>
  <c r="S66" i="4"/>
  <c r="S55" i="4"/>
  <c r="S360" i="4"/>
  <c r="S45" i="4"/>
  <c r="S151" i="4"/>
  <c r="S244" i="4"/>
  <c r="S15" i="4"/>
  <c r="S502" i="4"/>
  <c r="S233" i="4"/>
  <c r="S342" i="4"/>
  <c r="S250" i="4"/>
  <c r="S44" i="4"/>
  <c r="S215" i="4"/>
  <c r="S211" i="4"/>
  <c r="S408" i="4"/>
  <c r="S47" i="4"/>
  <c r="S464" i="4"/>
  <c r="S480" i="4"/>
  <c r="S117" i="4"/>
  <c r="S81" i="4"/>
  <c r="S126" i="4"/>
  <c r="S252" i="4"/>
  <c r="S494" i="4"/>
  <c r="S239" i="4"/>
  <c r="S224" i="4"/>
  <c r="S307" i="4"/>
  <c r="S401" i="4"/>
  <c r="S90" i="4"/>
  <c r="S202" i="4"/>
  <c r="S116" i="4"/>
  <c r="S265" i="4"/>
  <c r="S410" i="4"/>
  <c r="S280" i="4"/>
  <c r="S436" i="4"/>
  <c r="S213" i="4"/>
  <c r="S343" i="4"/>
  <c r="S20" i="4"/>
  <c r="S452" i="4"/>
  <c r="S167" i="4"/>
  <c r="S65" i="4"/>
  <c r="S305" i="4"/>
  <c r="S111" i="4"/>
  <c r="S36" i="4"/>
  <c r="S322" i="4"/>
  <c r="S248" i="4"/>
  <c r="S170" i="4"/>
  <c r="S139" i="4"/>
  <c r="S17" i="4"/>
  <c r="S156" i="4"/>
  <c r="S235" i="4"/>
  <c r="S259" i="4"/>
  <c r="S327" i="4"/>
  <c r="S86" i="4"/>
  <c r="S329" i="4"/>
  <c r="S264" i="4"/>
  <c r="S356" i="4"/>
  <c r="S261" i="4"/>
  <c r="S303" i="4"/>
  <c r="S285" i="4"/>
  <c r="S119" i="4"/>
  <c r="S352" i="4"/>
  <c r="S190" i="4"/>
  <c r="S163" i="4"/>
  <c r="S338" i="4"/>
  <c r="S475" i="4"/>
  <c r="S435" i="4"/>
  <c r="S295" i="4"/>
  <c r="S422" i="4"/>
  <c r="S102" i="4"/>
  <c r="S476" i="4"/>
  <c r="S431" i="4"/>
  <c r="S75" i="4"/>
  <c r="S470" i="4"/>
  <c r="S103" i="4"/>
  <c r="S417" i="4"/>
  <c r="S466" i="4"/>
  <c r="S19" i="4"/>
  <c r="S204" i="4"/>
  <c r="S489" i="4"/>
  <c r="S183" i="4"/>
  <c r="S481" i="4"/>
  <c r="S461" i="4"/>
  <c r="S196" i="4"/>
  <c r="S176" i="4"/>
  <c r="S359" i="4"/>
  <c r="S312" i="4"/>
  <c r="S429" i="4"/>
  <c r="S64" i="4"/>
  <c r="S326" i="4"/>
  <c r="S293" i="4"/>
  <c r="S340" i="4"/>
  <c r="S219" i="4"/>
  <c r="S61" i="4"/>
  <c r="S38" i="4"/>
  <c r="S101" i="4"/>
  <c r="S59" i="4"/>
  <c r="S24" i="4"/>
  <c r="S115" i="4"/>
  <c r="S412" i="4"/>
  <c r="S82" i="4"/>
  <c r="S275" i="4"/>
  <c r="S147" i="4"/>
  <c r="S120" i="4"/>
  <c r="S486" i="4"/>
  <c r="S337" i="4"/>
  <c r="S234" i="4"/>
  <c r="S175" i="4"/>
  <c r="S266" i="4"/>
  <c r="S500" i="4"/>
  <c r="S301" i="4"/>
  <c r="S180" i="4"/>
  <c r="S71" i="4"/>
  <c r="S165" i="4"/>
  <c r="S205" i="4"/>
  <c r="S181" i="4"/>
  <c r="S34" i="4"/>
  <c r="S240" i="4"/>
  <c r="S168" i="4"/>
  <c r="S283" i="4"/>
  <c r="S391" i="4"/>
  <c r="S331" i="4"/>
  <c r="S42" i="4"/>
  <c r="S62" i="4"/>
  <c r="S107" i="4"/>
  <c r="S371" i="4"/>
  <c r="S154" i="4"/>
  <c r="S357" i="4"/>
  <c r="S93" i="4"/>
  <c r="S424" i="4"/>
  <c r="S257" i="4"/>
  <c r="S467" i="4"/>
  <c r="S432" i="4"/>
  <c r="S209" i="4"/>
  <c r="S169" i="4"/>
  <c r="S110" i="4"/>
  <c r="S477" i="4"/>
  <c r="S456" i="4"/>
  <c r="S177" i="4"/>
  <c r="S58" i="4"/>
  <c r="S428" i="4"/>
  <c r="S179" i="4"/>
  <c r="S479" i="4"/>
  <c r="S418" i="4"/>
  <c r="S231" i="4"/>
  <c r="S321" i="4"/>
  <c r="S287" i="4"/>
  <c r="S302" i="4"/>
  <c r="S56" i="4"/>
  <c r="S394" i="4"/>
  <c r="S427" i="4"/>
  <c r="S118" i="4"/>
  <c r="S227" i="4"/>
  <c r="S187" i="4"/>
  <c r="S296" i="4"/>
  <c r="S313" i="4"/>
  <c r="S483" i="4"/>
  <c r="S4" i="4"/>
  <c r="S72" i="4"/>
  <c r="S135" i="4"/>
  <c r="T135" i="4" s="1"/>
  <c r="S218" i="4"/>
  <c r="S73" i="4"/>
  <c r="S104" i="4"/>
  <c r="S80" i="4"/>
  <c r="S271" i="4"/>
  <c r="S488" i="4"/>
  <c r="S18" i="4"/>
  <c r="S217" i="4"/>
  <c r="S364" i="4"/>
  <c r="S12" i="4"/>
  <c r="S159" i="4"/>
  <c r="S6" i="4"/>
  <c r="S144" i="4"/>
  <c r="S496" i="4"/>
  <c r="S100" i="4"/>
  <c r="S290" i="4"/>
  <c r="S458" i="4"/>
  <c r="S324" i="4"/>
  <c r="S369" i="4"/>
  <c r="S438" i="4"/>
  <c r="S358" i="4"/>
  <c r="S96" i="4"/>
  <c r="S85" i="4"/>
  <c r="S354" i="4"/>
  <c r="S450" i="4"/>
  <c r="S46" i="4"/>
  <c r="S437" i="4"/>
  <c r="S171" i="4"/>
  <c r="S406" i="4"/>
  <c r="T406" i="4" s="1"/>
  <c r="S416" i="4"/>
  <c r="S193" i="4"/>
  <c r="S399" i="4"/>
  <c r="S319" i="4"/>
  <c r="S155" i="4"/>
  <c r="S145" i="4"/>
  <c r="S445" i="4"/>
  <c r="S30" i="4"/>
  <c r="S409" i="4"/>
  <c r="S149" i="4"/>
  <c r="S393" i="4"/>
  <c r="S127" i="4"/>
  <c r="S503" i="4"/>
  <c r="S323" i="4"/>
  <c r="S236" i="4"/>
  <c r="S310" i="4"/>
  <c r="S471" i="4"/>
  <c r="S365" i="4"/>
  <c r="AI4" i="4"/>
  <c r="S251" i="4"/>
  <c r="S131" i="4"/>
  <c r="S453" i="4"/>
  <c r="S311" i="4"/>
  <c r="S13" i="4"/>
  <c r="S347" i="4"/>
  <c r="S37" i="4"/>
  <c r="S52" i="4"/>
  <c r="S232" i="4"/>
  <c r="S243" i="4"/>
  <c r="S109" i="4"/>
  <c r="S299" i="4"/>
  <c r="S419" i="4"/>
  <c r="S140" i="4"/>
  <c r="S83" i="4"/>
  <c r="S385" i="4"/>
  <c r="S355" i="4"/>
  <c r="S490" i="4"/>
  <c r="S396" i="4"/>
  <c r="S300" i="4"/>
  <c r="S421" i="4"/>
  <c r="S348" i="4"/>
  <c r="S495" i="4"/>
  <c r="S414" i="4"/>
  <c r="S122" i="4"/>
  <c r="S446" i="4"/>
  <c r="S166" i="4"/>
  <c r="S372" i="4"/>
  <c r="S247" i="4"/>
  <c r="S188" i="4"/>
  <c r="S137" i="4"/>
  <c r="S463" i="4"/>
  <c r="S32" i="4"/>
  <c r="S377" i="4"/>
  <c r="S21" i="4"/>
  <c r="S10" i="4"/>
  <c r="S40" i="4"/>
  <c r="S447" i="4"/>
  <c r="S267" i="4"/>
  <c r="S411" i="4"/>
  <c r="S97" i="4"/>
  <c r="S186" i="4"/>
  <c r="S465" i="4"/>
  <c r="S229" i="4"/>
  <c r="S451" i="4"/>
  <c r="S274" i="4"/>
  <c r="S184" i="4"/>
  <c r="S124" i="4"/>
  <c r="S173" i="4"/>
  <c r="S77" i="4"/>
  <c r="S210" i="4"/>
  <c r="S373" i="4"/>
  <c r="S87" i="4"/>
  <c r="S316" i="4"/>
  <c r="S172" i="4"/>
  <c r="S174" i="4"/>
  <c r="S123" i="4"/>
  <c r="S25" i="4"/>
  <c r="S442" i="4"/>
  <c r="S497" i="4"/>
  <c r="S378" i="4"/>
  <c r="S328" i="4"/>
  <c r="S99" i="4"/>
  <c r="S457" i="4"/>
  <c r="S294" i="4"/>
  <c r="S26" i="4"/>
  <c r="S95" i="4"/>
  <c r="S434" i="4"/>
  <c r="S35" i="4"/>
  <c r="S76" i="4"/>
  <c r="S405" i="4"/>
  <c r="S245" i="4"/>
  <c r="S191" i="4"/>
  <c r="S397" i="4"/>
  <c r="S214" i="4"/>
  <c r="S203" i="4"/>
  <c r="S314" i="4"/>
  <c r="S112" i="4"/>
  <c r="S28" i="4"/>
  <c r="S346" i="4"/>
  <c r="S292" i="4"/>
  <c r="S370" i="4"/>
  <c r="S493" i="4"/>
  <c r="S153" i="4"/>
  <c r="S420" i="4"/>
  <c r="S129" i="4"/>
  <c r="S288" i="4"/>
  <c r="S381" i="4"/>
  <c r="S160" i="4"/>
  <c r="S443" i="4"/>
  <c r="S308" i="4"/>
  <c r="S260" i="4"/>
  <c r="S69" i="4"/>
  <c r="S94" i="4"/>
  <c r="S33" i="4"/>
  <c r="S444" i="4"/>
  <c r="S335" i="4"/>
  <c r="S281" i="4"/>
  <c r="S491" i="4"/>
  <c r="S469" i="4"/>
  <c r="S141" i="4"/>
  <c r="S384" i="4"/>
  <c r="S63" i="4"/>
  <c r="S273" i="4"/>
  <c r="S269" i="4"/>
  <c r="S254" i="4"/>
  <c r="S192" i="4"/>
  <c r="S105" i="4"/>
  <c r="S48" i="4"/>
  <c r="S366" i="4"/>
  <c r="S501" i="4"/>
  <c r="S375" i="4"/>
  <c r="S362" i="4"/>
  <c r="S380" i="4"/>
  <c r="S468" i="4"/>
  <c r="S304" i="4"/>
  <c r="S499" i="4"/>
  <c r="S16" i="4"/>
  <c r="S387" i="4"/>
  <c r="S353" i="4"/>
  <c r="S426" i="4"/>
  <c r="S376" i="4"/>
  <c r="S185" i="4"/>
  <c r="S336" i="4"/>
  <c r="S208" i="4"/>
  <c r="S413" i="4"/>
  <c r="S108" i="4"/>
  <c r="S162" i="4"/>
  <c r="S258" i="4"/>
  <c r="S207" i="4"/>
  <c r="S415" i="4"/>
  <c r="S320" i="4"/>
  <c r="S132" i="4"/>
  <c r="S498" i="4"/>
  <c r="S386" i="4"/>
  <c r="S318" i="4"/>
  <c r="S164" i="4"/>
  <c r="S246" i="4"/>
  <c r="S220" i="4"/>
  <c r="S298" i="4"/>
  <c r="S400" i="4"/>
  <c r="S222" i="4"/>
  <c r="S374" i="4"/>
  <c r="S263" i="4"/>
  <c r="S130" i="4"/>
  <c r="S79" i="4"/>
  <c r="S68" i="4"/>
  <c r="S157" i="4"/>
  <c r="S242" i="4"/>
  <c r="S142" i="4"/>
  <c r="S230" i="4"/>
  <c r="S39" i="4"/>
  <c r="S349" i="4"/>
  <c r="S278" i="4"/>
  <c r="S332" i="4"/>
  <c r="S485" i="4"/>
  <c r="S341" i="4"/>
  <c r="S29" i="4"/>
  <c r="S333" i="4"/>
  <c r="S440" i="4"/>
  <c r="S182" i="4"/>
  <c r="S221" i="4"/>
  <c r="S339" i="4"/>
  <c r="S255" i="4"/>
  <c r="S268" i="4"/>
  <c r="S249" i="4"/>
  <c r="S134" i="4"/>
  <c r="S363" i="4"/>
  <c r="S113" i="4"/>
  <c r="S150" i="4"/>
  <c r="S454" i="4"/>
  <c r="S51" i="4"/>
  <c r="S344" i="4"/>
  <c r="S487" i="4"/>
  <c r="S315" i="4"/>
  <c r="S241" i="4"/>
  <c r="S474" i="4"/>
  <c r="S276" i="4"/>
  <c r="S449" i="4"/>
  <c r="S504" i="4"/>
  <c r="S392" i="4"/>
  <c r="S317" i="4"/>
  <c r="S5" i="4"/>
  <c r="S60" i="4"/>
  <c r="S448" i="4"/>
  <c r="S256" i="4"/>
  <c r="S351" i="4"/>
  <c r="S425" i="4"/>
  <c r="S423" i="4"/>
  <c r="S143" i="4"/>
  <c r="S441" i="4"/>
  <c r="S206" i="4"/>
  <c r="S201" i="4"/>
  <c r="S106" i="4"/>
  <c r="S194" i="4"/>
  <c r="S270" i="4"/>
  <c r="S350" i="4"/>
  <c r="S146" i="4"/>
  <c r="S88" i="4"/>
  <c r="S407" i="4"/>
  <c r="S462" i="4"/>
  <c r="S128" i="4"/>
  <c r="S54" i="4"/>
  <c r="S8" i="4"/>
  <c r="S125" i="4"/>
  <c r="S67" i="4"/>
  <c r="S138" i="4"/>
  <c r="S439" i="4"/>
  <c r="S225" i="4"/>
  <c r="S226" i="4"/>
  <c r="S57" i="4"/>
  <c r="S89" i="4"/>
  <c r="S238" i="4"/>
  <c r="S91" i="4"/>
  <c r="S78" i="4"/>
  <c r="S309" i="4"/>
  <c r="S430" i="4"/>
  <c r="S195" i="4"/>
  <c r="S23" i="4"/>
  <c r="S189" i="4"/>
  <c r="S70" i="4"/>
  <c r="S460" i="4"/>
  <c r="S383" i="4"/>
  <c r="S272" i="4"/>
  <c r="S198" i="4"/>
  <c r="S395" i="4"/>
  <c r="S361" i="4"/>
  <c r="S237" i="4"/>
  <c r="S398" i="4"/>
  <c r="S98" i="4"/>
  <c r="S22" i="4"/>
  <c r="S158" i="4"/>
  <c r="S404" i="4"/>
  <c r="S7" i="4"/>
  <c r="S27" i="4"/>
  <c r="S199" i="4"/>
  <c r="S178" i="4"/>
  <c r="S473" i="4"/>
  <c r="S388" i="4"/>
  <c r="S133" i="4"/>
  <c r="S291" i="4"/>
  <c r="S325" i="4"/>
  <c r="S282" i="4"/>
  <c r="S43" i="4"/>
  <c r="S492" i="4"/>
  <c r="S148" i="4"/>
  <c r="S345" i="4"/>
  <c r="S286" i="4"/>
  <c r="S53" i="4"/>
  <c r="S223" i="4"/>
  <c r="S114" i="4"/>
  <c r="S433" i="4"/>
  <c r="S74" i="4"/>
  <c r="S216" i="4"/>
  <c r="S478" i="4"/>
  <c r="S382" i="4"/>
  <c r="S11" i="4"/>
  <c r="S389" i="4"/>
  <c r="S484" i="4"/>
  <c r="S200" i="4"/>
  <c r="S262" i="4"/>
  <c r="S306" i="4"/>
  <c r="S161" i="4"/>
  <c r="S121" i="4"/>
  <c r="S92" i="4"/>
  <c r="S297" i="4"/>
  <c r="S84" i="4"/>
  <c r="S289" i="4"/>
  <c r="S459" i="4"/>
  <c r="S50" i="4"/>
  <c r="S390" i="4"/>
  <c r="S9" i="4"/>
  <c r="S228" i="4"/>
  <c r="S368" i="4"/>
  <c r="S403" i="4"/>
  <c r="S279" i="4"/>
  <c r="S330" i="4"/>
  <c r="S472" i="4"/>
  <c r="S253" i="4"/>
  <c r="S41" i="4"/>
  <c r="S334" i="4"/>
  <c r="S14" i="4"/>
  <c r="S284" i="4"/>
  <c r="S152" i="4"/>
  <c r="S379" i="4"/>
  <c r="S49" i="4"/>
  <c r="S31" i="4"/>
  <c r="S212" i="4"/>
  <c r="S197" i="4"/>
  <c r="X352" i="4"/>
  <c r="X487" i="4"/>
  <c r="X414" i="4"/>
  <c r="X316" i="4"/>
  <c r="X159" i="4"/>
  <c r="X310" i="4"/>
  <c r="X163" i="4"/>
  <c r="X72" i="4"/>
  <c r="X471" i="4"/>
  <c r="X341" i="4"/>
  <c r="X442" i="4"/>
  <c r="X274" i="4"/>
  <c r="X306" i="4"/>
  <c r="X142" i="4"/>
  <c r="X381" i="4"/>
  <c r="X302" i="4"/>
  <c r="X267" i="4"/>
  <c r="X322" i="4"/>
  <c r="X158" i="4"/>
  <c r="X324" i="4"/>
  <c r="X433" i="4"/>
  <c r="X82" i="4"/>
  <c r="X21" i="4"/>
  <c r="X221" i="4"/>
  <c r="X23" i="4"/>
  <c r="X189" i="4"/>
  <c r="X501" i="4"/>
  <c r="X112" i="4"/>
  <c r="X348" i="4"/>
  <c r="X347" i="4"/>
  <c r="X140" i="4"/>
  <c r="X89" i="4"/>
  <c r="X314" i="4"/>
  <c r="X369" i="4"/>
  <c r="X477" i="4"/>
  <c r="X432" i="4"/>
  <c r="X130" i="4"/>
  <c r="X125" i="4"/>
  <c r="X457" i="4"/>
  <c r="X169" i="4"/>
  <c r="X74" i="4"/>
  <c r="X398" i="4"/>
  <c r="X504" i="4"/>
  <c r="X124" i="4"/>
  <c r="X143" i="4"/>
  <c r="X338" i="4"/>
  <c r="X301" i="4"/>
  <c r="X404" i="4"/>
  <c r="X373" i="4"/>
  <c r="X360" i="4"/>
  <c r="X473" i="4"/>
  <c r="X29" i="4"/>
  <c r="X11" i="4"/>
  <c r="X188" i="4"/>
  <c r="X131" i="4"/>
  <c r="X479" i="4"/>
  <c r="X330" i="4"/>
  <c r="X374" i="4"/>
  <c r="X356" i="4"/>
  <c r="X466" i="4"/>
  <c r="X55" i="4"/>
  <c r="X100" i="4"/>
  <c r="X409" i="4"/>
  <c r="X204" i="4"/>
  <c r="X58" i="4"/>
  <c r="X372" i="4"/>
  <c r="X69" i="4"/>
  <c r="X30" i="4"/>
  <c r="X93" i="4"/>
  <c r="X135" i="4"/>
  <c r="X387" i="4"/>
  <c r="X40" i="4"/>
  <c r="X339" i="4"/>
  <c r="X270" i="4"/>
  <c r="X264" i="4"/>
  <c r="X480" i="4"/>
  <c r="X485" i="4"/>
  <c r="X268" i="4"/>
  <c r="X395" i="4"/>
  <c r="X478" i="4"/>
  <c r="X153" i="4"/>
  <c r="X138" i="4"/>
  <c r="X26" i="4"/>
  <c r="X198" i="4"/>
  <c r="X490" i="4"/>
  <c r="X34" i="4"/>
  <c r="X54" i="4"/>
  <c r="X400" i="4"/>
  <c r="X375" i="4"/>
  <c r="X460" i="4"/>
  <c r="X45" i="4"/>
  <c r="X39" i="4"/>
  <c r="X295" i="4"/>
  <c r="X119" i="4"/>
  <c r="X20" i="4"/>
  <c r="X476" i="4"/>
  <c r="X245" i="4"/>
  <c r="X160" i="4"/>
  <c r="X239" i="4"/>
  <c r="X343" i="4"/>
  <c r="X154" i="4"/>
  <c r="X320" i="4"/>
  <c r="X65" i="4"/>
  <c r="X166" i="4"/>
  <c r="X222" i="4"/>
  <c r="X196" i="4"/>
  <c r="X145" i="4"/>
  <c r="X308" i="4"/>
  <c r="X144" i="4"/>
  <c r="X389" i="4"/>
  <c r="X349" i="4"/>
  <c r="X167" i="4"/>
  <c r="X456" i="4"/>
  <c r="X227" i="4"/>
  <c r="X489" i="4"/>
  <c r="X109" i="4"/>
  <c r="X364" i="4"/>
  <c r="X317" i="4"/>
  <c r="X118" i="4"/>
  <c r="X105" i="4"/>
  <c r="X448" i="4"/>
  <c r="X99" i="4"/>
  <c r="X436" i="4"/>
  <c r="X361" i="4"/>
  <c r="X129" i="4"/>
  <c r="X493" i="4"/>
  <c r="X298" i="4"/>
  <c r="X236" i="4"/>
  <c r="X48" i="4"/>
  <c r="X193" i="4"/>
  <c r="X92" i="4"/>
  <c r="X205" i="4"/>
  <c r="X260" i="4"/>
  <c r="X284" i="4"/>
  <c r="X202" i="4"/>
  <c r="X94" i="4"/>
  <c r="X206" i="4"/>
  <c r="X376" i="4"/>
  <c r="X13" i="4"/>
  <c r="X362" i="4"/>
  <c r="X416" i="4"/>
  <c r="X434" i="4"/>
  <c r="X218" i="4"/>
  <c r="X418" i="4"/>
  <c r="X371" i="4"/>
  <c r="X49" i="4"/>
  <c r="X32" i="4"/>
  <c r="X31" i="4"/>
  <c r="X486" i="4"/>
  <c r="X417" i="4"/>
  <c r="X304" i="4"/>
  <c r="X450" i="4"/>
  <c r="X359" i="4"/>
  <c r="X42" i="4"/>
  <c r="X407" i="4"/>
  <c r="X281" i="4"/>
  <c r="X459" i="4"/>
  <c r="X98" i="4"/>
  <c r="X106" i="4"/>
  <c r="X215" i="4"/>
  <c r="X327" i="4"/>
  <c r="X258" i="4"/>
  <c r="X410" i="4"/>
  <c r="X209" i="4"/>
  <c r="X113" i="4"/>
  <c r="X379" i="4"/>
  <c r="X108" i="4"/>
  <c r="X257" i="4"/>
  <c r="X139" i="4"/>
  <c r="X382" i="4"/>
  <c r="X437" i="4"/>
  <c r="X491" i="4"/>
  <c r="X488" i="4"/>
  <c r="X127" i="4"/>
  <c r="X7" i="4"/>
  <c r="X331" i="4"/>
  <c r="X255" i="4"/>
  <c r="X453" i="4"/>
  <c r="X226" i="4"/>
  <c r="X180" i="4"/>
  <c r="X261" i="4"/>
  <c r="X458" i="4"/>
  <c r="X73" i="4"/>
  <c r="X164" i="4"/>
  <c r="X313" i="4"/>
  <c r="X114" i="4"/>
  <c r="X122" i="4"/>
  <c r="X238" i="4"/>
  <c r="X97" i="4"/>
  <c r="X445" i="4"/>
  <c r="X51" i="4"/>
  <c r="X183" i="4"/>
  <c r="X232" i="4"/>
  <c r="X76" i="4"/>
  <c r="X406" i="4"/>
  <c r="X285" i="4"/>
  <c r="X321" i="4"/>
  <c r="X332" i="4"/>
  <c r="X455" i="4"/>
  <c r="X104" i="4"/>
  <c r="X248" i="4"/>
  <c r="X246" i="4"/>
  <c r="X272" i="4"/>
  <c r="X469" i="4"/>
  <c r="X259" i="4"/>
  <c r="X405" i="4"/>
  <c r="X61" i="4"/>
  <c r="X111" i="4"/>
  <c r="X217" i="4"/>
  <c r="X137" i="4"/>
  <c r="X22" i="4"/>
  <c r="X444" i="4"/>
  <c r="X24" i="4"/>
  <c r="X419" i="4"/>
  <c r="X402" i="4"/>
  <c r="X91" i="4"/>
  <c r="X271" i="4"/>
  <c r="X277" i="4"/>
  <c r="X435" i="4"/>
  <c r="X207" i="4"/>
  <c r="X438" i="4"/>
  <c r="X194" i="4"/>
  <c r="X390" i="4"/>
  <c r="X500" i="4"/>
  <c r="X287" i="4"/>
  <c r="X397" i="4"/>
  <c r="X141" i="4"/>
  <c r="X171" i="4"/>
  <c r="X447" i="4"/>
  <c r="X136" i="4"/>
  <c r="X38" i="4"/>
  <c r="X340" i="4"/>
  <c r="X503" i="4"/>
  <c r="X19" i="4"/>
  <c r="X17" i="4"/>
  <c r="X380" i="4"/>
  <c r="X365" i="4"/>
  <c r="X309" i="4"/>
  <c r="X116" i="4"/>
  <c r="X14" i="4"/>
  <c r="X273" i="4"/>
  <c r="X68" i="4"/>
  <c r="X345" i="4"/>
  <c r="X197" i="4"/>
  <c r="X244" i="4"/>
  <c r="X77" i="4"/>
  <c r="X176" i="4"/>
  <c r="X461" i="4"/>
  <c r="X155" i="4"/>
  <c r="X412" i="4"/>
  <c r="X399" i="4"/>
  <c r="X319" i="4"/>
  <c r="X120" i="4"/>
  <c r="X499" i="4"/>
  <c r="X228" i="4"/>
  <c r="X187" i="4"/>
  <c r="X279" i="4"/>
  <c r="X101" i="4"/>
  <c r="X168" i="4"/>
  <c r="X454" i="4"/>
  <c r="X146" i="4"/>
  <c r="X325" i="4"/>
  <c r="X394" i="4"/>
  <c r="X59" i="4"/>
  <c r="X367" i="4"/>
  <c r="X481" i="4"/>
  <c r="X498" i="4"/>
  <c r="X315" i="4"/>
  <c r="X354" i="4"/>
  <c r="X431" i="4"/>
  <c r="X233" i="4"/>
  <c r="X474" i="4"/>
  <c r="X203" i="4"/>
  <c r="X334" i="4"/>
  <c r="X33" i="4"/>
  <c r="X211" i="4"/>
  <c r="X186" i="4"/>
  <c r="X408" i="4"/>
  <c r="X429" i="4"/>
  <c r="X185" i="4"/>
  <c r="X84" i="4"/>
  <c r="X256" i="4"/>
  <c r="X208" i="4"/>
  <c r="X134" i="4"/>
  <c r="X200" i="4"/>
  <c r="X162" i="4"/>
  <c r="X172" i="4"/>
  <c r="X201" i="4"/>
  <c r="X107" i="4"/>
  <c r="X219" i="4"/>
  <c r="X165" i="4"/>
  <c r="X86" i="4"/>
  <c r="X451" i="4"/>
  <c r="X152" i="4"/>
  <c r="X103" i="4"/>
  <c r="X497" i="4"/>
  <c r="X123" i="4"/>
  <c r="X75" i="4"/>
  <c r="X452" i="4"/>
  <c r="X62" i="4"/>
  <c r="X291" i="4"/>
  <c r="X305" i="4"/>
  <c r="X240" i="4"/>
  <c r="X495" i="4"/>
  <c r="X252" i="4"/>
  <c r="X46" i="4"/>
  <c r="X386" i="4"/>
  <c r="X126" i="4"/>
  <c r="X57" i="4"/>
  <c r="X401" i="4"/>
  <c r="X342" i="4"/>
  <c r="X358" i="4"/>
  <c r="X210" i="4"/>
  <c r="X5" i="4"/>
  <c r="X177" i="4"/>
  <c r="X47" i="4"/>
  <c r="X56" i="4"/>
  <c r="X377" i="4"/>
  <c r="X421" i="4"/>
  <c r="X393" i="4"/>
  <c r="X70" i="4"/>
  <c r="X60" i="4"/>
  <c r="X50" i="4"/>
  <c r="X8" i="4"/>
  <c r="X79" i="4"/>
  <c r="X294" i="4"/>
  <c r="X148" i="4"/>
  <c r="X286" i="4"/>
  <c r="X266" i="4"/>
  <c r="X247" i="4"/>
  <c r="X110" i="4"/>
  <c r="X182" i="4"/>
  <c r="X150" i="4"/>
  <c r="X64" i="4"/>
  <c r="X468" i="4"/>
  <c r="X170" i="4"/>
  <c r="X52" i="4"/>
  <c r="X475" i="4"/>
  <c r="X173" i="4"/>
  <c r="X463" i="4"/>
  <c r="X223" i="4"/>
  <c r="X191" i="4"/>
  <c r="X396" i="4"/>
  <c r="X470" i="4"/>
  <c r="X87" i="4"/>
  <c r="X446" i="4"/>
  <c r="X190" i="4"/>
  <c r="X88" i="4"/>
  <c r="X346" i="4"/>
  <c r="X278" i="4"/>
  <c r="X230" i="4"/>
  <c r="X220" i="4"/>
  <c r="X9" i="4"/>
  <c r="X427" i="4"/>
  <c r="X303" i="4"/>
  <c r="X156" i="4"/>
  <c r="X199" i="4"/>
  <c r="X496" i="4"/>
  <c r="X128" i="4"/>
  <c r="X251" i="4"/>
  <c r="X290" i="4"/>
  <c r="X297" i="4"/>
  <c r="X102" i="4"/>
  <c r="X121" i="4"/>
  <c r="X43" i="4"/>
  <c r="X370" i="4"/>
  <c r="X368" i="4"/>
  <c r="X192" i="4"/>
  <c r="X423" i="4"/>
  <c r="X157" i="4"/>
  <c r="X472" i="4"/>
  <c r="X44" i="4"/>
  <c r="X299" i="4"/>
  <c r="X350" i="4"/>
  <c r="X12" i="4"/>
  <c r="X174" i="4"/>
  <c r="X449" i="4"/>
  <c r="X151" i="4"/>
  <c r="X276" i="4"/>
  <c r="X462" i="4"/>
  <c r="X231" i="4"/>
  <c r="X296" i="4"/>
  <c r="X115" i="4"/>
  <c r="X80" i="4"/>
  <c r="X149" i="4"/>
  <c r="X275" i="4"/>
  <c r="X133" i="4"/>
  <c r="X283" i="4"/>
  <c r="X502" i="4"/>
  <c r="X422" i="4"/>
  <c r="X378" i="4"/>
  <c r="X27" i="4"/>
  <c r="X81" i="4"/>
  <c r="X426" i="4"/>
  <c r="X179" i="4"/>
  <c r="X214" i="4"/>
  <c r="X293" i="4"/>
  <c r="X66" i="4"/>
  <c r="X443" i="4"/>
  <c r="X353" i="4"/>
  <c r="X311" i="4"/>
  <c r="X430" i="4"/>
  <c r="X16" i="4"/>
  <c r="X464" i="4"/>
  <c r="X307" i="4"/>
  <c r="X53" i="4"/>
  <c r="X328" i="4"/>
  <c r="X336" i="4"/>
  <c r="X253" i="4"/>
  <c r="X254" i="4"/>
  <c r="X225" i="4"/>
  <c r="X213" i="4"/>
  <c r="X216" i="4"/>
  <c r="X357" i="4"/>
  <c r="X323" i="4"/>
  <c r="X392" i="4"/>
  <c r="X250" i="4"/>
  <c r="X483" i="4"/>
  <c r="X292" i="4"/>
  <c r="X263" i="4"/>
  <c r="X383" i="4"/>
  <c r="X147" i="4"/>
  <c r="X411" i="4"/>
  <c r="X132" i="4"/>
  <c r="X482" i="4"/>
  <c r="X161" i="4"/>
  <c r="X388" i="4"/>
  <c r="X318" i="4"/>
  <c r="X415" i="4"/>
  <c r="X424" i="4"/>
  <c r="X181" i="4"/>
  <c r="X90" i="4"/>
  <c r="X384" i="4"/>
  <c r="X243" i="4"/>
  <c r="X262" i="4"/>
  <c r="X235" i="4"/>
  <c r="X465" i="4"/>
  <c r="X484" i="4"/>
  <c r="X289" i="4"/>
  <c r="X6" i="4"/>
  <c r="X385" i="4"/>
  <c r="X41" i="4"/>
  <c r="X35" i="4"/>
  <c r="X25" i="4"/>
  <c r="X10" i="4"/>
  <c r="X337" i="4"/>
  <c r="X440" i="4"/>
  <c r="X288" i="4"/>
  <c r="X63" i="4"/>
  <c r="X265" i="4"/>
  <c r="X280" i="4"/>
  <c r="X351" i="4"/>
  <c r="X237" i="4"/>
  <c r="X242" i="4"/>
  <c r="X96" i="4"/>
  <c r="X78" i="4"/>
  <c r="X333" i="4"/>
  <c r="X269" i="4"/>
  <c r="X71" i="4"/>
  <c r="X441" i="4"/>
  <c r="X4" i="4"/>
  <c r="X413" i="4"/>
  <c r="X403" i="4"/>
  <c r="X83" i="4"/>
  <c r="X312" i="4"/>
  <c r="X439" i="4"/>
  <c r="X229" i="4"/>
  <c r="X85" i="4"/>
  <c r="X18" i="4"/>
  <c r="X212" i="4"/>
  <c r="X355" i="4"/>
  <c r="X195" i="4"/>
  <c r="X175" i="4"/>
  <c r="X420" i="4"/>
  <c r="X326" i="4"/>
  <c r="X37" i="4"/>
  <c r="X344" i="4"/>
  <c r="X363" i="4"/>
  <c r="X28" i="4"/>
  <c r="X36" i="4"/>
  <c r="X329" i="4"/>
  <c r="X425" i="4"/>
  <c r="X15" i="4"/>
  <c r="X494" i="4"/>
  <c r="X95" i="4"/>
  <c r="X234" i="4"/>
  <c r="X224" i="4"/>
  <c r="X366" i="4"/>
  <c r="X467" i="4"/>
  <c r="X391" i="4"/>
  <c r="X428" i="4"/>
  <c r="X300" i="4"/>
  <c r="X67" i="4"/>
  <c r="X282" i="4"/>
  <c r="X241" i="4"/>
  <c r="X178" i="4"/>
  <c r="X335" i="4"/>
  <c r="X117" i="4"/>
  <c r="X184" i="4"/>
  <c r="X249" i="4"/>
  <c r="X492" i="4"/>
  <c r="T67" i="4" l="1"/>
  <c r="U67" i="4" s="1"/>
  <c r="T498" i="4"/>
  <c r="U498" i="4" s="1"/>
  <c r="Y498" i="4"/>
  <c r="Z498" i="4" s="1"/>
  <c r="T447" i="4"/>
  <c r="U447" i="4" s="1"/>
  <c r="T73" i="4"/>
  <c r="U73" i="4" s="1"/>
  <c r="T165" i="4"/>
  <c r="U165" i="4" s="1"/>
  <c r="Y165" i="4"/>
  <c r="Z165" i="4" s="1"/>
  <c r="T305" i="4"/>
  <c r="U305" i="4" s="1"/>
  <c r="Y305" i="4"/>
  <c r="Z305" i="4" s="1"/>
  <c r="T92" i="4"/>
  <c r="U92" i="4" s="1"/>
  <c r="T125" i="4"/>
  <c r="U125" i="4" s="1"/>
  <c r="T297" i="4"/>
  <c r="U297" i="4" s="1"/>
  <c r="T150" i="4"/>
  <c r="U150" i="4" s="1"/>
  <c r="T129" i="4"/>
  <c r="U129" i="4" s="1"/>
  <c r="T140" i="4"/>
  <c r="U140" i="4" s="1"/>
  <c r="T394" i="4"/>
  <c r="U394" i="4" s="1"/>
  <c r="T275" i="4"/>
  <c r="U275" i="4" s="1"/>
  <c r="T86" i="4"/>
  <c r="U86" i="4" s="1"/>
  <c r="T330" i="4"/>
  <c r="U330" i="4" s="1"/>
  <c r="Y330" i="4"/>
  <c r="T74" i="4"/>
  <c r="U74" i="4" s="1"/>
  <c r="T291" i="4"/>
  <c r="U291" i="4" s="1"/>
  <c r="Y291" i="4"/>
  <c r="Z291" i="4" s="1"/>
  <c r="T398" i="4"/>
  <c r="U398" i="4" s="1"/>
  <c r="T392" i="4"/>
  <c r="U392" i="4" s="1"/>
  <c r="T317" i="4"/>
  <c r="U317" i="4" s="1"/>
  <c r="T397" i="4"/>
  <c r="U397" i="4" s="1"/>
  <c r="T496" i="4"/>
  <c r="U496" i="4" s="1"/>
  <c r="T475" i="4"/>
  <c r="U475" i="4" s="1"/>
  <c r="T197" i="4"/>
  <c r="U197" i="4" s="1"/>
  <c r="T201" i="4"/>
  <c r="U201" i="4" s="1"/>
  <c r="T195" i="4"/>
  <c r="U195" i="4" s="1"/>
  <c r="T79" i="4"/>
  <c r="U79" i="4" s="1"/>
  <c r="T77" i="4"/>
  <c r="U77" i="4" s="1"/>
  <c r="T409" i="4"/>
  <c r="U409" i="4" s="1"/>
  <c r="T371" i="4"/>
  <c r="U371" i="4" s="1"/>
  <c r="T202" i="4"/>
  <c r="U202" i="4" s="1"/>
  <c r="T430" i="4"/>
  <c r="U430" i="4" s="1"/>
  <c r="T325" i="4"/>
  <c r="U325" i="4" s="1"/>
  <c r="T366" i="4"/>
  <c r="U366" i="4" s="1"/>
  <c r="T46" i="4"/>
  <c r="U46" i="4" s="1"/>
  <c r="T151" i="4"/>
  <c r="U151" i="4" s="1"/>
  <c r="T216" i="4"/>
  <c r="U216" i="4" s="1"/>
  <c r="T29" i="4"/>
  <c r="U29" i="4" s="1"/>
  <c r="T328" i="4"/>
  <c r="U328" i="4" s="1"/>
  <c r="T131" i="4"/>
  <c r="U131" i="4" s="1"/>
  <c r="T456" i="4"/>
  <c r="U456" i="4" s="1"/>
  <c r="T464" i="4"/>
  <c r="U464" i="4" s="1"/>
  <c r="T98" i="4"/>
  <c r="U98" i="4" s="1"/>
  <c r="T281" i="4"/>
  <c r="U281" i="4" s="1"/>
  <c r="T326" i="4"/>
  <c r="U326" i="4" s="1"/>
  <c r="T472" i="4"/>
  <c r="U472" i="4" s="1"/>
  <c r="T106" i="4"/>
  <c r="U106" i="4" s="1"/>
  <c r="T376" i="4"/>
  <c r="U376" i="4" s="1"/>
  <c r="T446" i="4"/>
  <c r="U446" i="4" s="1"/>
  <c r="T19" i="4"/>
  <c r="U19" i="4" s="1"/>
  <c r="T253" i="4"/>
  <c r="U253" i="4" s="1"/>
  <c r="T84" i="4"/>
  <c r="T478" i="4"/>
  <c r="U478" i="4" s="1"/>
  <c r="T282" i="4"/>
  <c r="U282" i="4" s="1"/>
  <c r="T22" i="4"/>
  <c r="U22" i="4" s="1"/>
  <c r="T23" i="4"/>
  <c r="U23" i="4" s="1"/>
  <c r="T138" i="4"/>
  <c r="U138" i="4" s="1"/>
  <c r="T194" i="4"/>
  <c r="T5" i="4"/>
  <c r="U5" i="4" s="1"/>
  <c r="T454" i="4"/>
  <c r="U454" i="4" s="1"/>
  <c r="T333" i="4"/>
  <c r="U333" i="4" s="1"/>
  <c r="T68" i="4"/>
  <c r="U68" i="4" s="1"/>
  <c r="T386" i="4"/>
  <c r="U386" i="4" s="1"/>
  <c r="T185" i="4"/>
  <c r="T501" i="4"/>
  <c r="U501" i="4" s="1"/>
  <c r="T491" i="4"/>
  <c r="U491" i="4" s="1"/>
  <c r="T288" i="4"/>
  <c r="U288" i="4" s="1"/>
  <c r="T214" i="4"/>
  <c r="U214" i="4" s="1"/>
  <c r="T99" i="4"/>
  <c r="U99" i="4" s="1"/>
  <c r="T210" i="4"/>
  <c r="T267" i="4"/>
  <c r="U267" i="4" s="1"/>
  <c r="T166" i="4"/>
  <c r="U166" i="4" s="1"/>
  <c r="T83" i="4"/>
  <c r="U83" i="4" s="1"/>
  <c r="T453" i="4"/>
  <c r="U453" i="4" s="1"/>
  <c r="T149" i="4"/>
  <c r="U149" i="4" s="1"/>
  <c r="T437" i="4"/>
  <c r="T100" i="4"/>
  <c r="U100" i="4" s="1"/>
  <c r="T104" i="4"/>
  <c r="U104" i="4" s="1"/>
  <c r="T427" i="4"/>
  <c r="U427" i="4" s="1"/>
  <c r="T177" i="4"/>
  <c r="U177" i="4" s="1"/>
  <c r="T154" i="4"/>
  <c r="U154" i="4" s="1"/>
  <c r="T205" i="4"/>
  <c r="T147" i="4"/>
  <c r="U147" i="4" s="1"/>
  <c r="T293" i="4"/>
  <c r="U293" i="4" s="1"/>
  <c r="T204" i="4"/>
  <c r="U204" i="4" s="1"/>
  <c r="T435" i="4"/>
  <c r="U435" i="4" s="1"/>
  <c r="T329" i="4"/>
  <c r="U329" i="4" s="1"/>
  <c r="T111" i="4"/>
  <c r="T116" i="4"/>
  <c r="U116" i="4" s="1"/>
  <c r="T480" i="4"/>
  <c r="U480" i="4" s="1"/>
  <c r="T244" i="4"/>
  <c r="U244" i="4" s="1"/>
  <c r="T113" i="4"/>
  <c r="U113" i="4" s="1"/>
  <c r="T341" i="4"/>
  <c r="U341" i="4" s="1"/>
  <c r="T130" i="4"/>
  <c r="T132" i="4"/>
  <c r="U132" i="4" s="1"/>
  <c r="T426" i="4"/>
  <c r="U426" i="4" s="1"/>
  <c r="T48" i="4"/>
  <c r="U48" i="4" s="1"/>
  <c r="T335" i="4"/>
  <c r="U335" i="4" s="1"/>
  <c r="T420" i="4"/>
  <c r="U420" i="4" s="1"/>
  <c r="T191" i="4"/>
  <c r="T378" i="4"/>
  <c r="U378" i="4" s="1"/>
  <c r="T173" i="4"/>
  <c r="U173" i="4" s="1"/>
  <c r="T40" i="4"/>
  <c r="U40" i="4" s="1"/>
  <c r="T122" i="4"/>
  <c r="U122" i="4" s="1"/>
  <c r="T419" i="4"/>
  <c r="U419" i="4" s="1"/>
  <c r="T251" i="4"/>
  <c r="T30" i="4"/>
  <c r="U30" i="4" s="1"/>
  <c r="T450" i="4"/>
  <c r="U450" i="4" s="1"/>
  <c r="T144" i="4"/>
  <c r="U144" i="4" s="1"/>
  <c r="T218" i="4"/>
  <c r="U218" i="4" s="1"/>
  <c r="T56" i="4"/>
  <c r="U56" i="4" s="1"/>
  <c r="T477" i="4"/>
  <c r="T107" i="4"/>
  <c r="U107" i="4" s="1"/>
  <c r="T71" i="4"/>
  <c r="U71" i="4" s="1"/>
  <c r="T82" i="4"/>
  <c r="U82" i="4" s="1"/>
  <c r="T64" i="4"/>
  <c r="U64" i="4" s="1"/>
  <c r="T466" i="4"/>
  <c r="U466" i="4" s="1"/>
  <c r="T338" i="4"/>
  <c r="T327" i="4"/>
  <c r="U327" i="4" s="1"/>
  <c r="T65" i="4"/>
  <c r="U65" i="4" s="1"/>
  <c r="T90" i="4"/>
  <c r="U90" i="4" s="1"/>
  <c r="T47" i="4"/>
  <c r="U47" i="4" s="1"/>
  <c r="T45" i="4"/>
  <c r="U45" i="4" s="1"/>
  <c r="T212" i="4"/>
  <c r="U212" i="4" s="1"/>
  <c r="T279" i="4"/>
  <c r="U279" i="4" s="1"/>
  <c r="T121" i="4"/>
  <c r="U121" i="4" s="1"/>
  <c r="T433" i="4"/>
  <c r="U433" i="4" s="1"/>
  <c r="T133" i="4"/>
  <c r="U133" i="4" s="1"/>
  <c r="T237" i="4"/>
  <c r="U237" i="4" s="1"/>
  <c r="T309" i="4"/>
  <c r="U309" i="4" s="1"/>
  <c r="T8" i="4"/>
  <c r="U8" i="4" s="1"/>
  <c r="T206" i="4"/>
  <c r="U206" i="4" s="1"/>
  <c r="T504" i="4"/>
  <c r="U504" i="4" s="1"/>
  <c r="T363" i="4"/>
  <c r="U363" i="4" s="1"/>
  <c r="T485" i="4"/>
  <c r="U485" i="4" s="1"/>
  <c r="T263" i="4"/>
  <c r="U263" i="4" s="1"/>
  <c r="T320" i="4"/>
  <c r="U320" i="4" s="1"/>
  <c r="T353" i="4"/>
  <c r="U353" i="4" s="1"/>
  <c r="T105" i="4"/>
  <c r="U105" i="4" s="1"/>
  <c r="T444" i="4"/>
  <c r="U444" i="4" s="1"/>
  <c r="T153" i="4"/>
  <c r="U153" i="4" s="1"/>
  <c r="T245" i="4"/>
  <c r="U245" i="4" s="1"/>
  <c r="T497" i="4"/>
  <c r="U497" i="4" s="1"/>
  <c r="T124" i="4"/>
  <c r="U124" i="4" s="1"/>
  <c r="T10" i="4"/>
  <c r="U10" i="4" s="1"/>
  <c r="T414" i="4"/>
  <c r="U414" i="4" s="1"/>
  <c r="T299" i="4"/>
  <c r="U299" i="4" s="1"/>
  <c r="T445" i="4"/>
  <c r="U445" i="4" s="1"/>
  <c r="T354" i="4"/>
  <c r="U354" i="4" s="1"/>
  <c r="T6" i="4"/>
  <c r="U6" i="4" s="1"/>
  <c r="Y135" i="4"/>
  <c r="Z135" i="4" s="1"/>
  <c r="U135" i="4"/>
  <c r="T302" i="4"/>
  <c r="U302" i="4" s="1"/>
  <c r="T110" i="4"/>
  <c r="U110" i="4" s="1"/>
  <c r="T62" i="4"/>
  <c r="U62" i="4" s="1"/>
  <c r="T180" i="4"/>
  <c r="U180" i="4" s="1"/>
  <c r="T412" i="4"/>
  <c r="U412" i="4" s="1"/>
  <c r="T429" i="4"/>
  <c r="U429" i="4" s="1"/>
  <c r="T417" i="4"/>
  <c r="U417" i="4" s="1"/>
  <c r="T163" i="4"/>
  <c r="U163" i="4" s="1"/>
  <c r="T259" i="4"/>
  <c r="U259" i="4" s="1"/>
  <c r="T167" i="4"/>
  <c r="U167" i="4" s="1"/>
  <c r="T401" i="4"/>
  <c r="U401" i="4" s="1"/>
  <c r="T408" i="4"/>
  <c r="U408" i="4" s="1"/>
  <c r="T360" i="4"/>
  <c r="U360" i="4" s="1"/>
  <c r="T31" i="4"/>
  <c r="U31" i="4" s="1"/>
  <c r="T403" i="4"/>
  <c r="U403" i="4" s="1"/>
  <c r="T161" i="4"/>
  <c r="U161" i="4" s="1"/>
  <c r="T114" i="4"/>
  <c r="U114" i="4" s="1"/>
  <c r="T388" i="4"/>
  <c r="U388" i="4" s="1"/>
  <c r="T361" i="4"/>
  <c r="U361" i="4" s="1"/>
  <c r="T78" i="4"/>
  <c r="U78" i="4" s="1"/>
  <c r="T54" i="4"/>
  <c r="U54" i="4" s="1"/>
  <c r="T441" i="4"/>
  <c r="U441" i="4" s="1"/>
  <c r="T449" i="4"/>
  <c r="U449" i="4" s="1"/>
  <c r="T134" i="4"/>
  <c r="U134" i="4" s="1"/>
  <c r="T332" i="4"/>
  <c r="U332" i="4" s="1"/>
  <c r="T374" i="4"/>
  <c r="U374" i="4" s="1"/>
  <c r="T415" i="4"/>
  <c r="U415" i="4" s="1"/>
  <c r="T387" i="4"/>
  <c r="U387" i="4" s="1"/>
  <c r="T192" i="4"/>
  <c r="U192" i="4" s="1"/>
  <c r="T33" i="4"/>
  <c r="U33" i="4" s="1"/>
  <c r="T493" i="4"/>
  <c r="U493" i="4" s="1"/>
  <c r="T405" i="4"/>
  <c r="U405" i="4" s="1"/>
  <c r="T442" i="4"/>
  <c r="U442" i="4" s="1"/>
  <c r="T184" i="4"/>
  <c r="U184" i="4" s="1"/>
  <c r="T21" i="4"/>
  <c r="U21" i="4" s="1"/>
  <c r="T495" i="4"/>
  <c r="U495" i="4" s="1"/>
  <c r="T109" i="4"/>
  <c r="U109" i="4" s="1"/>
  <c r="T365" i="4"/>
  <c r="U365" i="4" s="1"/>
  <c r="T145" i="4"/>
  <c r="U145" i="4" s="1"/>
  <c r="T85" i="4"/>
  <c r="U85" i="4" s="1"/>
  <c r="T159" i="4"/>
  <c r="U159" i="4" s="1"/>
  <c r="T72" i="4"/>
  <c r="U72" i="4" s="1"/>
  <c r="T287" i="4"/>
  <c r="U287" i="4" s="1"/>
  <c r="T169" i="4"/>
  <c r="U169" i="4" s="1"/>
  <c r="T42" i="4"/>
  <c r="U42" i="4" s="1"/>
  <c r="T301" i="4"/>
  <c r="U301" i="4" s="1"/>
  <c r="T115" i="4"/>
  <c r="U115" i="4" s="1"/>
  <c r="T312" i="4"/>
  <c r="U312" i="4" s="1"/>
  <c r="T103" i="4"/>
  <c r="U103" i="4" s="1"/>
  <c r="T190" i="4"/>
  <c r="U190" i="4" s="1"/>
  <c r="T235" i="4"/>
  <c r="U235" i="4" s="1"/>
  <c r="T452" i="4"/>
  <c r="U452" i="4" s="1"/>
  <c r="T307" i="4"/>
  <c r="U307" i="4" s="1"/>
  <c r="T211" i="4"/>
  <c r="U211" i="4" s="1"/>
  <c r="T55" i="4"/>
  <c r="U55" i="4" s="1"/>
  <c r="T49" i="4"/>
  <c r="U49" i="4" s="1"/>
  <c r="T368" i="4"/>
  <c r="U368" i="4" s="1"/>
  <c r="T306" i="4"/>
  <c r="U306" i="4" s="1"/>
  <c r="T223" i="4"/>
  <c r="U223" i="4" s="1"/>
  <c r="T473" i="4"/>
  <c r="U473" i="4" s="1"/>
  <c r="T395" i="4"/>
  <c r="U395" i="4" s="1"/>
  <c r="T91" i="4"/>
  <c r="U91" i="4" s="1"/>
  <c r="T128" i="4"/>
  <c r="U128" i="4" s="1"/>
  <c r="T143" i="4"/>
  <c r="U143" i="4" s="1"/>
  <c r="T276" i="4"/>
  <c r="U276" i="4" s="1"/>
  <c r="T249" i="4"/>
  <c r="U249" i="4" s="1"/>
  <c r="T278" i="4"/>
  <c r="U278" i="4" s="1"/>
  <c r="T222" i="4"/>
  <c r="U222" i="4" s="1"/>
  <c r="T207" i="4"/>
  <c r="U207" i="4" s="1"/>
  <c r="T16" i="4"/>
  <c r="U16" i="4" s="1"/>
  <c r="T254" i="4"/>
  <c r="U254" i="4" s="1"/>
  <c r="T94" i="4"/>
  <c r="U94" i="4" s="1"/>
  <c r="T370" i="4"/>
  <c r="U370" i="4" s="1"/>
  <c r="T76" i="4"/>
  <c r="U76" i="4" s="1"/>
  <c r="T25" i="4"/>
  <c r="U25" i="4" s="1"/>
  <c r="T274" i="4"/>
  <c r="U274" i="4" s="1"/>
  <c r="T377" i="4"/>
  <c r="U377" i="4" s="1"/>
  <c r="T348" i="4"/>
  <c r="U348" i="4" s="1"/>
  <c r="T243" i="4"/>
  <c r="U243" i="4" s="1"/>
  <c r="T471" i="4"/>
  <c r="U471" i="4" s="1"/>
  <c r="T155" i="4"/>
  <c r="U155" i="4" s="1"/>
  <c r="T96" i="4"/>
  <c r="U96" i="4" s="1"/>
  <c r="T12" i="4"/>
  <c r="U12" i="4" s="1"/>
  <c r="T4" i="4"/>
  <c r="U4" i="4" s="1"/>
  <c r="T321" i="4"/>
  <c r="U321" i="4" s="1"/>
  <c r="T209" i="4"/>
  <c r="U209" i="4" s="1"/>
  <c r="T331" i="4"/>
  <c r="U331" i="4" s="1"/>
  <c r="T500" i="4"/>
  <c r="U500" i="4" s="1"/>
  <c r="T24" i="4"/>
  <c r="U24" i="4" s="1"/>
  <c r="T359" i="4"/>
  <c r="U359" i="4" s="1"/>
  <c r="T470" i="4"/>
  <c r="U470" i="4" s="1"/>
  <c r="T352" i="4"/>
  <c r="U352" i="4" s="1"/>
  <c r="T156" i="4"/>
  <c r="U156" i="4" s="1"/>
  <c r="T20" i="4"/>
  <c r="U20" i="4" s="1"/>
  <c r="T224" i="4"/>
  <c r="U224" i="4" s="1"/>
  <c r="T215" i="4"/>
  <c r="U215" i="4" s="1"/>
  <c r="T66" i="4"/>
  <c r="U66" i="4" s="1"/>
  <c r="T379" i="4"/>
  <c r="U379" i="4" s="1"/>
  <c r="T228" i="4"/>
  <c r="U228" i="4" s="1"/>
  <c r="T262" i="4"/>
  <c r="U262" i="4" s="1"/>
  <c r="T53" i="4"/>
  <c r="U53" i="4" s="1"/>
  <c r="T178" i="4"/>
  <c r="U178" i="4" s="1"/>
  <c r="T198" i="4"/>
  <c r="U198" i="4" s="1"/>
  <c r="T238" i="4"/>
  <c r="U238" i="4" s="1"/>
  <c r="T462" i="4"/>
  <c r="U462" i="4" s="1"/>
  <c r="T423" i="4"/>
  <c r="U423" i="4" s="1"/>
  <c r="T474" i="4"/>
  <c r="U474" i="4" s="1"/>
  <c r="T268" i="4"/>
  <c r="U268" i="4" s="1"/>
  <c r="T349" i="4"/>
  <c r="U349" i="4" s="1"/>
  <c r="T400" i="4"/>
  <c r="U400" i="4" s="1"/>
  <c r="T258" i="4"/>
  <c r="U258" i="4" s="1"/>
  <c r="T499" i="4"/>
  <c r="U499" i="4" s="1"/>
  <c r="T269" i="4"/>
  <c r="T69" i="4"/>
  <c r="U69" i="4" s="1"/>
  <c r="T292" i="4"/>
  <c r="U292" i="4" s="1"/>
  <c r="T35" i="4"/>
  <c r="U35" i="4" s="1"/>
  <c r="T123" i="4"/>
  <c r="U123" i="4" s="1"/>
  <c r="T451" i="4"/>
  <c r="U451" i="4" s="1"/>
  <c r="T32" i="4"/>
  <c r="T421" i="4"/>
  <c r="U421" i="4" s="1"/>
  <c r="T232" i="4"/>
  <c r="U232" i="4" s="1"/>
  <c r="T310" i="4"/>
  <c r="U310" i="4" s="1"/>
  <c r="T319" i="4"/>
  <c r="U319" i="4" s="1"/>
  <c r="T358" i="4"/>
  <c r="U358" i="4" s="1"/>
  <c r="T364" i="4"/>
  <c r="T483" i="4"/>
  <c r="U483" i="4" s="1"/>
  <c r="T231" i="4"/>
  <c r="U231" i="4" s="1"/>
  <c r="T432" i="4"/>
  <c r="U432" i="4" s="1"/>
  <c r="T391" i="4"/>
  <c r="U391" i="4" s="1"/>
  <c r="T266" i="4"/>
  <c r="U266" i="4" s="1"/>
  <c r="T59" i="4"/>
  <c r="T176" i="4"/>
  <c r="U176" i="4" s="1"/>
  <c r="T75" i="4"/>
  <c r="U75" i="4" s="1"/>
  <c r="T119" i="4"/>
  <c r="U119" i="4" s="1"/>
  <c r="T17" i="4"/>
  <c r="T343" i="4"/>
  <c r="T239" i="4"/>
  <c r="T44" i="4"/>
  <c r="U44" i="4" s="1"/>
  <c r="T277" i="4"/>
  <c r="U277" i="4" s="1"/>
  <c r="Z330" i="4"/>
  <c r="AA330" i="4" s="1"/>
  <c r="AB330" i="4" s="1"/>
  <c r="T152" i="4"/>
  <c r="U152" i="4" s="1"/>
  <c r="T9" i="4"/>
  <c r="U9" i="4" s="1"/>
  <c r="T200" i="4"/>
  <c r="U200" i="4" s="1"/>
  <c r="T286" i="4"/>
  <c r="T199" i="4"/>
  <c r="U199" i="4" s="1"/>
  <c r="T272" i="4"/>
  <c r="U272" i="4" s="1"/>
  <c r="T89" i="4"/>
  <c r="U89" i="4" s="1"/>
  <c r="T407" i="4"/>
  <c r="U407" i="4" s="1"/>
  <c r="T425" i="4"/>
  <c r="U425" i="4" s="1"/>
  <c r="T241" i="4"/>
  <c r="T255" i="4"/>
  <c r="U255" i="4" s="1"/>
  <c r="T39" i="4"/>
  <c r="U39" i="4" s="1"/>
  <c r="T298" i="4"/>
  <c r="U298" i="4" s="1"/>
  <c r="T162" i="4"/>
  <c r="U162" i="4" s="1"/>
  <c r="T304" i="4"/>
  <c r="U304" i="4" s="1"/>
  <c r="T273" i="4"/>
  <c r="T260" i="4"/>
  <c r="U260" i="4" s="1"/>
  <c r="T346" i="4"/>
  <c r="U346" i="4" s="1"/>
  <c r="T434" i="4"/>
  <c r="U434" i="4" s="1"/>
  <c r="T174" i="4"/>
  <c r="U174" i="4" s="1"/>
  <c r="T229" i="4"/>
  <c r="U229" i="4" s="1"/>
  <c r="T463" i="4"/>
  <c r="T300" i="4"/>
  <c r="U300" i="4" s="1"/>
  <c r="T52" i="4"/>
  <c r="U52" i="4" s="1"/>
  <c r="T236" i="4"/>
  <c r="U236" i="4" s="1"/>
  <c r="T399" i="4"/>
  <c r="U399" i="4" s="1"/>
  <c r="T438" i="4"/>
  <c r="U438" i="4" s="1"/>
  <c r="T217" i="4"/>
  <c r="T313" i="4"/>
  <c r="U313" i="4" s="1"/>
  <c r="T418" i="4"/>
  <c r="U418" i="4" s="1"/>
  <c r="T467" i="4"/>
  <c r="U467" i="4" s="1"/>
  <c r="T283" i="4"/>
  <c r="U283" i="4" s="1"/>
  <c r="T175" i="4"/>
  <c r="U175" i="4" s="1"/>
  <c r="T101" i="4"/>
  <c r="T196" i="4"/>
  <c r="U196" i="4" s="1"/>
  <c r="T431" i="4"/>
  <c r="U431" i="4" s="1"/>
  <c r="T285" i="4"/>
  <c r="U285" i="4" s="1"/>
  <c r="T139" i="4"/>
  <c r="U139" i="4" s="1"/>
  <c r="T213" i="4"/>
  <c r="U213" i="4" s="1"/>
  <c r="T494" i="4"/>
  <c r="T250" i="4"/>
  <c r="U250" i="4" s="1"/>
  <c r="T136" i="4"/>
  <c r="U136" i="4" s="1"/>
  <c r="T284" i="4"/>
  <c r="U284" i="4" s="1"/>
  <c r="T390" i="4"/>
  <c r="U390" i="4" s="1"/>
  <c r="T484" i="4"/>
  <c r="U484" i="4" s="1"/>
  <c r="T345" i="4"/>
  <c r="T27" i="4"/>
  <c r="U27" i="4" s="1"/>
  <c r="T383" i="4"/>
  <c r="U383" i="4" s="1"/>
  <c r="T57" i="4"/>
  <c r="U57" i="4" s="1"/>
  <c r="T88" i="4"/>
  <c r="U88" i="4" s="1"/>
  <c r="T351" i="4"/>
  <c r="U351" i="4" s="1"/>
  <c r="T315" i="4"/>
  <c r="T339" i="4"/>
  <c r="U339" i="4" s="1"/>
  <c r="T230" i="4"/>
  <c r="U230" i="4" s="1"/>
  <c r="T220" i="4"/>
  <c r="U220" i="4" s="1"/>
  <c r="T108" i="4"/>
  <c r="U108" i="4" s="1"/>
  <c r="T468" i="4"/>
  <c r="U468" i="4" s="1"/>
  <c r="T63" i="4"/>
  <c r="T308" i="4"/>
  <c r="U308" i="4" s="1"/>
  <c r="T28" i="4"/>
  <c r="U28" i="4" s="1"/>
  <c r="T95" i="4"/>
  <c r="U95" i="4" s="1"/>
  <c r="T172" i="4"/>
  <c r="U172" i="4" s="1"/>
  <c r="T465" i="4"/>
  <c r="U465" i="4" s="1"/>
  <c r="T137" i="4"/>
  <c r="T396" i="4"/>
  <c r="U396" i="4" s="1"/>
  <c r="T37" i="4"/>
  <c r="U37" i="4" s="1"/>
  <c r="T323" i="4"/>
  <c r="U323" i="4" s="1"/>
  <c r="T193" i="4"/>
  <c r="U193" i="4" s="1"/>
  <c r="T369" i="4"/>
  <c r="U369" i="4" s="1"/>
  <c r="T18" i="4"/>
  <c r="T296" i="4"/>
  <c r="U296" i="4" s="1"/>
  <c r="T479" i="4"/>
  <c r="U479" i="4" s="1"/>
  <c r="T257" i="4"/>
  <c r="U257" i="4" s="1"/>
  <c r="T168" i="4"/>
  <c r="U168" i="4" s="1"/>
  <c r="T234" i="4"/>
  <c r="U234" i="4" s="1"/>
  <c r="T38" i="4"/>
  <c r="T461" i="4"/>
  <c r="U461" i="4" s="1"/>
  <c r="T476" i="4"/>
  <c r="U476" i="4" s="1"/>
  <c r="Y476" i="4"/>
  <c r="Z476" i="4" s="1"/>
  <c r="T303" i="4"/>
  <c r="U303" i="4" s="1"/>
  <c r="T170" i="4"/>
  <c r="U170" i="4" s="1"/>
  <c r="T436" i="4"/>
  <c r="U436" i="4" s="1"/>
  <c r="T252" i="4"/>
  <c r="T342" i="4"/>
  <c r="U342" i="4" s="1"/>
  <c r="T367" i="4"/>
  <c r="U367" i="4" s="1"/>
  <c r="T14" i="4"/>
  <c r="U14" i="4" s="1"/>
  <c r="T50" i="4"/>
  <c r="U50" i="4" s="1"/>
  <c r="T389" i="4"/>
  <c r="U389" i="4" s="1"/>
  <c r="T148" i="4"/>
  <c r="T7" i="4"/>
  <c r="T460" i="4"/>
  <c r="U460" i="4" s="1"/>
  <c r="T226" i="4"/>
  <c r="U226" i="4" s="1"/>
  <c r="T146" i="4"/>
  <c r="U146" i="4" s="1"/>
  <c r="T256" i="4"/>
  <c r="U256" i="4" s="1"/>
  <c r="T487" i="4"/>
  <c r="T221" i="4"/>
  <c r="U221" i="4" s="1"/>
  <c r="T142" i="4"/>
  <c r="U142" i="4" s="1"/>
  <c r="T246" i="4"/>
  <c r="U246" i="4" s="1"/>
  <c r="T413" i="4"/>
  <c r="U413" i="4" s="1"/>
  <c r="T380" i="4"/>
  <c r="U380" i="4" s="1"/>
  <c r="T384" i="4"/>
  <c r="T443" i="4"/>
  <c r="U443" i="4" s="1"/>
  <c r="T112" i="4"/>
  <c r="U112" i="4" s="1"/>
  <c r="T26" i="4"/>
  <c r="U26" i="4" s="1"/>
  <c r="T316" i="4"/>
  <c r="U316" i="4" s="1"/>
  <c r="T186" i="4"/>
  <c r="U186" i="4" s="1"/>
  <c r="T188" i="4"/>
  <c r="T490" i="4"/>
  <c r="U490" i="4" s="1"/>
  <c r="T347" i="4"/>
  <c r="U347" i="4" s="1"/>
  <c r="T503" i="4"/>
  <c r="U503" i="4" s="1"/>
  <c r="T416" i="4"/>
  <c r="U416" i="4" s="1"/>
  <c r="T324" i="4"/>
  <c r="U324" i="4" s="1"/>
  <c r="T488" i="4"/>
  <c r="T187" i="4"/>
  <c r="U187" i="4" s="1"/>
  <c r="T179" i="4"/>
  <c r="U179" i="4" s="1"/>
  <c r="T424" i="4"/>
  <c r="U424" i="4" s="1"/>
  <c r="T240" i="4"/>
  <c r="U240" i="4" s="1"/>
  <c r="T337" i="4"/>
  <c r="U337" i="4" s="1"/>
  <c r="T61" i="4"/>
  <c r="T481" i="4"/>
  <c r="U481" i="4" s="1"/>
  <c r="T102" i="4"/>
  <c r="U102" i="4" s="1"/>
  <c r="T261" i="4"/>
  <c r="U261" i="4" s="1"/>
  <c r="T248" i="4"/>
  <c r="U248" i="4" s="1"/>
  <c r="T280" i="4"/>
  <c r="U280" i="4" s="1"/>
  <c r="T126" i="4"/>
  <c r="T233" i="4"/>
  <c r="U233" i="4" s="1"/>
  <c r="T402" i="4"/>
  <c r="U402" i="4" s="1"/>
  <c r="T334" i="4"/>
  <c r="U334" i="4" s="1"/>
  <c r="T459" i="4"/>
  <c r="U459" i="4" s="1"/>
  <c r="T11" i="4"/>
  <c r="U11" i="4" s="1"/>
  <c r="T492" i="4"/>
  <c r="T404" i="4"/>
  <c r="U404" i="4" s="1"/>
  <c r="T70" i="4"/>
  <c r="U70" i="4" s="1"/>
  <c r="T225" i="4"/>
  <c r="U225" i="4" s="1"/>
  <c r="T350" i="4"/>
  <c r="U350" i="4" s="1"/>
  <c r="T448" i="4"/>
  <c r="U448" i="4" s="1"/>
  <c r="T344" i="4"/>
  <c r="T182" i="4"/>
  <c r="U182" i="4" s="1"/>
  <c r="T242" i="4"/>
  <c r="U242" i="4" s="1"/>
  <c r="T164" i="4"/>
  <c r="U164" i="4" s="1"/>
  <c r="T208" i="4"/>
  <c r="U208" i="4" s="1"/>
  <c r="T362" i="4"/>
  <c r="T141" i="4"/>
  <c r="T160" i="4"/>
  <c r="U160" i="4" s="1"/>
  <c r="T314" i="4"/>
  <c r="U314" i="4" s="1"/>
  <c r="T294" i="4"/>
  <c r="U294" i="4" s="1"/>
  <c r="T87" i="4"/>
  <c r="U87" i="4" s="1"/>
  <c r="T97" i="4"/>
  <c r="U97" i="4" s="1"/>
  <c r="T247" i="4"/>
  <c r="T355" i="4"/>
  <c r="U355" i="4" s="1"/>
  <c r="T13" i="4"/>
  <c r="U13" i="4" s="1"/>
  <c r="T127" i="4"/>
  <c r="U127" i="4" s="1"/>
  <c r="Y406" i="4"/>
  <c r="Z406" i="4" s="1"/>
  <c r="U406" i="4"/>
  <c r="T458" i="4"/>
  <c r="U458" i="4" s="1"/>
  <c r="T271" i="4"/>
  <c r="T227" i="4"/>
  <c r="U227" i="4" s="1"/>
  <c r="T428" i="4"/>
  <c r="U428" i="4" s="1"/>
  <c r="T93" i="4"/>
  <c r="U93" i="4" s="1"/>
  <c r="T34" i="4"/>
  <c r="U34" i="4" s="1"/>
  <c r="T486" i="4"/>
  <c r="U486" i="4" s="1"/>
  <c r="T219" i="4"/>
  <c r="T183" i="4"/>
  <c r="T422" i="4"/>
  <c r="U422" i="4" s="1"/>
  <c r="T356" i="4"/>
  <c r="U356" i="4" s="1"/>
  <c r="T322" i="4"/>
  <c r="U322" i="4" s="1"/>
  <c r="T410" i="4"/>
  <c r="U410" i="4" s="1"/>
  <c r="T81" i="4"/>
  <c r="T502" i="4"/>
  <c r="U502" i="4" s="1"/>
  <c r="T482" i="4"/>
  <c r="U482" i="4" s="1"/>
  <c r="T41" i="4"/>
  <c r="U41" i="4" s="1"/>
  <c r="T289" i="4"/>
  <c r="U289" i="4" s="1"/>
  <c r="T382" i="4"/>
  <c r="U382" i="4" s="1"/>
  <c r="T43" i="4"/>
  <c r="T158" i="4"/>
  <c r="U158" i="4" s="1"/>
  <c r="T189" i="4"/>
  <c r="T439" i="4"/>
  <c r="U439" i="4" s="1"/>
  <c r="T270" i="4"/>
  <c r="U270" i="4" s="1"/>
  <c r="T60" i="4"/>
  <c r="U60" i="4" s="1"/>
  <c r="T51" i="4"/>
  <c r="T440" i="4"/>
  <c r="U440" i="4" s="1"/>
  <c r="T157" i="4"/>
  <c r="U157" i="4" s="1"/>
  <c r="T318" i="4"/>
  <c r="U318" i="4" s="1"/>
  <c r="T336" i="4"/>
  <c r="U336" i="4" s="1"/>
  <c r="T375" i="4"/>
  <c r="U375" i="4" s="1"/>
  <c r="T469" i="4"/>
  <c r="T381" i="4"/>
  <c r="U381" i="4" s="1"/>
  <c r="T203" i="4"/>
  <c r="U203" i="4" s="1"/>
  <c r="T457" i="4"/>
  <c r="T373" i="4"/>
  <c r="U373" i="4" s="1"/>
  <c r="T411" i="4"/>
  <c r="U411" i="4" s="1"/>
  <c r="T372" i="4"/>
  <c r="T385" i="4"/>
  <c r="U385" i="4" s="1"/>
  <c r="T311" i="4"/>
  <c r="U311" i="4" s="1"/>
  <c r="T393" i="4"/>
  <c r="U393" i="4" s="1"/>
  <c r="T171" i="4"/>
  <c r="U171" i="4" s="1"/>
  <c r="T290" i="4"/>
  <c r="U290" i="4" s="1"/>
  <c r="T80" i="4"/>
  <c r="T118" i="4"/>
  <c r="U118" i="4" s="1"/>
  <c r="T58" i="4"/>
  <c r="U58" i="4" s="1"/>
  <c r="T357" i="4"/>
  <c r="U357" i="4" s="1"/>
  <c r="T181" i="4"/>
  <c r="T120" i="4"/>
  <c r="U120" i="4" s="1"/>
  <c r="T340" i="4"/>
  <c r="T489" i="4"/>
  <c r="U489" i="4" s="1"/>
  <c r="T295" i="4"/>
  <c r="U295" i="4" s="1"/>
  <c r="T264" i="4"/>
  <c r="U264" i="4" s="1"/>
  <c r="T36" i="4"/>
  <c r="U36" i="4" s="1"/>
  <c r="T265" i="4"/>
  <c r="U265" i="4" s="1"/>
  <c r="T117" i="4"/>
  <c r="T15" i="4"/>
  <c r="U15" i="4" s="1"/>
  <c r="T455" i="4"/>
  <c r="U455" i="4" s="1"/>
  <c r="AC330" i="4"/>
  <c r="N330" i="4" s="1"/>
  <c r="Y478" i="4" l="1"/>
  <c r="Z478" i="4" s="1"/>
  <c r="Y65" i="4"/>
  <c r="Z65" i="4" s="1"/>
  <c r="AA65" i="4" s="1"/>
  <c r="AC65" i="4" s="1"/>
  <c r="N65" i="4" s="1"/>
  <c r="Y295" i="4"/>
  <c r="Z295" i="4" s="1"/>
  <c r="AA295" i="4" s="1"/>
  <c r="Y336" i="4"/>
  <c r="Z336" i="4" s="1"/>
  <c r="AA336" i="4" s="1"/>
  <c r="Y465" i="4"/>
  <c r="Z465" i="4" s="1"/>
  <c r="Y427" i="4"/>
  <c r="Z427" i="4" s="1"/>
  <c r="Y99" i="4"/>
  <c r="Z99" i="4" s="1"/>
  <c r="Y28" i="4"/>
  <c r="Z28" i="4" s="1"/>
  <c r="AA28" i="4" s="1"/>
  <c r="AC28" i="4" s="1"/>
  <c r="N28" i="4" s="1"/>
  <c r="Y104" i="4"/>
  <c r="Z104" i="4" s="1"/>
  <c r="AA104" i="4" s="1"/>
  <c r="AC104" i="4" s="1"/>
  <c r="N104" i="4" s="1"/>
  <c r="AA476" i="4"/>
  <c r="AB476" i="4" s="1"/>
  <c r="Y226" i="4"/>
  <c r="Z226" i="4" s="1"/>
  <c r="AA226" i="4" s="1"/>
  <c r="Y383" i="4"/>
  <c r="Z383" i="4" s="1"/>
  <c r="AA383" i="4" s="1"/>
  <c r="AB383" i="4" s="1"/>
  <c r="Y341" i="4"/>
  <c r="Z341" i="4" s="1"/>
  <c r="AA341" i="4" s="1"/>
  <c r="Y193" i="4"/>
  <c r="Z193" i="4" s="1"/>
  <c r="AA193" i="4" s="1"/>
  <c r="AB193" i="4" s="1"/>
  <c r="Y166" i="4"/>
  <c r="Z166" i="4" s="1"/>
  <c r="AA166" i="4" s="1"/>
  <c r="Y68" i="4"/>
  <c r="Z68" i="4" s="1"/>
  <c r="AA68" i="4" s="1"/>
  <c r="Y90" i="4"/>
  <c r="Z90" i="4" s="1"/>
  <c r="AA90" i="4" s="1"/>
  <c r="Y475" i="4"/>
  <c r="Z475" i="4" s="1"/>
  <c r="AA475" i="4" s="1"/>
  <c r="AC475" i="4" s="1"/>
  <c r="N475" i="4" s="1"/>
  <c r="Y337" i="4"/>
  <c r="Z337" i="4" s="1"/>
  <c r="Y215" i="4"/>
  <c r="Z215" i="4" s="1"/>
  <c r="AA215" i="4" s="1"/>
  <c r="AB215" i="4" s="1"/>
  <c r="Y395" i="4"/>
  <c r="Z395" i="4" s="1"/>
  <c r="AA395" i="4" s="1"/>
  <c r="Y149" i="4"/>
  <c r="Z149" i="4" s="1"/>
  <c r="AA149" i="4" s="1"/>
  <c r="Y421" i="4"/>
  <c r="Z421" i="4" s="1"/>
  <c r="AA421" i="4" s="1"/>
  <c r="AB421" i="4" s="1"/>
  <c r="Y66" i="4"/>
  <c r="Z66" i="4" s="1"/>
  <c r="AA66" i="4" s="1"/>
  <c r="AC66" i="4" s="1"/>
  <c r="N66" i="4" s="1"/>
  <c r="Y92" i="4"/>
  <c r="Z92" i="4" s="1"/>
  <c r="AA92" i="4" s="1"/>
  <c r="Y323" i="4"/>
  <c r="Z323" i="4" s="1"/>
  <c r="AA323" i="4" s="1"/>
  <c r="Y196" i="4"/>
  <c r="Z196" i="4" s="1"/>
  <c r="AA196" i="4" s="1"/>
  <c r="Y473" i="4"/>
  <c r="Z473" i="4" s="1"/>
  <c r="AA473" i="4" s="1"/>
  <c r="Y204" i="4"/>
  <c r="Z204" i="4" s="1"/>
  <c r="AA204" i="4" s="1"/>
  <c r="Y288" i="4"/>
  <c r="Z288" i="4" s="1"/>
  <c r="AA288" i="4" s="1"/>
  <c r="Y140" i="4"/>
  <c r="Z140" i="4" s="1"/>
  <c r="Y73" i="4"/>
  <c r="Z73" i="4" s="1"/>
  <c r="Y13" i="4"/>
  <c r="Z13" i="4" s="1"/>
  <c r="AA13" i="4" s="1"/>
  <c r="AC13" i="4" s="1"/>
  <c r="N13" i="4" s="1"/>
  <c r="Y481" i="4"/>
  <c r="Z481" i="4" s="1"/>
  <c r="AA481" i="4" s="1"/>
  <c r="Y416" i="4"/>
  <c r="Z416" i="4" s="1"/>
  <c r="AA416" i="4" s="1"/>
  <c r="Y23" i="4"/>
  <c r="Z23" i="4" s="1"/>
  <c r="AA23" i="4" s="1"/>
  <c r="Y106" i="4"/>
  <c r="Z106" i="4" s="1"/>
  <c r="Y89" i="4"/>
  <c r="Z89" i="4" s="1"/>
  <c r="Y442" i="4"/>
  <c r="Z442" i="4" s="1"/>
  <c r="AA442" i="4" s="1"/>
  <c r="AB442" i="4" s="1"/>
  <c r="Y335" i="4"/>
  <c r="Z335" i="4" s="1"/>
  <c r="AA335" i="4" s="1"/>
  <c r="Y22" i="4"/>
  <c r="Z22" i="4" s="1"/>
  <c r="AA22" i="4" s="1"/>
  <c r="Y157" i="4"/>
  <c r="Z157" i="4" s="1"/>
  <c r="AA157" i="4" s="1"/>
  <c r="AB157" i="4" s="1"/>
  <c r="Y97" i="4"/>
  <c r="Z97" i="4" s="1"/>
  <c r="AA97" i="4" s="1"/>
  <c r="AB97" i="4" s="1"/>
  <c r="Y431" i="4"/>
  <c r="Z431" i="4" s="1"/>
  <c r="AA431" i="4" s="1"/>
  <c r="AC431" i="4" s="1"/>
  <c r="N431" i="4" s="1"/>
  <c r="Y231" i="4"/>
  <c r="Z231" i="4" s="1"/>
  <c r="AA231" i="4" s="1"/>
  <c r="Y4" i="4"/>
  <c r="Z4" i="4" s="1"/>
  <c r="AA4" i="4" s="1"/>
  <c r="Y370" i="4"/>
  <c r="Z370" i="4" s="1"/>
  <c r="AA370" i="4" s="1"/>
  <c r="Y405" i="4"/>
  <c r="Z405" i="4" s="1"/>
  <c r="AA405" i="4" s="1"/>
  <c r="Y240" i="4"/>
  <c r="Z240" i="4" s="1"/>
  <c r="AA240" i="4" s="1"/>
  <c r="AC240" i="4" s="1"/>
  <c r="N240" i="4" s="1"/>
  <c r="Y367" i="4"/>
  <c r="Z367" i="4" s="1"/>
  <c r="AA367" i="4" s="1"/>
  <c r="Y468" i="4"/>
  <c r="Z468" i="4" s="1"/>
  <c r="AA468" i="4" s="1"/>
  <c r="Y259" i="4"/>
  <c r="Z259" i="4" s="1"/>
  <c r="AA259" i="4" s="1"/>
  <c r="Y100" i="4"/>
  <c r="Z100" i="4" s="1"/>
  <c r="AA100" i="4" s="1"/>
  <c r="AA99" i="4"/>
  <c r="AA478" i="4"/>
  <c r="AB66" i="4"/>
  <c r="Y294" i="4"/>
  <c r="Z294" i="4" s="1"/>
  <c r="Y257" i="4"/>
  <c r="Z257" i="4" s="1"/>
  <c r="AA257" i="4" s="1"/>
  <c r="Y300" i="4"/>
  <c r="Z300" i="4" s="1"/>
  <c r="AA300" i="4" s="1"/>
  <c r="AB300" i="4" s="1"/>
  <c r="Y298" i="4"/>
  <c r="Z298" i="4" s="1"/>
  <c r="AA298" i="4" s="1"/>
  <c r="Y200" i="4"/>
  <c r="Z200" i="4" s="1"/>
  <c r="AA200" i="4" s="1"/>
  <c r="Y145" i="4"/>
  <c r="Z145" i="4" s="1"/>
  <c r="AA145" i="4" s="1"/>
  <c r="Y40" i="4"/>
  <c r="Z40" i="4" s="1"/>
  <c r="AA40" i="4" s="1"/>
  <c r="Y5" i="4"/>
  <c r="Z5" i="4" s="1"/>
  <c r="Y150" i="4"/>
  <c r="Z150" i="4" s="1"/>
  <c r="AA150" i="4" s="1"/>
  <c r="Y314" i="4"/>
  <c r="Z314" i="4" s="1"/>
  <c r="AA314" i="4" s="1"/>
  <c r="AB314" i="4" s="1"/>
  <c r="Y9" i="4"/>
  <c r="Z9" i="4" s="1"/>
  <c r="AA9" i="4" s="1"/>
  <c r="Y75" i="4"/>
  <c r="Z75" i="4" s="1"/>
  <c r="AA75" i="4" s="1"/>
  <c r="Y173" i="4"/>
  <c r="Z173" i="4" s="1"/>
  <c r="Y102" i="4"/>
  <c r="Z102" i="4" s="1"/>
  <c r="AA102" i="4" s="1"/>
  <c r="Y460" i="4"/>
  <c r="Z460" i="4" s="1"/>
  <c r="AA460" i="4" s="1"/>
  <c r="Y172" i="4"/>
  <c r="Z172" i="4" s="1"/>
  <c r="AA172" i="4" s="1"/>
  <c r="Y113" i="4"/>
  <c r="Z113" i="4" s="1"/>
  <c r="AA113" i="4" s="1"/>
  <c r="Y453" i="4"/>
  <c r="Z453" i="4" s="1"/>
  <c r="AA453" i="4" s="1"/>
  <c r="Y491" i="4"/>
  <c r="Z491" i="4" s="1"/>
  <c r="AA491" i="4" s="1"/>
  <c r="Y138" i="4"/>
  <c r="Z138" i="4" s="1"/>
  <c r="Y67" i="4"/>
  <c r="Z67" i="4" s="1"/>
  <c r="AA67" i="4" s="1"/>
  <c r="AC193" i="4"/>
  <c r="N193" i="4" s="1"/>
  <c r="Y290" i="4"/>
  <c r="Z290" i="4" s="1"/>
  <c r="AA290" i="4" s="1"/>
  <c r="AC290" i="4" s="1"/>
  <c r="N290" i="4" s="1"/>
  <c r="Y303" i="4"/>
  <c r="Z303" i="4" s="1"/>
  <c r="AA303" i="4" s="1"/>
  <c r="AB303" i="4" s="1"/>
  <c r="Y174" i="4"/>
  <c r="Z174" i="4" s="1"/>
  <c r="Y232" i="4"/>
  <c r="Z232" i="4" s="1"/>
  <c r="AA232" i="4" s="1"/>
  <c r="Y278" i="4"/>
  <c r="Z278" i="4" s="1"/>
  <c r="AA278" i="4" s="1"/>
  <c r="Y374" i="4"/>
  <c r="Z374" i="4" s="1"/>
  <c r="AA374" i="4" s="1"/>
  <c r="Y261" i="4"/>
  <c r="Z261" i="4" s="1"/>
  <c r="AA261" i="4" s="1"/>
  <c r="Y221" i="4"/>
  <c r="Z221" i="4" s="1"/>
  <c r="AA221" i="4" s="1"/>
  <c r="Y170" i="4"/>
  <c r="Z170" i="4" s="1"/>
  <c r="AA170" i="4" s="1"/>
  <c r="Y57" i="4"/>
  <c r="Z57" i="4" s="1"/>
  <c r="AA57" i="4" s="1"/>
  <c r="AC57" i="4" s="1"/>
  <c r="N57" i="4" s="1"/>
  <c r="Y175" i="4"/>
  <c r="Z175" i="4" s="1"/>
  <c r="AA175" i="4" s="1"/>
  <c r="Y52" i="4"/>
  <c r="Z52" i="4" s="1"/>
  <c r="AA52" i="4" s="1"/>
  <c r="AB52" i="4" s="1"/>
  <c r="Y407" i="4"/>
  <c r="Z407" i="4" s="1"/>
  <c r="AA407" i="4" s="1"/>
  <c r="Y69" i="4"/>
  <c r="Z69" i="4" s="1"/>
  <c r="AA69" i="4" s="1"/>
  <c r="Y321" i="4"/>
  <c r="Z321" i="4" s="1"/>
  <c r="AA321" i="4" s="1"/>
  <c r="Y190" i="4"/>
  <c r="Z190" i="4" s="1"/>
  <c r="AA190" i="4" s="1"/>
  <c r="Y62" i="4"/>
  <c r="Z62" i="4" s="1"/>
  <c r="AA62" i="4" s="1"/>
  <c r="Y82" i="4"/>
  <c r="Z82" i="4" s="1"/>
  <c r="AA82" i="4" s="1"/>
  <c r="Y30" i="4"/>
  <c r="Z30" i="4" s="1"/>
  <c r="AA30" i="4" s="1"/>
  <c r="Y333" i="4"/>
  <c r="Z333" i="4" s="1"/>
  <c r="AA333" i="4" s="1"/>
  <c r="Y282" i="4"/>
  <c r="Z282" i="4" s="1"/>
  <c r="AA282" i="4" s="1"/>
  <c r="Y46" i="4"/>
  <c r="Z46" i="4" s="1"/>
  <c r="AA46" i="4" s="1"/>
  <c r="Y242" i="4"/>
  <c r="Z242" i="4" s="1"/>
  <c r="Y459" i="4"/>
  <c r="Z459" i="4" s="1"/>
  <c r="AA459" i="4" s="1"/>
  <c r="AC459" i="4" s="1"/>
  <c r="N459" i="4" s="1"/>
  <c r="Y26" i="4"/>
  <c r="Z26" i="4" s="1"/>
  <c r="AA26" i="4" s="1"/>
  <c r="Y389" i="4"/>
  <c r="Z389" i="4" s="1"/>
  <c r="AA389" i="4" s="1"/>
  <c r="Y479" i="4"/>
  <c r="Z479" i="4" s="1"/>
  <c r="Y108" i="4"/>
  <c r="Z108" i="4" s="1"/>
  <c r="AA108" i="4" s="1"/>
  <c r="Y213" i="4"/>
  <c r="Z213" i="4" s="1"/>
  <c r="AA213" i="4" s="1"/>
  <c r="Y304" i="4"/>
  <c r="Z304" i="4" s="1"/>
  <c r="AA304" i="4" s="1"/>
  <c r="Y176" i="4"/>
  <c r="Z176" i="4" s="1"/>
  <c r="AA176" i="4" s="1"/>
  <c r="Y198" i="4"/>
  <c r="Z198" i="4" s="1"/>
  <c r="AA198" i="4" s="1"/>
  <c r="Y249" i="4"/>
  <c r="Z249" i="4" s="1"/>
  <c r="AA249" i="4" s="1"/>
  <c r="Y54" i="4"/>
  <c r="Z54" i="4" s="1"/>
  <c r="AA54" i="4" s="1"/>
  <c r="Y244" i="4"/>
  <c r="Z244" i="4" s="1"/>
  <c r="AA244" i="4" s="1"/>
  <c r="AA305" i="4"/>
  <c r="Y356" i="4"/>
  <c r="Z356" i="4" s="1"/>
  <c r="AA356" i="4" s="1"/>
  <c r="AC356" i="4" s="1"/>
  <c r="N356" i="4" s="1"/>
  <c r="Y334" i="4"/>
  <c r="Z334" i="4" s="1"/>
  <c r="AA334" i="4" s="1"/>
  <c r="Y112" i="4"/>
  <c r="Z112" i="4" s="1"/>
  <c r="AA112" i="4" s="1"/>
  <c r="AC112" i="4" s="1"/>
  <c r="N112" i="4" s="1"/>
  <c r="Y256" i="4"/>
  <c r="Z256" i="4" s="1"/>
  <c r="AA256" i="4" s="1"/>
  <c r="Y50" i="4"/>
  <c r="Z50" i="4" s="1"/>
  <c r="AA50" i="4" s="1"/>
  <c r="AB50" i="4" s="1"/>
  <c r="Y296" i="4"/>
  <c r="Z296" i="4" s="1"/>
  <c r="AA296" i="4" s="1"/>
  <c r="Y220" i="4"/>
  <c r="Z220" i="4" s="1"/>
  <c r="AA220" i="4" s="1"/>
  <c r="Y139" i="4"/>
  <c r="Z139" i="4" s="1"/>
  <c r="AA139" i="4" s="1"/>
  <c r="AC139" i="4" s="1"/>
  <c r="N139" i="4" s="1"/>
  <c r="Y277" i="4"/>
  <c r="Z277" i="4" s="1"/>
  <c r="Y178" i="4"/>
  <c r="Z178" i="4" s="1"/>
  <c r="AA178" i="4" s="1"/>
  <c r="Y107" i="4"/>
  <c r="Z107" i="4" s="1"/>
  <c r="AA107" i="4" s="1"/>
  <c r="Y419" i="4"/>
  <c r="Z419" i="4" s="1"/>
  <c r="AA419" i="4" s="1"/>
  <c r="Y480" i="4"/>
  <c r="Z480" i="4" s="1"/>
  <c r="AA480" i="4" s="1"/>
  <c r="Y382" i="4"/>
  <c r="Z382" i="4" s="1"/>
  <c r="AA382" i="4" s="1"/>
  <c r="Y127" i="4"/>
  <c r="Z127" i="4" s="1"/>
  <c r="AA127" i="4" s="1"/>
  <c r="AC127" i="4" s="1"/>
  <c r="N127" i="4" s="1"/>
  <c r="Y402" i="4"/>
  <c r="Z402" i="4" s="1"/>
  <c r="AA402" i="4" s="1"/>
  <c r="Y146" i="4"/>
  <c r="Z146" i="4" s="1"/>
  <c r="AA146" i="4" s="1"/>
  <c r="Y14" i="4"/>
  <c r="Z14" i="4" s="1"/>
  <c r="AA14" i="4" s="1"/>
  <c r="Y285" i="4"/>
  <c r="Z285" i="4" s="1"/>
  <c r="AA285" i="4" s="1"/>
  <c r="Y229" i="4"/>
  <c r="Z229" i="4" s="1"/>
  <c r="AA229" i="4" s="1"/>
  <c r="Y44" i="4"/>
  <c r="Z44" i="4" s="1"/>
  <c r="AA44" i="4" s="1"/>
  <c r="Y470" i="4"/>
  <c r="Z470" i="4" s="1"/>
  <c r="AA470" i="4" s="1"/>
  <c r="Y415" i="4"/>
  <c r="Z415" i="4" s="1"/>
  <c r="AA415" i="4" s="1"/>
  <c r="AA135" i="4"/>
  <c r="Y122" i="4"/>
  <c r="Z122" i="4" s="1"/>
  <c r="AA122" i="4" s="1"/>
  <c r="Y116" i="4"/>
  <c r="Z116" i="4" s="1"/>
  <c r="AA116" i="4" s="1"/>
  <c r="Y177" i="4"/>
  <c r="Z177" i="4" s="1"/>
  <c r="Y253" i="4"/>
  <c r="Z253" i="4" s="1"/>
  <c r="AA253" i="4" s="1"/>
  <c r="AB253" i="4" s="1"/>
  <c r="Y456" i="4"/>
  <c r="Z456" i="4" s="1"/>
  <c r="Y160" i="4"/>
  <c r="Z160" i="4" s="1"/>
  <c r="Y503" i="4"/>
  <c r="Z503" i="4" s="1"/>
  <c r="AA503" i="4" s="1"/>
  <c r="AC503" i="4" s="1"/>
  <c r="N503" i="4" s="1"/>
  <c r="Y39" i="4"/>
  <c r="Z39" i="4" s="1"/>
  <c r="AA39" i="4" s="1"/>
  <c r="Y349" i="4"/>
  <c r="Z349" i="4" s="1"/>
  <c r="AA349" i="4" s="1"/>
  <c r="Y42" i="4"/>
  <c r="Z42" i="4" s="1"/>
  <c r="AA42" i="4" s="1"/>
  <c r="Y163" i="4"/>
  <c r="Z163" i="4" s="1"/>
  <c r="AA163" i="4" s="1"/>
  <c r="Y56" i="4"/>
  <c r="Z56" i="4" s="1"/>
  <c r="AA56" i="4" s="1"/>
  <c r="Y132" i="4"/>
  <c r="Z132" i="4" s="1"/>
  <c r="AA132" i="4" s="1"/>
  <c r="Y501" i="4"/>
  <c r="Z501" i="4" s="1"/>
  <c r="AA501" i="4" s="1"/>
  <c r="AA138" i="4"/>
  <c r="Y41" i="4"/>
  <c r="Z41" i="4" s="1"/>
  <c r="AA41" i="4" s="1"/>
  <c r="Y70" i="4"/>
  <c r="Z70" i="4" s="1"/>
  <c r="AA70" i="4" s="1"/>
  <c r="Y234" i="4"/>
  <c r="Z234" i="4" s="1"/>
  <c r="AA234" i="4" s="1"/>
  <c r="AC234" i="4" s="1"/>
  <c r="N234" i="4" s="1"/>
  <c r="Y351" i="4"/>
  <c r="Z351" i="4" s="1"/>
  <c r="AA351" i="4" s="1"/>
  <c r="Y399" i="4"/>
  <c r="Z399" i="4" s="1"/>
  <c r="AA399" i="4" s="1"/>
  <c r="Y255" i="4"/>
  <c r="Z255" i="4" s="1"/>
  <c r="AA255" i="4" s="1"/>
  <c r="Y243" i="4"/>
  <c r="Z243" i="4" s="1"/>
  <c r="AA243" i="4" s="1"/>
  <c r="Y169" i="4"/>
  <c r="Z169" i="4" s="1"/>
  <c r="AA169" i="4" s="1"/>
  <c r="Y403" i="4"/>
  <c r="Z403" i="4" s="1"/>
  <c r="AA403" i="4" s="1"/>
  <c r="Y263" i="4"/>
  <c r="Z263" i="4" s="1"/>
  <c r="AA263" i="4" s="1"/>
  <c r="Y466" i="4"/>
  <c r="Z466" i="4" s="1"/>
  <c r="AA466" i="4" s="1"/>
  <c r="Y329" i="4"/>
  <c r="Z329" i="4" s="1"/>
  <c r="AA329" i="4" s="1"/>
  <c r="AA291" i="4"/>
  <c r="Y15" i="4"/>
  <c r="Z15" i="4" s="1"/>
  <c r="AA15" i="4" s="1"/>
  <c r="AB15" i="4" s="1"/>
  <c r="Y208" i="4"/>
  <c r="Z208" i="4" s="1"/>
  <c r="AA208" i="4" s="1"/>
  <c r="Y248" i="4"/>
  <c r="Z248" i="4" s="1"/>
  <c r="AA248" i="4" s="1"/>
  <c r="Y142" i="4"/>
  <c r="Z142" i="4" s="1"/>
  <c r="Y88" i="4"/>
  <c r="Z88" i="4" s="1"/>
  <c r="AA88" i="4" s="1"/>
  <c r="Y250" i="4"/>
  <c r="Z250" i="4" s="1"/>
  <c r="AA250" i="4" s="1"/>
  <c r="Y236" i="4"/>
  <c r="Z236" i="4" s="1"/>
  <c r="AA236" i="4" s="1"/>
  <c r="Y292" i="4"/>
  <c r="Z292" i="4" s="1"/>
  <c r="AA292" i="4" s="1"/>
  <c r="Y348" i="4"/>
  <c r="Z348" i="4" s="1"/>
  <c r="AA348" i="4" s="1"/>
  <c r="Y235" i="4"/>
  <c r="Z235" i="4" s="1"/>
  <c r="AA235" i="4" s="1"/>
  <c r="Y31" i="4"/>
  <c r="Z31" i="4" s="1"/>
  <c r="AA31" i="4" s="1"/>
  <c r="Y485" i="4"/>
  <c r="Z485" i="4" s="1"/>
  <c r="AA485" i="4" s="1"/>
  <c r="Y64" i="4"/>
  <c r="Z64" i="4" s="1"/>
  <c r="AA64" i="4" s="1"/>
  <c r="Y450" i="4"/>
  <c r="Z450" i="4" s="1"/>
  <c r="AA450" i="4" s="1"/>
  <c r="AA406" i="4"/>
  <c r="AC406" i="4" s="1"/>
  <c r="N406" i="4" s="1"/>
  <c r="Y424" i="4"/>
  <c r="Z424" i="4" s="1"/>
  <c r="AA424" i="4" s="1"/>
  <c r="Y347" i="4"/>
  <c r="Z347" i="4" s="1"/>
  <c r="AA347" i="4" s="1"/>
  <c r="Y37" i="4"/>
  <c r="Z37" i="4" s="1"/>
  <c r="AA37" i="4" s="1"/>
  <c r="Y484" i="4"/>
  <c r="Z484" i="4" s="1"/>
  <c r="AA484" i="4" s="1"/>
  <c r="Y283" i="4"/>
  <c r="Z283" i="4" s="1"/>
  <c r="AA283" i="4" s="1"/>
  <c r="Y434" i="4"/>
  <c r="Z434" i="4" s="1"/>
  <c r="AA434" i="4" s="1"/>
  <c r="Y272" i="4"/>
  <c r="Z272" i="4" s="1"/>
  <c r="AA272" i="4" s="1"/>
  <c r="Y245" i="4"/>
  <c r="Z245" i="4" s="1"/>
  <c r="AA245" i="4" s="1"/>
  <c r="Y212" i="4"/>
  <c r="Z212" i="4" s="1"/>
  <c r="AA212" i="4" s="1"/>
  <c r="Y327" i="4"/>
  <c r="Z327" i="4" s="1"/>
  <c r="AA327" i="4" s="1"/>
  <c r="Y420" i="4"/>
  <c r="Z420" i="4" s="1"/>
  <c r="AA420" i="4" s="1"/>
  <c r="Y435" i="4"/>
  <c r="Z435" i="4" s="1"/>
  <c r="AA435" i="4" s="1"/>
  <c r="Y83" i="4"/>
  <c r="Z83" i="4" s="1"/>
  <c r="AA83" i="4" s="1"/>
  <c r="Y454" i="4"/>
  <c r="Z454" i="4" s="1"/>
  <c r="AA454" i="4" s="1"/>
  <c r="Y36" i="4"/>
  <c r="Z36" i="4" s="1"/>
  <c r="AA36" i="4" s="1"/>
  <c r="AB36" i="4" s="1"/>
  <c r="Y502" i="4"/>
  <c r="Z502" i="4" s="1"/>
  <c r="AA502" i="4" s="1"/>
  <c r="Y34" i="4"/>
  <c r="Z34" i="4" s="1"/>
  <c r="AA34" i="4" s="1"/>
  <c r="AC34" i="4" s="1"/>
  <c r="N34" i="4" s="1"/>
  <c r="Y179" i="4"/>
  <c r="Z179" i="4" s="1"/>
  <c r="AA179" i="4" s="1"/>
  <c r="Y380" i="4"/>
  <c r="Z380" i="4" s="1"/>
  <c r="AA380" i="4" s="1"/>
  <c r="Y396" i="4"/>
  <c r="Z396" i="4" s="1"/>
  <c r="AA396" i="4" s="1"/>
  <c r="Y390" i="4"/>
  <c r="Z390" i="4" s="1"/>
  <c r="AA390" i="4" s="1"/>
  <c r="Y467" i="4"/>
  <c r="Z467" i="4" s="1"/>
  <c r="AA467" i="4" s="1"/>
  <c r="Y346" i="4"/>
  <c r="Z346" i="4" s="1"/>
  <c r="AA346" i="4" s="1"/>
  <c r="Y199" i="4"/>
  <c r="Z199" i="4" s="1"/>
  <c r="AA199" i="4" s="1"/>
  <c r="Y153" i="4"/>
  <c r="Z153" i="4" s="1"/>
  <c r="AA153" i="4" s="1"/>
  <c r="AA165" i="4"/>
  <c r="Y93" i="4"/>
  <c r="Z93" i="4" s="1"/>
  <c r="AA93" i="4" s="1"/>
  <c r="AC93" i="4" s="1"/>
  <c r="N93" i="4" s="1"/>
  <c r="Y350" i="4"/>
  <c r="Z350" i="4" s="1"/>
  <c r="AA350" i="4" s="1"/>
  <c r="Y186" i="4"/>
  <c r="Z186" i="4" s="1"/>
  <c r="AA186" i="4" s="1"/>
  <c r="Y413" i="4"/>
  <c r="Z413" i="4" s="1"/>
  <c r="Y284" i="4"/>
  <c r="Z284" i="4" s="1"/>
  <c r="Y418" i="4"/>
  <c r="Z418" i="4" s="1"/>
  <c r="AA418" i="4" s="1"/>
  <c r="Y260" i="4"/>
  <c r="Z260" i="4" s="1"/>
  <c r="AA260" i="4" s="1"/>
  <c r="Y445" i="4"/>
  <c r="Z445" i="4" s="1"/>
  <c r="Y309" i="4"/>
  <c r="Z309" i="4" s="1"/>
  <c r="Y45" i="4"/>
  <c r="Z45" i="4" s="1"/>
  <c r="AA45" i="4" s="1"/>
  <c r="Y218" i="4"/>
  <c r="Z218" i="4" s="1"/>
  <c r="AA218" i="4" s="1"/>
  <c r="Y48" i="4"/>
  <c r="Z48" i="4" s="1"/>
  <c r="AA48" i="4" s="1"/>
  <c r="Y293" i="4"/>
  <c r="Z293" i="4" s="1"/>
  <c r="AA293" i="4" s="1"/>
  <c r="Y267" i="4"/>
  <c r="Z267" i="4" s="1"/>
  <c r="AA267" i="4" s="1"/>
  <c r="AC157" i="4"/>
  <c r="N157" i="4" s="1"/>
  <c r="AC314" i="4"/>
  <c r="N314" i="4" s="1"/>
  <c r="AB503" i="4"/>
  <c r="Y393" i="4"/>
  <c r="Z393" i="4" s="1"/>
  <c r="AA393" i="4" s="1"/>
  <c r="AB393" i="4" s="1"/>
  <c r="Y428" i="4"/>
  <c r="Z428" i="4" s="1"/>
  <c r="AA428" i="4" s="1"/>
  <c r="Y225" i="4"/>
  <c r="Z225" i="4" s="1"/>
  <c r="Y324" i="4"/>
  <c r="Z324" i="4" s="1"/>
  <c r="Y316" i="4"/>
  <c r="Z316" i="4" s="1"/>
  <c r="AA316" i="4" s="1"/>
  <c r="Y246" i="4"/>
  <c r="Z246" i="4" s="1"/>
  <c r="AA246" i="4" s="1"/>
  <c r="Y369" i="4"/>
  <c r="Z369" i="4" s="1"/>
  <c r="AA369" i="4" s="1"/>
  <c r="Y136" i="4"/>
  <c r="Z136" i="4" s="1"/>
  <c r="AA136" i="4" s="1"/>
  <c r="Y313" i="4"/>
  <c r="Z313" i="4" s="1"/>
  <c r="AA313" i="4" s="1"/>
  <c r="Y425" i="4"/>
  <c r="Z425" i="4" s="1"/>
  <c r="AA425" i="4" s="1"/>
  <c r="Y299" i="4"/>
  <c r="Z299" i="4" s="1"/>
  <c r="AA299" i="4" s="1"/>
  <c r="Y237" i="4"/>
  <c r="Z237" i="4" s="1"/>
  <c r="AA237" i="4" s="1"/>
  <c r="AB237" i="4" s="1"/>
  <c r="Y47" i="4"/>
  <c r="Z47" i="4" s="1"/>
  <c r="AA47" i="4" s="1"/>
  <c r="Y144" i="4"/>
  <c r="Z144" i="4" s="1"/>
  <c r="AA144" i="4" s="1"/>
  <c r="Y426" i="4"/>
  <c r="Z426" i="4" s="1"/>
  <c r="AA426" i="4" s="1"/>
  <c r="Y147" i="4"/>
  <c r="Z147" i="4" s="1"/>
  <c r="AA147" i="4" s="1"/>
  <c r="Y386" i="4"/>
  <c r="Z386" i="4" s="1"/>
  <c r="AA386" i="4" s="1"/>
  <c r="Y409" i="4"/>
  <c r="Z409" i="4" s="1"/>
  <c r="AA409" i="4" s="1"/>
  <c r="AA498" i="4"/>
  <c r="Y385" i="4"/>
  <c r="Z385" i="4" s="1"/>
  <c r="AA385" i="4" s="1"/>
  <c r="AB385" i="4" s="1"/>
  <c r="Y422" i="4"/>
  <c r="Z422" i="4" s="1"/>
  <c r="AA422" i="4" s="1"/>
  <c r="Y87" i="4"/>
  <c r="Z87" i="4" s="1"/>
  <c r="AA87" i="4" s="1"/>
  <c r="Y164" i="4"/>
  <c r="Z164" i="4" s="1"/>
  <c r="AA164" i="4" s="1"/>
  <c r="Y280" i="4"/>
  <c r="Z280" i="4" s="1"/>
  <c r="AA280" i="4" s="1"/>
  <c r="Y436" i="4"/>
  <c r="Z436" i="4" s="1"/>
  <c r="AA436" i="4" s="1"/>
  <c r="Y168" i="4"/>
  <c r="Z168" i="4" s="1"/>
  <c r="AA168" i="4" s="1"/>
  <c r="Y95" i="4"/>
  <c r="Z95" i="4" s="1"/>
  <c r="Y230" i="4"/>
  <c r="Z230" i="4" s="1"/>
  <c r="AA230" i="4" s="1"/>
  <c r="Y27" i="4"/>
  <c r="Z27" i="4" s="1"/>
  <c r="AA27" i="4" s="1"/>
  <c r="Y438" i="4"/>
  <c r="Z438" i="4" s="1"/>
  <c r="AA438" i="4" s="1"/>
  <c r="Y162" i="4"/>
  <c r="Z162" i="4" s="1"/>
  <c r="AA162" i="4" s="1"/>
  <c r="Y152" i="4"/>
  <c r="Z152" i="4" s="1"/>
  <c r="AA152" i="4" s="1"/>
  <c r="Y483" i="4"/>
  <c r="Z483" i="4" s="1"/>
  <c r="AA483" i="4" s="1"/>
  <c r="Y268" i="4"/>
  <c r="Z268" i="4" s="1"/>
  <c r="AA268" i="4" s="1"/>
  <c r="Y359" i="4"/>
  <c r="Z359" i="4" s="1"/>
  <c r="AA359" i="4" s="1"/>
  <c r="Y94" i="4"/>
  <c r="Z94" i="4" s="1"/>
  <c r="AA94" i="4" s="1"/>
  <c r="Y365" i="4"/>
  <c r="Z365" i="4" s="1"/>
  <c r="AA365" i="4" s="1"/>
  <c r="Y78" i="4"/>
  <c r="Z78" i="4" s="1"/>
  <c r="AA78" i="4" s="1"/>
  <c r="Y110" i="4"/>
  <c r="Z110" i="4" s="1"/>
  <c r="Y71" i="4"/>
  <c r="Z71" i="4" s="1"/>
  <c r="AA71" i="4" s="1"/>
  <c r="Y378" i="4"/>
  <c r="Z378" i="4" s="1"/>
  <c r="AA378" i="4" s="1"/>
  <c r="Y154" i="4"/>
  <c r="Z154" i="4" s="1"/>
  <c r="AA154" i="4" s="1"/>
  <c r="Y214" i="4"/>
  <c r="Z214" i="4" s="1"/>
  <c r="AA214" i="4" s="1"/>
  <c r="AA106" i="4"/>
  <c r="U457" i="4"/>
  <c r="Y457" i="4"/>
  <c r="Z457" i="4" s="1"/>
  <c r="AB139" i="4"/>
  <c r="U241" i="4"/>
  <c r="Y241" i="4"/>
  <c r="Z241" i="4" s="1"/>
  <c r="U189" i="4"/>
  <c r="Y189" i="4"/>
  <c r="Z189" i="4" s="1"/>
  <c r="AC226" i="4"/>
  <c r="N226" i="4" s="1"/>
  <c r="AB226" i="4"/>
  <c r="U362" i="4"/>
  <c r="Y362" i="4"/>
  <c r="Z362" i="4" s="1"/>
  <c r="AB261" i="4"/>
  <c r="AC261" i="4"/>
  <c r="N261" i="4" s="1"/>
  <c r="AC300" i="4"/>
  <c r="N300" i="4" s="1"/>
  <c r="U252" i="4"/>
  <c r="Y252" i="4"/>
  <c r="Z252" i="4" s="1"/>
  <c r="U271" i="4"/>
  <c r="Y271" i="4"/>
  <c r="Z271" i="4" s="1"/>
  <c r="U7" i="4"/>
  <c r="Y7" i="4"/>
  <c r="Z7" i="4" s="1"/>
  <c r="AC221" i="4"/>
  <c r="N221" i="4" s="1"/>
  <c r="AB221" i="4"/>
  <c r="U181" i="4"/>
  <c r="Y181" i="4"/>
  <c r="Z181" i="4" s="1"/>
  <c r="AB431" i="4"/>
  <c r="U183" i="4"/>
  <c r="Y183" i="4"/>
  <c r="Z183" i="4" s="1"/>
  <c r="W265" i="4"/>
  <c r="V265" i="4"/>
  <c r="V171" i="4"/>
  <c r="W171" i="4"/>
  <c r="V318" i="4"/>
  <c r="W318" i="4"/>
  <c r="V482" i="4"/>
  <c r="W482" i="4"/>
  <c r="W227" i="4"/>
  <c r="V227" i="4"/>
  <c r="U247" i="4"/>
  <c r="Y247" i="4"/>
  <c r="Z247" i="4" s="1"/>
  <c r="V448" i="4"/>
  <c r="W448" i="4"/>
  <c r="W342" i="4"/>
  <c r="V342" i="4"/>
  <c r="U38" i="4"/>
  <c r="Y38" i="4"/>
  <c r="Z38" i="4" s="1"/>
  <c r="U286" i="4"/>
  <c r="Y286" i="4"/>
  <c r="Z286" i="4" s="1"/>
  <c r="U343" i="4"/>
  <c r="Y343" i="4"/>
  <c r="Z343" i="4" s="1"/>
  <c r="U84" i="4"/>
  <c r="Y84" i="4"/>
  <c r="Z84" i="4" s="1"/>
  <c r="U194" i="4"/>
  <c r="Y194" i="4"/>
  <c r="Z194" i="4" s="1"/>
  <c r="V36" i="4"/>
  <c r="W36" i="4"/>
  <c r="Y357" i="4"/>
  <c r="Z357" i="4" s="1"/>
  <c r="AA357" i="4" s="1"/>
  <c r="V393" i="4"/>
  <c r="W393" i="4"/>
  <c r="Y203" i="4"/>
  <c r="Z203" i="4" s="1"/>
  <c r="AA203" i="4" s="1"/>
  <c r="V157" i="4"/>
  <c r="W157" i="4"/>
  <c r="Y158" i="4"/>
  <c r="Z158" i="4" s="1"/>
  <c r="AA158" i="4" s="1"/>
  <c r="V502" i="4"/>
  <c r="W502" i="4"/>
  <c r="U219" i="4"/>
  <c r="Y219" i="4"/>
  <c r="Z219" i="4" s="1"/>
  <c r="Y458" i="4"/>
  <c r="Z458" i="4" s="1"/>
  <c r="AA458" i="4" s="1"/>
  <c r="W97" i="4"/>
  <c r="V97" i="4"/>
  <c r="Y443" i="4"/>
  <c r="Z443" i="4" s="1"/>
  <c r="AA443" i="4" s="1"/>
  <c r="V221" i="4"/>
  <c r="W221" i="4"/>
  <c r="U148" i="4"/>
  <c r="Y148" i="4"/>
  <c r="Z148" i="4" s="1"/>
  <c r="U273" i="4"/>
  <c r="Y273" i="4"/>
  <c r="Z273" i="4" s="1"/>
  <c r="U185" i="4"/>
  <c r="Y185" i="4"/>
  <c r="Z185" i="4" s="1"/>
  <c r="U17" i="4"/>
  <c r="Y17" i="4"/>
  <c r="Z17" i="4" s="1"/>
  <c r="Y264" i="4"/>
  <c r="Z264" i="4" s="1"/>
  <c r="AA264" i="4" s="1"/>
  <c r="W357" i="4"/>
  <c r="V357" i="4"/>
  <c r="Y311" i="4"/>
  <c r="Z311" i="4" s="1"/>
  <c r="AA311" i="4" s="1"/>
  <c r="W203" i="4"/>
  <c r="V203" i="4"/>
  <c r="Y440" i="4"/>
  <c r="Z440" i="4" s="1"/>
  <c r="AA440" i="4" s="1"/>
  <c r="W158" i="4"/>
  <c r="V158" i="4"/>
  <c r="U81" i="4"/>
  <c r="Y81" i="4"/>
  <c r="Z81" i="4" s="1"/>
  <c r="Y486" i="4"/>
  <c r="Z486" i="4" s="1"/>
  <c r="AA486" i="4" s="1"/>
  <c r="W458" i="4"/>
  <c r="V458" i="4"/>
  <c r="Y490" i="4"/>
  <c r="Z490" i="4" s="1"/>
  <c r="AA490" i="4" s="1"/>
  <c r="V443" i="4"/>
  <c r="W443" i="4"/>
  <c r="U487" i="4"/>
  <c r="Y487" i="4"/>
  <c r="Z487" i="4" s="1"/>
  <c r="U463" i="4"/>
  <c r="Y463" i="4"/>
  <c r="Z463" i="4" s="1"/>
  <c r="U364" i="4"/>
  <c r="Y364" i="4"/>
  <c r="Z364" i="4" s="1"/>
  <c r="W474" i="4"/>
  <c r="V474" i="4"/>
  <c r="U210" i="4"/>
  <c r="Y210" i="4"/>
  <c r="Z210" i="4" s="1"/>
  <c r="W264" i="4"/>
  <c r="V264" i="4"/>
  <c r="Y58" i="4"/>
  <c r="Z58" i="4" s="1"/>
  <c r="AA58" i="4" s="1"/>
  <c r="V311" i="4"/>
  <c r="W311" i="4"/>
  <c r="Y381" i="4"/>
  <c r="Z381" i="4" s="1"/>
  <c r="AA381" i="4" s="1"/>
  <c r="V440" i="4"/>
  <c r="W440" i="4"/>
  <c r="U43" i="4"/>
  <c r="Y43" i="4"/>
  <c r="Z43" i="4" s="1"/>
  <c r="Y410" i="4"/>
  <c r="Z410" i="4" s="1"/>
  <c r="AA410" i="4" s="1"/>
  <c r="V486" i="4"/>
  <c r="W486" i="4"/>
  <c r="W406" i="4"/>
  <c r="V406" i="4"/>
  <c r="V87" i="4"/>
  <c r="W87" i="4"/>
  <c r="Y187" i="4"/>
  <c r="Z187" i="4" s="1"/>
  <c r="AA187" i="4" s="1"/>
  <c r="W490" i="4"/>
  <c r="V490" i="4"/>
  <c r="U384" i="4"/>
  <c r="Y384" i="4"/>
  <c r="Z384" i="4" s="1"/>
  <c r="U217" i="4"/>
  <c r="Y217" i="4"/>
  <c r="Z217" i="4" s="1"/>
  <c r="U437" i="4"/>
  <c r="Y437" i="4"/>
  <c r="Z437" i="4" s="1"/>
  <c r="W410" i="4"/>
  <c r="V410" i="4"/>
  <c r="W187" i="4"/>
  <c r="V187" i="4"/>
  <c r="U188" i="4"/>
  <c r="Y188" i="4"/>
  <c r="Z188" i="4" s="1"/>
  <c r="U101" i="4"/>
  <c r="Y101" i="4"/>
  <c r="Z101" i="4" s="1"/>
  <c r="U205" i="4"/>
  <c r="Y205" i="4"/>
  <c r="Z205" i="4" s="1"/>
  <c r="W58" i="4"/>
  <c r="V58" i="4"/>
  <c r="V381" i="4"/>
  <c r="W381" i="4"/>
  <c r="U51" i="4"/>
  <c r="Y51" i="4"/>
  <c r="Z51" i="4" s="1"/>
  <c r="Y455" i="4"/>
  <c r="Z455" i="4" s="1"/>
  <c r="AA455" i="4" s="1"/>
  <c r="V295" i="4"/>
  <c r="W295" i="4"/>
  <c r="Y118" i="4"/>
  <c r="Z118" i="4" s="1"/>
  <c r="AA118" i="4" s="1"/>
  <c r="V385" i="4"/>
  <c r="W385" i="4"/>
  <c r="U469" i="4"/>
  <c r="Y469" i="4"/>
  <c r="Z469" i="4" s="1"/>
  <c r="Y60" i="4"/>
  <c r="Z60" i="4" s="1"/>
  <c r="AA60" i="4" s="1"/>
  <c r="W382" i="4"/>
  <c r="V382" i="4"/>
  <c r="Y322" i="4"/>
  <c r="Z322" i="4" s="1"/>
  <c r="AA322" i="4" s="1"/>
  <c r="V34" i="4"/>
  <c r="W34" i="4"/>
  <c r="Y233" i="4"/>
  <c r="Z233" i="4" s="1"/>
  <c r="AA233" i="4" s="1"/>
  <c r="W481" i="4"/>
  <c r="V481" i="4"/>
  <c r="U488" i="4"/>
  <c r="Y488" i="4"/>
  <c r="Z488" i="4" s="1"/>
  <c r="Y339" i="4"/>
  <c r="Z339" i="4" s="1"/>
  <c r="AA339" i="4" s="1"/>
  <c r="W27" i="4"/>
  <c r="V27" i="4"/>
  <c r="U494" i="4"/>
  <c r="Y494" i="4"/>
  <c r="Z494" i="4" s="1"/>
  <c r="U111" i="4"/>
  <c r="Y111" i="4"/>
  <c r="Z111" i="4" s="1"/>
  <c r="V455" i="4"/>
  <c r="W455" i="4"/>
  <c r="Y489" i="4"/>
  <c r="Z489" i="4" s="1"/>
  <c r="AA489" i="4" s="1"/>
  <c r="W118" i="4"/>
  <c r="V118" i="4"/>
  <c r="U372" i="4"/>
  <c r="Y372" i="4"/>
  <c r="Z372" i="4" s="1"/>
  <c r="Y375" i="4"/>
  <c r="Z375" i="4" s="1"/>
  <c r="AA375" i="4" s="1"/>
  <c r="W60" i="4"/>
  <c r="V60" i="4"/>
  <c r="Y289" i="4"/>
  <c r="Z289" i="4" s="1"/>
  <c r="AA289" i="4" s="1"/>
  <c r="W322" i="4"/>
  <c r="V322" i="4"/>
  <c r="Y404" i="4"/>
  <c r="Z404" i="4" s="1"/>
  <c r="AA404" i="4" s="1"/>
  <c r="V233" i="4"/>
  <c r="W233" i="4"/>
  <c r="U61" i="4"/>
  <c r="Y61" i="4"/>
  <c r="Z61" i="4" s="1"/>
  <c r="Y308" i="4"/>
  <c r="Z308" i="4" s="1"/>
  <c r="AA308" i="4" s="1"/>
  <c r="W339" i="4"/>
  <c r="V339" i="4"/>
  <c r="U345" i="4"/>
  <c r="Y345" i="4"/>
  <c r="Z345" i="4" s="1"/>
  <c r="U59" i="4"/>
  <c r="Y59" i="4"/>
  <c r="Z59" i="4" s="1"/>
  <c r="U269" i="4"/>
  <c r="Y269" i="4"/>
  <c r="Z269" i="4" s="1"/>
  <c r="U130" i="4"/>
  <c r="Y130" i="4"/>
  <c r="Z130" i="4" s="1"/>
  <c r="V489" i="4"/>
  <c r="W489" i="4"/>
  <c r="U80" i="4"/>
  <c r="Y80" i="4"/>
  <c r="Z80" i="4" s="1"/>
  <c r="Y411" i="4"/>
  <c r="Z411" i="4" s="1"/>
  <c r="AA411" i="4" s="1"/>
  <c r="W375" i="4"/>
  <c r="V375" i="4"/>
  <c r="Y270" i="4"/>
  <c r="Z270" i="4" s="1"/>
  <c r="AA270" i="4" s="1"/>
  <c r="W289" i="4"/>
  <c r="V289" i="4"/>
  <c r="Y182" i="4"/>
  <c r="Z182" i="4" s="1"/>
  <c r="AA182" i="4" s="1"/>
  <c r="W404" i="4"/>
  <c r="V404" i="4"/>
  <c r="U126" i="4"/>
  <c r="Y126" i="4"/>
  <c r="Z126" i="4" s="1"/>
  <c r="AA337" i="4"/>
  <c r="V308" i="4"/>
  <c r="W308" i="4"/>
  <c r="U315" i="4"/>
  <c r="Y315" i="4"/>
  <c r="Z315" i="4" s="1"/>
  <c r="W266" i="4"/>
  <c r="V266" i="4"/>
  <c r="U191" i="4"/>
  <c r="Y191" i="4"/>
  <c r="Z191" i="4" s="1"/>
  <c r="W15" i="4"/>
  <c r="V15" i="4"/>
  <c r="U340" i="4"/>
  <c r="Y340" i="4"/>
  <c r="Z340" i="4" s="1"/>
  <c r="V182" i="4"/>
  <c r="W182" i="4"/>
  <c r="U492" i="4"/>
  <c r="Y492" i="4"/>
  <c r="Z492" i="4" s="1"/>
  <c r="W337" i="4"/>
  <c r="V337" i="4"/>
  <c r="W396" i="4"/>
  <c r="V396" i="4"/>
  <c r="U63" i="4"/>
  <c r="Y63" i="4"/>
  <c r="Z63" i="4" s="1"/>
  <c r="U251" i="4"/>
  <c r="Y251" i="4"/>
  <c r="Z251" i="4" s="1"/>
  <c r="V270" i="4"/>
  <c r="W270" i="4"/>
  <c r="AC237" i="4"/>
  <c r="N237" i="4" s="1"/>
  <c r="AB406" i="4"/>
  <c r="U117" i="4"/>
  <c r="Y117" i="4"/>
  <c r="Z117" i="4" s="1"/>
  <c r="Y120" i="4"/>
  <c r="Z120" i="4" s="1"/>
  <c r="AA120" i="4" s="1"/>
  <c r="V290" i="4"/>
  <c r="W290" i="4"/>
  <c r="Y373" i="4"/>
  <c r="Z373" i="4" s="1"/>
  <c r="AA373" i="4" s="1"/>
  <c r="V336" i="4"/>
  <c r="W336" i="4"/>
  <c r="Y439" i="4"/>
  <c r="Z439" i="4" s="1"/>
  <c r="AA439" i="4" s="1"/>
  <c r="V41" i="4"/>
  <c r="W41" i="4"/>
  <c r="Y355" i="4"/>
  <c r="Z355" i="4" s="1"/>
  <c r="AA355" i="4" s="1"/>
  <c r="AA160" i="4"/>
  <c r="V160" i="4"/>
  <c r="W160" i="4"/>
  <c r="U344" i="4"/>
  <c r="Y344" i="4"/>
  <c r="Z344" i="4" s="1"/>
  <c r="Y11" i="4"/>
  <c r="Z11" i="4" s="1"/>
  <c r="AA11" i="4" s="1"/>
  <c r="V280" i="4"/>
  <c r="W280" i="4"/>
  <c r="Y461" i="4"/>
  <c r="Z461" i="4" s="1"/>
  <c r="AA461" i="4" s="1"/>
  <c r="W296" i="4"/>
  <c r="V296" i="4"/>
  <c r="U137" i="4"/>
  <c r="Y137" i="4"/>
  <c r="Z137" i="4" s="1"/>
  <c r="U477" i="4"/>
  <c r="Y477" i="4"/>
  <c r="Z477" i="4" s="1"/>
  <c r="W411" i="4"/>
  <c r="V411" i="4"/>
  <c r="Y265" i="4"/>
  <c r="Z265" i="4" s="1"/>
  <c r="AA265" i="4" s="1"/>
  <c r="V120" i="4"/>
  <c r="W120" i="4"/>
  <c r="Y171" i="4"/>
  <c r="Z171" i="4" s="1"/>
  <c r="AA171" i="4" s="1"/>
  <c r="V373" i="4"/>
  <c r="W373" i="4"/>
  <c r="Y318" i="4"/>
  <c r="Z318" i="4" s="1"/>
  <c r="AA318" i="4" s="1"/>
  <c r="V439" i="4"/>
  <c r="W439" i="4"/>
  <c r="Y482" i="4"/>
  <c r="Z482" i="4" s="1"/>
  <c r="AA482" i="4" s="1"/>
  <c r="Y227" i="4"/>
  <c r="Z227" i="4" s="1"/>
  <c r="AA227" i="4" s="1"/>
  <c r="V355" i="4"/>
  <c r="W355" i="4"/>
  <c r="U141" i="4"/>
  <c r="Y141" i="4"/>
  <c r="Z141" i="4" s="1"/>
  <c r="Y448" i="4"/>
  <c r="Z448" i="4" s="1"/>
  <c r="AA448" i="4" s="1"/>
  <c r="V11" i="4"/>
  <c r="W11" i="4"/>
  <c r="Y342" i="4"/>
  <c r="Z342" i="4" s="1"/>
  <c r="AA342" i="4" s="1"/>
  <c r="W461" i="4"/>
  <c r="V461" i="4"/>
  <c r="U18" i="4"/>
  <c r="Y18" i="4"/>
  <c r="Z18" i="4" s="1"/>
  <c r="U239" i="4"/>
  <c r="Y239" i="4"/>
  <c r="Z239" i="4" s="1"/>
  <c r="U32" i="4"/>
  <c r="Y32" i="4"/>
  <c r="Z32" i="4" s="1"/>
  <c r="U338" i="4"/>
  <c r="Y338" i="4"/>
  <c r="Z338" i="4" s="1"/>
  <c r="V391" i="4"/>
  <c r="W391" i="4"/>
  <c r="W319" i="4"/>
  <c r="V319" i="4"/>
  <c r="W123" i="4"/>
  <c r="V123" i="4"/>
  <c r="W258" i="4"/>
  <c r="V258" i="4"/>
  <c r="W462" i="4"/>
  <c r="V462" i="4"/>
  <c r="W228" i="4"/>
  <c r="V228" i="4"/>
  <c r="W156" i="4"/>
  <c r="V156" i="4"/>
  <c r="V331" i="4"/>
  <c r="W331" i="4"/>
  <c r="V155" i="4"/>
  <c r="W155" i="4"/>
  <c r="W25" i="4"/>
  <c r="V25" i="4"/>
  <c r="W207" i="4"/>
  <c r="V207" i="4"/>
  <c r="W128" i="4"/>
  <c r="V128" i="4"/>
  <c r="W368" i="4"/>
  <c r="V368" i="4"/>
  <c r="W307" i="4"/>
  <c r="V307" i="4"/>
  <c r="W115" i="4"/>
  <c r="V115" i="4"/>
  <c r="V159" i="4"/>
  <c r="W159" i="4"/>
  <c r="V21" i="4"/>
  <c r="W21" i="4"/>
  <c r="W192" i="4"/>
  <c r="V192" i="4"/>
  <c r="V449" i="4"/>
  <c r="W449" i="4"/>
  <c r="V114" i="4"/>
  <c r="W114" i="4"/>
  <c r="W401" i="4"/>
  <c r="V401" i="4"/>
  <c r="V412" i="4"/>
  <c r="W412" i="4"/>
  <c r="V6" i="4"/>
  <c r="W6" i="4"/>
  <c r="V124" i="4"/>
  <c r="W124" i="4"/>
  <c r="V353" i="4"/>
  <c r="W353" i="4"/>
  <c r="W206" i="4"/>
  <c r="V206" i="4"/>
  <c r="V121" i="4"/>
  <c r="W121" i="4"/>
  <c r="W19" i="4"/>
  <c r="V19" i="4"/>
  <c r="V281" i="4"/>
  <c r="W281" i="4"/>
  <c r="W29" i="4"/>
  <c r="V29" i="4"/>
  <c r="W430" i="4"/>
  <c r="V430" i="4"/>
  <c r="W195" i="4"/>
  <c r="V195" i="4"/>
  <c r="W317" i="4"/>
  <c r="V317" i="4"/>
  <c r="W86" i="4"/>
  <c r="V86" i="4"/>
  <c r="V297" i="4"/>
  <c r="W297" i="4"/>
  <c r="W447" i="4"/>
  <c r="V447" i="4"/>
  <c r="V422" i="4"/>
  <c r="W422" i="4"/>
  <c r="W428" i="4"/>
  <c r="V428" i="4"/>
  <c r="V13" i="4"/>
  <c r="W13" i="4"/>
  <c r="V314" i="4"/>
  <c r="W314" i="4"/>
  <c r="AA242" i="4"/>
  <c r="V242" i="4"/>
  <c r="W242" i="4"/>
  <c r="V70" i="4"/>
  <c r="W70" i="4"/>
  <c r="V402" i="4"/>
  <c r="W402" i="4"/>
  <c r="V102" i="4"/>
  <c r="W102" i="4"/>
  <c r="W179" i="4"/>
  <c r="V179" i="4"/>
  <c r="V347" i="4"/>
  <c r="W347" i="4"/>
  <c r="V112" i="4"/>
  <c r="W112" i="4"/>
  <c r="W142" i="4"/>
  <c r="V142" i="4"/>
  <c r="AA142" i="4"/>
  <c r="V460" i="4"/>
  <c r="W460" i="4"/>
  <c r="W367" i="4"/>
  <c r="V367" i="4"/>
  <c r="V476" i="4"/>
  <c r="W476" i="4"/>
  <c r="V479" i="4"/>
  <c r="AA479" i="4"/>
  <c r="W479" i="4"/>
  <c r="V37" i="4"/>
  <c r="W37" i="4"/>
  <c r="W28" i="4"/>
  <c r="V28" i="4"/>
  <c r="W230" i="4"/>
  <c r="V230" i="4"/>
  <c r="V383" i="4"/>
  <c r="W383" i="4"/>
  <c r="V136" i="4"/>
  <c r="W136" i="4"/>
  <c r="V431" i="4"/>
  <c r="W431" i="4"/>
  <c r="V418" i="4"/>
  <c r="W418" i="4"/>
  <c r="W52" i="4"/>
  <c r="V52" i="4"/>
  <c r="V346" i="4"/>
  <c r="W346" i="4"/>
  <c r="V39" i="4"/>
  <c r="W39" i="4"/>
  <c r="W272" i="4"/>
  <c r="V272" i="4"/>
  <c r="Y119" i="4"/>
  <c r="Z119" i="4" s="1"/>
  <c r="AA119" i="4" s="1"/>
  <c r="Y432" i="4"/>
  <c r="Z432" i="4" s="1"/>
  <c r="AA432" i="4" s="1"/>
  <c r="Y310" i="4"/>
  <c r="Z310" i="4" s="1"/>
  <c r="AA310" i="4" s="1"/>
  <c r="Y35" i="4"/>
  <c r="Z35" i="4" s="1"/>
  <c r="AA35" i="4" s="1"/>
  <c r="Y400" i="4"/>
  <c r="Z400" i="4" s="1"/>
  <c r="AA400" i="4" s="1"/>
  <c r="Y238" i="4"/>
  <c r="Z238" i="4" s="1"/>
  <c r="AA238" i="4" s="1"/>
  <c r="Y379" i="4"/>
  <c r="Z379" i="4" s="1"/>
  <c r="AA379" i="4" s="1"/>
  <c r="Y352" i="4"/>
  <c r="Z352" i="4" s="1"/>
  <c r="AA352" i="4" s="1"/>
  <c r="Y209" i="4"/>
  <c r="Z209" i="4" s="1"/>
  <c r="AA209" i="4" s="1"/>
  <c r="Y471" i="4"/>
  <c r="Z471" i="4" s="1"/>
  <c r="AA471" i="4" s="1"/>
  <c r="Y76" i="4"/>
  <c r="Z76" i="4" s="1"/>
  <c r="AA76" i="4" s="1"/>
  <c r="Y222" i="4"/>
  <c r="Z222" i="4" s="1"/>
  <c r="AA222" i="4" s="1"/>
  <c r="Y91" i="4"/>
  <c r="Z91" i="4" s="1"/>
  <c r="AA91" i="4" s="1"/>
  <c r="Y49" i="4"/>
  <c r="Z49" i="4" s="1"/>
  <c r="AA49" i="4" s="1"/>
  <c r="Y452" i="4"/>
  <c r="Z452" i="4" s="1"/>
  <c r="AA452" i="4" s="1"/>
  <c r="Y301" i="4"/>
  <c r="Z301" i="4" s="1"/>
  <c r="AA301" i="4" s="1"/>
  <c r="Y85" i="4"/>
  <c r="Z85" i="4" s="1"/>
  <c r="AA85" i="4" s="1"/>
  <c r="Y184" i="4"/>
  <c r="Z184" i="4" s="1"/>
  <c r="AA184" i="4" s="1"/>
  <c r="Y387" i="4"/>
  <c r="Z387" i="4" s="1"/>
  <c r="AA387" i="4" s="1"/>
  <c r="Y441" i="4"/>
  <c r="Z441" i="4" s="1"/>
  <c r="AA441" i="4" s="1"/>
  <c r="Y161" i="4"/>
  <c r="Z161" i="4" s="1"/>
  <c r="AA161" i="4" s="1"/>
  <c r="Y167" i="4"/>
  <c r="Z167" i="4" s="1"/>
  <c r="AA167" i="4" s="1"/>
  <c r="Y180" i="4"/>
  <c r="Z180" i="4" s="1"/>
  <c r="AA180" i="4" s="1"/>
  <c r="Y354" i="4"/>
  <c r="Z354" i="4" s="1"/>
  <c r="AA354" i="4" s="1"/>
  <c r="Y497" i="4"/>
  <c r="Z497" i="4" s="1"/>
  <c r="AA497" i="4" s="1"/>
  <c r="Y320" i="4"/>
  <c r="Z320" i="4" s="1"/>
  <c r="AA320" i="4" s="1"/>
  <c r="Y8" i="4"/>
  <c r="Z8" i="4" s="1"/>
  <c r="AA8" i="4" s="1"/>
  <c r="Y279" i="4"/>
  <c r="Z279" i="4" s="1"/>
  <c r="AA279" i="4" s="1"/>
  <c r="W65" i="4"/>
  <c r="V65" i="4"/>
  <c r="V71" i="4"/>
  <c r="W71" i="4"/>
  <c r="W450" i="4"/>
  <c r="V450" i="4"/>
  <c r="AA173" i="4"/>
  <c r="V173" i="4"/>
  <c r="W173" i="4"/>
  <c r="V426" i="4"/>
  <c r="W426" i="4"/>
  <c r="V480" i="4"/>
  <c r="W480" i="4"/>
  <c r="V293" i="4"/>
  <c r="W293" i="4"/>
  <c r="V104" i="4"/>
  <c r="W104" i="4"/>
  <c r="W166" i="4"/>
  <c r="V166" i="4"/>
  <c r="W491" i="4"/>
  <c r="V491" i="4"/>
  <c r="V454" i="4"/>
  <c r="W454" i="4"/>
  <c r="V282" i="4"/>
  <c r="W282" i="4"/>
  <c r="Y446" i="4"/>
  <c r="Z446" i="4" s="1"/>
  <c r="AA446" i="4" s="1"/>
  <c r="Y98" i="4"/>
  <c r="Z98" i="4" s="1"/>
  <c r="AA98" i="4" s="1"/>
  <c r="Y216" i="4"/>
  <c r="Z216" i="4" s="1"/>
  <c r="AA216" i="4" s="1"/>
  <c r="Y202" i="4"/>
  <c r="Z202" i="4" s="1"/>
  <c r="AA202" i="4" s="1"/>
  <c r="Y201" i="4"/>
  <c r="Z201" i="4" s="1"/>
  <c r="AA201" i="4" s="1"/>
  <c r="Y392" i="4"/>
  <c r="Z392" i="4" s="1"/>
  <c r="AA392" i="4" s="1"/>
  <c r="Y275" i="4"/>
  <c r="Z275" i="4" s="1"/>
  <c r="AA275" i="4" s="1"/>
  <c r="Y125" i="4"/>
  <c r="Z125" i="4" s="1"/>
  <c r="AA125" i="4" s="1"/>
  <c r="V119" i="4"/>
  <c r="W119" i="4"/>
  <c r="W432" i="4"/>
  <c r="V432" i="4"/>
  <c r="W310" i="4"/>
  <c r="V310" i="4"/>
  <c r="W35" i="4"/>
  <c r="V35" i="4"/>
  <c r="V400" i="4"/>
  <c r="W400" i="4"/>
  <c r="V238" i="4"/>
  <c r="W238" i="4"/>
  <c r="V379" i="4"/>
  <c r="W379" i="4"/>
  <c r="W352" i="4"/>
  <c r="V352" i="4"/>
  <c r="V209" i="4"/>
  <c r="W209" i="4"/>
  <c r="V471" i="4"/>
  <c r="W471" i="4"/>
  <c r="W76" i="4"/>
  <c r="V76" i="4"/>
  <c r="W222" i="4"/>
  <c r="V222" i="4"/>
  <c r="V91" i="4"/>
  <c r="W91" i="4"/>
  <c r="W49" i="4"/>
  <c r="V49" i="4"/>
  <c r="W452" i="4"/>
  <c r="V452" i="4"/>
  <c r="W301" i="4"/>
  <c r="V301" i="4"/>
  <c r="W85" i="4"/>
  <c r="V85" i="4"/>
  <c r="V184" i="4"/>
  <c r="W184" i="4"/>
  <c r="V387" i="4"/>
  <c r="W387" i="4"/>
  <c r="W441" i="4"/>
  <c r="V441" i="4"/>
  <c r="V161" i="4"/>
  <c r="W161" i="4"/>
  <c r="W167" i="4"/>
  <c r="V167" i="4"/>
  <c r="W180" i="4"/>
  <c r="V180" i="4"/>
  <c r="V354" i="4"/>
  <c r="W354" i="4"/>
  <c r="V497" i="4"/>
  <c r="W497" i="4"/>
  <c r="W320" i="4"/>
  <c r="V320" i="4"/>
  <c r="W8" i="4"/>
  <c r="V8" i="4"/>
  <c r="V279" i="4"/>
  <c r="W279" i="4"/>
  <c r="W446" i="4"/>
  <c r="V446" i="4"/>
  <c r="W98" i="4"/>
  <c r="V98" i="4"/>
  <c r="W216" i="4"/>
  <c r="V216" i="4"/>
  <c r="V202" i="4"/>
  <c r="W202" i="4"/>
  <c r="W201" i="4"/>
  <c r="V201" i="4"/>
  <c r="V392" i="4"/>
  <c r="W392" i="4"/>
  <c r="W275" i="4"/>
  <c r="V275" i="4"/>
  <c r="W125" i="4"/>
  <c r="V125" i="4"/>
  <c r="W498" i="4"/>
  <c r="V498" i="4"/>
  <c r="V250" i="4"/>
  <c r="W250" i="4"/>
  <c r="W196" i="4"/>
  <c r="V196" i="4"/>
  <c r="W313" i="4"/>
  <c r="V313" i="4"/>
  <c r="W300" i="4"/>
  <c r="V300" i="4"/>
  <c r="V260" i="4"/>
  <c r="W260" i="4"/>
  <c r="W255" i="4"/>
  <c r="V255" i="4"/>
  <c r="V199" i="4"/>
  <c r="W199" i="4"/>
  <c r="V327" i="4"/>
  <c r="W327" i="4"/>
  <c r="V107" i="4"/>
  <c r="W107" i="4"/>
  <c r="W30" i="4"/>
  <c r="V30" i="4"/>
  <c r="V378" i="4"/>
  <c r="W378" i="4"/>
  <c r="W132" i="4"/>
  <c r="V132" i="4"/>
  <c r="V116" i="4"/>
  <c r="W116" i="4"/>
  <c r="W147" i="4"/>
  <c r="V147" i="4"/>
  <c r="W100" i="4"/>
  <c r="V100" i="4"/>
  <c r="V267" i="4"/>
  <c r="W267" i="4"/>
  <c r="V501" i="4"/>
  <c r="W501" i="4"/>
  <c r="V5" i="4"/>
  <c r="W5" i="4"/>
  <c r="AA5" i="4"/>
  <c r="V478" i="4"/>
  <c r="W478" i="4"/>
  <c r="Y376" i="4"/>
  <c r="Z376" i="4" s="1"/>
  <c r="AA376" i="4" s="1"/>
  <c r="Y464" i="4"/>
  <c r="Z464" i="4" s="1"/>
  <c r="AA464" i="4" s="1"/>
  <c r="Y151" i="4"/>
  <c r="Z151" i="4" s="1"/>
  <c r="AA151" i="4" s="1"/>
  <c r="Y371" i="4"/>
  <c r="Z371" i="4" s="1"/>
  <c r="AA371" i="4" s="1"/>
  <c r="Y197" i="4"/>
  <c r="Z197" i="4" s="1"/>
  <c r="AA197" i="4" s="1"/>
  <c r="Y398" i="4"/>
  <c r="Z398" i="4" s="1"/>
  <c r="AA398" i="4" s="1"/>
  <c r="Y394" i="4"/>
  <c r="Z394" i="4" s="1"/>
  <c r="AA394" i="4" s="1"/>
  <c r="W277" i="4"/>
  <c r="AA277" i="4"/>
  <c r="V277" i="4"/>
  <c r="V75" i="4"/>
  <c r="W75" i="4"/>
  <c r="W231" i="4"/>
  <c r="V231" i="4"/>
  <c r="W232" i="4"/>
  <c r="V232" i="4"/>
  <c r="W292" i="4"/>
  <c r="V292" i="4"/>
  <c r="V349" i="4"/>
  <c r="W349" i="4"/>
  <c r="V198" i="4"/>
  <c r="W198" i="4"/>
  <c r="V66" i="4"/>
  <c r="W66" i="4"/>
  <c r="V470" i="4"/>
  <c r="W470" i="4"/>
  <c r="V321" i="4"/>
  <c r="W321" i="4"/>
  <c r="V243" i="4"/>
  <c r="W243" i="4"/>
  <c r="W370" i="4"/>
  <c r="V370" i="4"/>
  <c r="W278" i="4"/>
  <c r="V278" i="4"/>
  <c r="W395" i="4"/>
  <c r="V395" i="4"/>
  <c r="V235" i="4"/>
  <c r="W235" i="4"/>
  <c r="W42" i="4"/>
  <c r="V42" i="4"/>
  <c r="V145" i="4"/>
  <c r="W145" i="4"/>
  <c r="W442" i="4"/>
  <c r="V442" i="4"/>
  <c r="W415" i="4"/>
  <c r="V415" i="4"/>
  <c r="W54" i="4"/>
  <c r="V54" i="4"/>
  <c r="V403" i="4"/>
  <c r="W403" i="4"/>
  <c r="V259" i="4"/>
  <c r="W259" i="4"/>
  <c r="W62" i="4"/>
  <c r="V62" i="4"/>
  <c r="AA445" i="4"/>
  <c r="W445" i="4"/>
  <c r="V445" i="4"/>
  <c r="V245" i="4"/>
  <c r="W245" i="4"/>
  <c r="W263" i="4"/>
  <c r="V263" i="4"/>
  <c r="W309" i="4"/>
  <c r="V309" i="4"/>
  <c r="AA309" i="4"/>
  <c r="W212" i="4"/>
  <c r="V212" i="4"/>
  <c r="W376" i="4"/>
  <c r="V376" i="4"/>
  <c r="V464" i="4"/>
  <c r="W464" i="4"/>
  <c r="W151" i="4"/>
  <c r="V151" i="4"/>
  <c r="V371" i="4"/>
  <c r="W371" i="4"/>
  <c r="W197" i="4"/>
  <c r="V197" i="4"/>
  <c r="W398" i="4"/>
  <c r="V398" i="4"/>
  <c r="V394" i="4"/>
  <c r="W394" i="4"/>
  <c r="V92" i="4"/>
  <c r="W92" i="4"/>
  <c r="W67" i="4"/>
  <c r="V67" i="4"/>
  <c r="W44" i="4"/>
  <c r="V44" i="4"/>
  <c r="V176" i="4"/>
  <c r="W176" i="4"/>
  <c r="W483" i="4"/>
  <c r="V483" i="4"/>
  <c r="V421" i="4"/>
  <c r="W421" i="4"/>
  <c r="W69" i="4"/>
  <c r="V69" i="4"/>
  <c r="V268" i="4"/>
  <c r="W268" i="4"/>
  <c r="W178" i="4"/>
  <c r="V178" i="4"/>
  <c r="V215" i="4"/>
  <c r="W215" i="4"/>
  <c r="W359" i="4"/>
  <c r="V359" i="4"/>
  <c r="W4" i="4"/>
  <c r="V4" i="4"/>
  <c r="W348" i="4"/>
  <c r="V348" i="4"/>
  <c r="W94" i="4"/>
  <c r="V94" i="4"/>
  <c r="V249" i="4"/>
  <c r="W249" i="4"/>
  <c r="W473" i="4"/>
  <c r="V473" i="4"/>
  <c r="W190" i="4"/>
  <c r="V190" i="4"/>
  <c r="V169" i="4"/>
  <c r="W169" i="4"/>
  <c r="V365" i="4"/>
  <c r="W365" i="4"/>
  <c r="V405" i="4"/>
  <c r="W405" i="4"/>
  <c r="W374" i="4"/>
  <c r="V374" i="4"/>
  <c r="W78" i="4"/>
  <c r="V78" i="4"/>
  <c r="W31" i="4"/>
  <c r="V31" i="4"/>
  <c r="V163" i="4"/>
  <c r="W163" i="4"/>
  <c r="V110" i="4"/>
  <c r="AA110" i="4"/>
  <c r="W110" i="4"/>
  <c r="W299" i="4"/>
  <c r="V299" i="4"/>
  <c r="W153" i="4"/>
  <c r="V153" i="4"/>
  <c r="V485" i="4"/>
  <c r="W485" i="4"/>
  <c r="W237" i="4"/>
  <c r="V237" i="4"/>
  <c r="W106" i="4"/>
  <c r="V106" i="4"/>
  <c r="AA456" i="4"/>
  <c r="V456" i="4"/>
  <c r="W456" i="4"/>
  <c r="W46" i="4"/>
  <c r="V46" i="4"/>
  <c r="V409" i="4"/>
  <c r="W409" i="4"/>
  <c r="W475" i="4"/>
  <c r="V475" i="4"/>
  <c r="W291" i="4"/>
  <c r="V291" i="4"/>
  <c r="W140" i="4"/>
  <c r="AA140" i="4"/>
  <c r="V140" i="4"/>
  <c r="V305" i="4"/>
  <c r="W305" i="4"/>
  <c r="W324" i="4"/>
  <c r="V324" i="4"/>
  <c r="AA324" i="4"/>
  <c r="V186" i="4"/>
  <c r="W186" i="4"/>
  <c r="W380" i="4"/>
  <c r="V380" i="4"/>
  <c r="V256" i="4"/>
  <c r="W256" i="4"/>
  <c r="W389" i="4"/>
  <c r="V389" i="4"/>
  <c r="W436" i="4"/>
  <c r="V436" i="4"/>
  <c r="V234" i="4"/>
  <c r="W234" i="4"/>
  <c r="V369" i="4"/>
  <c r="W369" i="4"/>
  <c r="V465" i="4"/>
  <c r="W465" i="4"/>
  <c r="AA465" i="4"/>
  <c r="W468" i="4"/>
  <c r="V468" i="4"/>
  <c r="W351" i="4"/>
  <c r="V351" i="4"/>
  <c r="W484" i="4"/>
  <c r="V484" i="4"/>
  <c r="V213" i="4"/>
  <c r="W213" i="4"/>
  <c r="W175" i="4"/>
  <c r="V175" i="4"/>
  <c r="W438" i="4"/>
  <c r="V438" i="4"/>
  <c r="V229" i="4"/>
  <c r="W229" i="4"/>
  <c r="V304" i="4"/>
  <c r="W304" i="4"/>
  <c r="V425" i="4"/>
  <c r="W425" i="4"/>
  <c r="V200" i="4"/>
  <c r="W200" i="4"/>
  <c r="Y474" i="4"/>
  <c r="Z474" i="4" s="1"/>
  <c r="AA474" i="4" s="1"/>
  <c r="Y53" i="4"/>
  <c r="Z53" i="4" s="1"/>
  <c r="AA53" i="4" s="1"/>
  <c r="Y224" i="4"/>
  <c r="Z224" i="4" s="1"/>
  <c r="AA224" i="4" s="1"/>
  <c r="Y24" i="4"/>
  <c r="Z24" i="4" s="1"/>
  <c r="AA24" i="4" s="1"/>
  <c r="Y12" i="4"/>
  <c r="Z12" i="4" s="1"/>
  <c r="Y377" i="4"/>
  <c r="Z377" i="4" s="1"/>
  <c r="AA377" i="4" s="1"/>
  <c r="Y254" i="4"/>
  <c r="Z254" i="4" s="1"/>
  <c r="AA254" i="4" s="1"/>
  <c r="Y276" i="4"/>
  <c r="Z276" i="4" s="1"/>
  <c r="AA276" i="4" s="1"/>
  <c r="Y223" i="4"/>
  <c r="Z223" i="4" s="1"/>
  <c r="AA223" i="4" s="1"/>
  <c r="Y55" i="4"/>
  <c r="Z55" i="4" s="1"/>
  <c r="AA55" i="4" s="1"/>
  <c r="Y103" i="4"/>
  <c r="Z103" i="4" s="1"/>
  <c r="AA103" i="4" s="1"/>
  <c r="Y287" i="4"/>
  <c r="Z287" i="4" s="1"/>
  <c r="AA287" i="4" s="1"/>
  <c r="Y109" i="4"/>
  <c r="Z109" i="4" s="1"/>
  <c r="AA109" i="4" s="1"/>
  <c r="Y493" i="4"/>
  <c r="Z493" i="4" s="1"/>
  <c r="AA493" i="4" s="1"/>
  <c r="Y332" i="4"/>
  <c r="Z332" i="4" s="1"/>
  <c r="AA332" i="4" s="1"/>
  <c r="Y361" i="4"/>
  <c r="Z361" i="4" s="1"/>
  <c r="AA361" i="4" s="1"/>
  <c r="Y360" i="4"/>
  <c r="Z360" i="4" s="1"/>
  <c r="AA360" i="4" s="1"/>
  <c r="Y417" i="4"/>
  <c r="Z417" i="4" s="1"/>
  <c r="AA417" i="4" s="1"/>
  <c r="Y302" i="4"/>
  <c r="Z302" i="4" s="1"/>
  <c r="AA302" i="4" s="1"/>
  <c r="Y414" i="4"/>
  <c r="Z414" i="4" s="1"/>
  <c r="AA414" i="4" s="1"/>
  <c r="Y444" i="4"/>
  <c r="Z444" i="4" s="1"/>
  <c r="AA444" i="4" s="1"/>
  <c r="Y363" i="4"/>
  <c r="Z363" i="4" s="1"/>
  <c r="AA363" i="4" s="1"/>
  <c r="Y133" i="4"/>
  <c r="Z133" i="4" s="1"/>
  <c r="AA133" i="4" s="1"/>
  <c r="V45" i="4"/>
  <c r="W45" i="4"/>
  <c r="W466" i="4"/>
  <c r="V466" i="4"/>
  <c r="V56" i="4"/>
  <c r="W56" i="4"/>
  <c r="W419" i="4"/>
  <c r="V419" i="4"/>
  <c r="W420" i="4"/>
  <c r="V420" i="4"/>
  <c r="W341" i="4"/>
  <c r="V341" i="4"/>
  <c r="V329" i="4"/>
  <c r="W329" i="4"/>
  <c r="V154" i="4"/>
  <c r="W154" i="4"/>
  <c r="V149" i="4"/>
  <c r="W149" i="4"/>
  <c r="W99" i="4"/>
  <c r="V99" i="4"/>
  <c r="V386" i="4"/>
  <c r="W386" i="4"/>
  <c r="W138" i="4"/>
  <c r="V138" i="4"/>
  <c r="W253" i="4"/>
  <c r="V253" i="4"/>
  <c r="Y472" i="4"/>
  <c r="Z472" i="4" s="1"/>
  <c r="AA472" i="4" s="1"/>
  <c r="Y131" i="4"/>
  <c r="Z131" i="4" s="1"/>
  <c r="AA131" i="4" s="1"/>
  <c r="Y366" i="4"/>
  <c r="Z366" i="4" s="1"/>
  <c r="AA366" i="4" s="1"/>
  <c r="Y77" i="4"/>
  <c r="Z77" i="4" s="1"/>
  <c r="AA77" i="4" s="1"/>
  <c r="Y496" i="4"/>
  <c r="Z496" i="4" s="1"/>
  <c r="AA496" i="4" s="1"/>
  <c r="Y74" i="4"/>
  <c r="Z74" i="4" s="1"/>
  <c r="AA74" i="4" s="1"/>
  <c r="Y129" i="4"/>
  <c r="Z129" i="4" s="1"/>
  <c r="AA129" i="4" s="1"/>
  <c r="W53" i="4"/>
  <c r="V53" i="4"/>
  <c r="W224" i="4"/>
  <c r="V224" i="4"/>
  <c r="W24" i="4"/>
  <c r="V24" i="4"/>
  <c r="V12" i="4"/>
  <c r="W12" i="4"/>
  <c r="AA12" i="4"/>
  <c r="V377" i="4"/>
  <c r="W377" i="4"/>
  <c r="W254" i="4"/>
  <c r="V254" i="4"/>
  <c r="W276" i="4"/>
  <c r="V276" i="4"/>
  <c r="V223" i="4"/>
  <c r="W223" i="4"/>
  <c r="W55" i="4"/>
  <c r="V55" i="4"/>
  <c r="V103" i="4"/>
  <c r="W103" i="4"/>
  <c r="W287" i="4"/>
  <c r="V287" i="4"/>
  <c r="V109" i="4"/>
  <c r="W109" i="4"/>
  <c r="V493" i="4"/>
  <c r="W493" i="4"/>
  <c r="W332" i="4"/>
  <c r="V332" i="4"/>
  <c r="V361" i="4"/>
  <c r="W361" i="4"/>
  <c r="W360" i="4"/>
  <c r="V360" i="4"/>
  <c r="V417" i="4"/>
  <c r="W417" i="4"/>
  <c r="W302" i="4"/>
  <c r="V302" i="4"/>
  <c r="V414" i="4"/>
  <c r="W414" i="4"/>
  <c r="W444" i="4"/>
  <c r="V444" i="4"/>
  <c r="V363" i="4"/>
  <c r="W363" i="4"/>
  <c r="V133" i="4"/>
  <c r="W133" i="4"/>
  <c r="V472" i="4"/>
  <c r="W472" i="4"/>
  <c r="W131" i="4"/>
  <c r="V131" i="4"/>
  <c r="W366" i="4"/>
  <c r="V366" i="4"/>
  <c r="W77" i="4"/>
  <c r="V77" i="4"/>
  <c r="V496" i="4"/>
  <c r="W496" i="4"/>
  <c r="V74" i="4"/>
  <c r="W74" i="4"/>
  <c r="V129" i="4"/>
  <c r="W129" i="4"/>
  <c r="W165" i="4"/>
  <c r="V165" i="4"/>
  <c r="V208" i="4"/>
  <c r="W208" i="4"/>
  <c r="W350" i="4"/>
  <c r="V350" i="4"/>
  <c r="V459" i="4"/>
  <c r="W459" i="4"/>
  <c r="V248" i="4"/>
  <c r="W248" i="4"/>
  <c r="W240" i="4"/>
  <c r="V240" i="4"/>
  <c r="W416" i="4"/>
  <c r="V416" i="4"/>
  <c r="V316" i="4"/>
  <c r="W316" i="4"/>
  <c r="V413" i="4"/>
  <c r="AA413" i="4"/>
  <c r="W413" i="4"/>
  <c r="V146" i="4"/>
  <c r="W146" i="4"/>
  <c r="V50" i="4"/>
  <c r="W50" i="4"/>
  <c r="V170" i="4"/>
  <c r="W170" i="4"/>
  <c r="V168" i="4"/>
  <c r="W168" i="4"/>
  <c r="W193" i="4"/>
  <c r="V193" i="4"/>
  <c r="W172" i="4"/>
  <c r="V172" i="4"/>
  <c r="W108" i="4"/>
  <c r="V108" i="4"/>
  <c r="V88" i="4"/>
  <c r="W88" i="4"/>
  <c r="V390" i="4"/>
  <c r="W390" i="4"/>
  <c r="V139" i="4"/>
  <c r="W139" i="4"/>
  <c r="V283" i="4"/>
  <c r="W283" i="4"/>
  <c r="W399" i="4"/>
  <c r="V399" i="4"/>
  <c r="W174" i="4"/>
  <c r="V174" i="4"/>
  <c r="AA174" i="4"/>
  <c r="V162" i="4"/>
  <c r="W162" i="4"/>
  <c r="W407" i="4"/>
  <c r="V407" i="4"/>
  <c r="W9" i="4"/>
  <c r="V9" i="4"/>
  <c r="Y266" i="4"/>
  <c r="Z266" i="4" s="1"/>
  <c r="AA266" i="4" s="1"/>
  <c r="Y358" i="4"/>
  <c r="Z358" i="4" s="1"/>
  <c r="AA358" i="4" s="1"/>
  <c r="Y451" i="4"/>
  <c r="Z451" i="4" s="1"/>
  <c r="AA451" i="4" s="1"/>
  <c r="Y499" i="4"/>
  <c r="Z499" i="4" s="1"/>
  <c r="AA499" i="4" s="1"/>
  <c r="Y423" i="4"/>
  <c r="Z423" i="4" s="1"/>
  <c r="AA423" i="4" s="1"/>
  <c r="Y262" i="4"/>
  <c r="Z262" i="4" s="1"/>
  <c r="AA262" i="4" s="1"/>
  <c r="Y20" i="4"/>
  <c r="Z20" i="4" s="1"/>
  <c r="AA20" i="4" s="1"/>
  <c r="Y500" i="4"/>
  <c r="Z500" i="4" s="1"/>
  <c r="AA500" i="4" s="1"/>
  <c r="Y96" i="4"/>
  <c r="Z96" i="4" s="1"/>
  <c r="AA96" i="4" s="1"/>
  <c r="Y274" i="4"/>
  <c r="Z274" i="4" s="1"/>
  <c r="AA274" i="4" s="1"/>
  <c r="Y16" i="4"/>
  <c r="Z16" i="4" s="1"/>
  <c r="AA16" i="4" s="1"/>
  <c r="Y143" i="4"/>
  <c r="Z143" i="4" s="1"/>
  <c r="AA143" i="4" s="1"/>
  <c r="Y306" i="4"/>
  <c r="Z306" i="4" s="1"/>
  <c r="AA306" i="4" s="1"/>
  <c r="Y211" i="4"/>
  <c r="Z211" i="4" s="1"/>
  <c r="AA211" i="4" s="1"/>
  <c r="Y312" i="4"/>
  <c r="Z312" i="4" s="1"/>
  <c r="AA312" i="4" s="1"/>
  <c r="Y72" i="4"/>
  <c r="Z72" i="4" s="1"/>
  <c r="AA72" i="4" s="1"/>
  <c r="Y495" i="4"/>
  <c r="Z495" i="4" s="1"/>
  <c r="AA495" i="4" s="1"/>
  <c r="Y33" i="4"/>
  <c r="Z33" i="4" s="1"/>
  <c r="AA33" i="4" s="1"/>
  <c r="Y134" i="4"/>
  <c r="Z134" i="4" s="1"/>
  <c r="AA134" i="4" s="1"/>
  <c r="Y388" i="4"/>
  <c r="Z388" i="4" s="1"/>
  <c r="AA388" i="4" s="1"/>
  <c r="Y408" i="4"/>
  <c r="Z408" i="4" s="1"/>
  <c r="AA408" i="4" s="1"/>
  <c r="Y429" i="4"/>
  <c r="Z429" i="4" s="1"/>
  <c r="AA429" i="4" s="1"/>
  <c r="V135" i="4"/>
  <c r="W135" i="4"/>
  <c r="Y10" i="4"/>
  <c r="Z10" i="4" s="1"/>
  <c r="AA10" i="4" s="1"/>
  <c r="Y105" i="4"/>
  <c r="Z105" i="4" s="1"/>
  <c r="AA105" i="4" s="1"/>
  <c r="Y504" i="4"/>
  <c r="Z504" i="4" s="1"/>
  <c r="AA504" i="4" s="1"/>
  <c r="Y433" i="4"/>
  <c r="Z433" i="4" s="1"/>
  <c r="AA433" i="4" s="1"/>
  <c r="V47" i="4"/>
  <c r="W47" i="4"/>
  <c r="W64" i="4"/>
  <c r="V64" i="4"/>
  <c r="V218" i="4"/>
  <c r="W218" i="4"/>
  <c r="V122" i="4"/>
  <c r="W122" i="4"/>
  <c r="W335" i="4"/>
  <c r="V335" i="4"/>
  <c r="W113" i="4"/>
  <c r="V113" i="4"/>
  <c r="W435" i="4"/>
  <c r="V435" i="4"/>
  <c r="V177" i="4"/>
  <c r="AA177" i="4"/>
  <c r="W177" i="4"/>
  <c r="V453" i="4"/>
  <c r="W453" i="4"/>
  <c r="V214" i="4"/>
  <c r="W214" i="4"/>
  <c r="W68" i="4"/>
  <c r="V68" i="4"/>
  <c r="W23" i="4"/>
  <c r="V23" i="4"/>
  <c r="Y326" i="4"/>
  <c r="Z326" i="4" s="1"/>
  <c r="AA326" i="4" s="1"/>
  <c r="Y328" i="4"/>
  <c r="Z328" i="4" s="1"/>
  <c r="AA328" i="4" s="1"/>
  <c r="Y325" i="4"/>
  <c r="Z325" i="4" s="1"/>
  <c r="AA325" i="4" s="1"/>
  <c r="Y79" i="4"/>
  <c r="Z79" i="4" s="1"/>
  <c r="AA79" i="4" s="1"/>
  <c r="Y397" i="4"/>
  <c r="Z397" i="4" s="1"/>
  <c r="AA397" i="4" s="1"/>
  <c r="W358" i="4"/>
  <c r="V358" i="4"/>
  <c r="W451" i="4"/>
  <c r="V451" i="4"/>
  <c r="W499" i="4"/>
  <c r="V499" i="4"/>
  <c r="V423" i="4"/>
  <c r="W423" i="4"/>
  <c r="W262" i="4"/>
  <c r="V262" i="4"/>
  <c r="W20" i="4"/>
  <c r="V20" i="4"/>
  <c r="V500" i="4"/>
  <c r="W500" i="4"/>
  <c r="V96" i="4"/>
  <c r="W96" i="4"/>
  <c r="V274" i="4"/>
  <c r="W274" i="4"/>
  <c r="W16" i="4"/>
  <c r="V16" i="4"/>
  <c r="W143" i="4"/>
  <c r="V143" i="4"/>
  <c r="W306" i="4"/>
  <c r="V306" i="4"/>
  <c r="V211" i="4"/>
  <c r="W211" i="4"/>
  <c r="W312" i="4"/>
  <c r="V312" i="4"/>
  <c r="W72" i="4"/>
  <c r="V72" i="4"/>
  <c r="W495" i="4"/>
  <c r="V495" i="4"/>
  <c r="V33" i="4"/>
  <c r="W33" i="4"/>
  <c r="V134" i="4"/>
  <c r="W134" i="4"/>
  <c r="W388" i="4"/>
  <c r="V388" i="4"/>
  <c r="W408" i="4"/>
  <c r="V408" i="4"/>
  <c r="W429" i="4"/>
  <c r="V429" i="4"/>
  <c r="V10" i="4"/>
  <c r="W10" i="4"/>
  <c r="W105" i="4"/>
  <c r="V105" i="4"/>
  <c r="V504" i="4"/>
  <c r="W504" i="4"/>
  <c r="V433" i="4"/>
  <c r="W433" i="4"/>
  <c r="V326" i="4"/>
  <c r="W326" i="4"/>
  <c r="W328" i="4"/>
  <c r="V328" i="4"/>
  <c r="W325" i="4"/>
  <c r="V325" i="4"/>
  <c r="V79" i="4"/>
  <c r="W79" i="4"/>
  <c r="V397" i="4"/>
  <c r="W397" i="4"/>
  <c r="V330" i="4"/>
  <c r="W330" i="4"/>
  <c r="V150" i="4"/>
  <c r="W150" i="4"/>
  <c r="V73" i="4"/>
  <c r="AA73" i="4"/>
  <c r="W73" i="4"/>
  <c r="W356" i="4"/>
  <c r="V356" i="4"/>
  <c r="W93" i="4"/>
  <c r="V93" i="4"/>
  <c r="V127" i="4"/>
  <c r="W127" i="4"/>
  <c r="V294" i="4"/>
  <c r="AA294" i="4"/>
  <c r="W294" i="4"/>
  <c r="W164" i="4"/>
  <c r="V164" i="4"/>
  <c r="V225" i="4"/>
  <c r="AA225" i="4"/>
  <c r="W225" i="4"/>
  <c r="W334" i="4"/>
  <c r="V334" i="4"/>
  <c r="V261" i="4"/>
  <c r="W261" i="4"/>
  <c r="W424" i="4"/>
  <c r="V424" i="4"/>
  <c r="V503" i="4"/>
  <c r="W503" i="4"/>
  <c r="V26" i="4"/>
  <c r="W26" i="4"/>
  <c r="W246" i="4"/>
  <c r="V246" i="4"/>
  <c r="V226" i="4"/>
  <c r="W226" i="4"/>
  <c r="V14" i="4"/>
  <c r="W14" i="4"/>
  <c r="V303" i="4"/>
  <c r="W303" i="4"/>
  <c r="W257" i="4"/>
  <c r="V257" i="4"/>
  <c r="V323" i="4"/>
  <c r="W323" i="4"/>
  <c r="AA95" i="4"/>
  <c r="W95" i="4"/>
  <c r="V95" i="4"/>
  <c r="V220" i="4"/>
  <c r="W220" i="4"/>
  <c r="V57" i="4"/>
  <c r="W57" i="4"/>
  <c r="W284" i="4"/>
  <c r="V284" i="4"/>
  <c r="AA284" i="4"/>
  <c r="W285" i="4"/>
  <c r="V285" i="4"/>
  <c r="V467" i="4"/>
  <c r="W467" i="4"/>
  <c r="W236" i="4"/>
  <c r="V236" i="4"/>
  <c r="W434" i="4"/>
  <c r="V434" i="4"/>
  <c r="W298" i="4"/>
  <c r="V298" i="4"/>
  <c r="AA89" i="4"/>
  <c r="V89" i="4"/>
  <c r="W89" i="4"/>
  <c r="W152" i="4"/>
  <c r="V152" i="4"/>
  <c r="Y391" i="4"/>
  <c r="Z391" i="4" s="1"/>
  <c r="AA391" i="4" s="1"/>
  <c r="Y319" i="4"/>
  <c r="Z319" i="4" s="1"/>
  <c r="AA319" i="4" s="1"/>
  <c r="Y123" i="4"/>
  <c r="Z123" i="4" s="1"/>
  <c r="AA123" i="4" s="1"/>
  <c r="Y258" i="4"/>
  <c r="Z258" i="4" s="1"/>
  <c r="AA258" i="4" s="1"/>
  <c r="Y462" i="4"/>
  <c r="Z462" i="4" s="1"/>
  <c r="AA462" i="4" s="1"/>
  <c r="Y228" i="4"/>
  <c r="Z228" i="4" s="1"/>
  <c r="AA228" i="4" s="1"/>
  <c r="Y156" i="4"/>
  <c r="Z156" i="4" s="1"/>
  <c r="AA156" i="4" s="1"/>
  <c r="Y331" i="4"/>
  <c r="Z331" i="4" s="1"/>
  <c r="AA331" i="4" s="1"/>
  <c r="Y155" i="4"/>
  <c r="Z155" i="4" s="1"/>
  <c r="AA155" i="4" s="1"/>
  <c r="Y25" i="4"/>
  <c r="Z25" i="4" s="1"/>
  <c r="AA25" i="4" s="1"/>
  <c r="Y207" i="4"/>
  <c r="Z207" i="4" s="1"/>
  <c r="AA207" i="4" s="1"/>
  <c r="Y128" i="4"/>
  <c r="Z128" i="4" s="1"/>
  <c r="AA128" i="4" s="1"/>
  <c r="Y368" i="4"/>
  <c r="Z368" i="4" s="1"/>
  <c r="AA368" i="4" s="1"/>
  <c r="Y307" i="4"/>
  <c r="Z307" i="4" s="1"/>
  <c r="AA307" i="4" s="1"/>
  <c r="Y115" i="4"/>
  <c r="Z115" i="4" s="1"/>
  <c r="AA115" i="4" s="1"/>
  <c r="Y159" i="4"/>
  <c r="Z159" i="4" s="1"/>
  <c r="AA159" i="4" s="1"/>
  <c r="Y21" i="4"/>
  <c r="Z21" i="4" s="1"/>
  <c r="AA21" i="4" s="1"/>
  <c r="Y192" i="4"/>
  <c r="Z192" i="4" s="1"/>
  <c r="AA192" i="4" s="1"/>
  <c r="Y449" i="4"/>
  <c r="Z449" i="4" s="1"/>
  <c r="AA449" i="4" s="1"/>
  <c r="Y114" i="4"/>
  <c r="Z114" i="4" s="1"/>
  <c r="AA114" i="4" s="1"/>
  <c r="Y401" i="4"/>
  <c r="Z401" i="4" s="1"/>
  <c r="AA401" i="4" s="1"/>
  <c r="Y412" i="4"/>
  <c r="Z412" i="4" s="1"/>
  <c r="AA412" i="4" s="1"/>
  <c r="Y6" i="4"/>
  <c r="Z6" i="4" s="1"/>
  <c r="AA6" i="4" s="1"/>
  <c r="Y124" i="4"/>
  <c r="Z124" i="4" s="1"/>
  <c r="AA124" i="4" s="1"/>
  <c r="Y353" i="4"/>
  <c r="Z353" i="4" s="1"/>
  <c r="AA353" i="4" s="1"/>
  <c r="Y206" i="4"/>
  <c r="Z206" i="4" s="1"/>
  <c r="AA206" i="4" s="1"/>
  <c r="Y121" i="4"/>
  <c r="Z121" i="4" s="1"/>
  <c r="AA121" i="4" s="1"/>
  <c r="V90" i="4"/>
  <c r="W90" i="4"/>
  <c r="W82" i="4"/>
  <c r="V82" i="4"/>
  <c r="W144" i="4"/>
  <c r="V144" i="4"/>
  <c r="W40" i="4"/>
  <c r="V40" i="4"/>
  <c r="W48" i="4"/>
  <c r="V48" i="4"/>
  <c r="W244" i="4"/>
  <c r="V244" i="4"/>
  <c r="W204" i="4"/>
  <c r="V204" i="4"/>
  <c r="W427" i="4"/>
  <c r="AA427" i="4"/>
  <c r="V427" i="4"/>
  <c r="W83" i="4"/>
  <c r="V83" i="4"/>
  <c r="W288" i="4"/>
  <c r="V288" i="4"/>
  <c r="V333" i="4"/>
  <c r="W333" i="4"/>
  <c r="W22" i="4"/>
  <c r="V22" i="4"/>
  <c r="Y19" i="4"/>
  <c r="Z19" i="4" s="1"/>
  <c r="AA19" i="4" s="1"/>
  <c r="Y281" i="4"/>
  <c r="Z281" i="4" s="1"/>
  <c r="AA281" i="4" s="1"/>
  <c r="Y29" i="4"/>
  <c r="Z29" i="4" s="1"/>
  <c r="AA29" i="4" s="1"/>
  <c r="Y430" i="4"/>
  <c r="Z430" i="4" s="1"/>
  <c r="AA430" i="4" s="1"/>
  <c r="Y195" i="4"/>
  <c r="Z195" i="4" s="1"/>
  <c r="AA195" i="4" s="1"/>
  <c r="Y317" i="4"/>
  <c r="Z317" i="4" s="1"/>
  <c r="AA317" i="4" s="1"/>
  <c r="Y86" i="4"/>
  <c r="Z86" i="4" s="1"/>
  <c r="AA86" i="4" s="1"/>
  <c r="Y297" i="4"/>
  <c r="Z297" i="4" s="1"/>
  <c r="AA297" i="4" s="1"/>
  <c r="Y447" i="4"/>
  <c r="Z447" i="4" s="1"/>
  <c r="AA447" i="4" s="1"/>
  <c r="AB356" i="4" l="1"/>
  <c r="AC215" i="4"/>
  <c r="N215" i="4" s="1"/>
  <c r="AA51" i="4"/>
  <c r="AB290" i="4"/>
  <c r="AC295" i="4"/>
  <c r="N295" i="4" s="1"/>
  <c r="AB295" i="4"/>
  <c r="AB65" i="4"/>
  <c r="AB475" i="4"/>
  <c r="AB28" i="4"/>
  <c r="AC476" i="4"/>
  <c r="N476" i="4" s="1"/>
  <c r="AC97" i="4"/>
  <c r="N97" i="4" s="1"/>
  <c r="AB459" i="4"/>
  <c r="AC383" i="4"/>
  <c r="N383" i="4" s="1"/>
  <c r="AC421" i="4"/>
  <c r="N421" i="4" s="1"/>
  <c r="AC50" i="4"/>
  <c r="N50" i="4" s="1"/>
  <c r="AC52" i="4"/>
  <c r="N52" i="4" s="1"/>
  <c r="AC336" i="4"/>
  <c r="N336" i="4" s="1"/>
  <c r="AB336" i="4"/>
  <c r="AB57" i="4"/>
  <c r="AB13" i="4"/>
  <c r="AC36" i="4"/>
  <c r="N36" i="4" s="1"/>
  <c r="AC15" i="4"/>
  <c r="N15" i="4" s="1"/>
  <c r="AC393" i="4"/>
  <c r="N393" i="4" s="1"/>
  <c r="AB93" i="4"/>
  <c r="AB104" i="4"/>
  <c r="AC385" i="4"/>
  <c r="N385" i="4" s="1"/>
  <c r="AB240" i="4"/>
  <c r="AC442" i="4"/>
  <c r="N442" i="4" s="1"/>
  <c r="AB395" i="4"/>
  <c r="AC395" i="4"/>
  <c r="N395" i="4" s="1"/>
  <c r="AC90" i="4"/>
  <c r="N90" i="4" s="1"/>
  <c r="AB90" i="4"/>
  <c r="AB166" i="4"/>
  <c r="AC166" i="4"/>
  <c r="N166" i="4" s="1"/>
  <c r="AA364" i="4"/>
  <c r="AA17" i="4"/>
  <c r="AC17" i="4" s="1"/>
  <c r="N17" i="4" s="1"/>
  <c r="AA181" i="4"/>
  <c r="AB181" i="4" s="1"/>
  <c r="AC341" i="4"/>
  <c r="N341" i="4" s="1"/>
  <c r="AB341" i="4"/>
  <c r="AC149" i="4"/>
  <c r="N149" i="4" s="1"/>
  <c r="AB149" i="4"/>
  <c r="AA273" i="4"/>
  <c r="AC288" i="4"/>
  <c r="N288" i="4" s="1"/>
  <c r="AB288" i="4"/>
  <c r="AA101" i="4"/>
  <c r="AB101" i="4" s="1"/>
  <c r="AB473" i="4"/>
  <c r="AC473" i="4"/>
  <c r="N473" i="4" s="1"/>
  <c r="AC196" i="4"/>
  <c r="N196" i="4" s="1"/>
  <c r="AB196" i="4"/>
  <c r="AB323" i="4"/>
  <c r="AC323" i="4"/>
  <c r="N323" i="4" s="1"/>
  <c r="AC92" i="4"/>
  <c r="N92" i="4" s="1"/>
  <c r="AB92" i="4"/>
  <c r="AC491" i="4"/>
  <c r="N491" i="4" s="1"/>
  <c r="AB491" i="4"/>
  <c r="AB40" i="4"/>
  <c r="AC40" i="4"/>
  <c r="N40" i="4" s="1"/>
  <c r="AB259" i="4"/>
  <c r="AC259" i="4"/>
  <c r="N259" i="4" s="1"/>
  <c r="AC468" i="4"/>
  <c r="N468" i="4" s="1"/>
  <c r="AB468" i="4"/>
  <c r="AB374" i="4"/>
  <c r="AC374" i="4"/>
  <c r="N374" i="4" s="1"/>
  <c r="AC113" i="4"/>
  <c r="N113" i="4" s="1"/>
  <c r="AB113" i="4"/>
  <c r="AB200" i="4"/>
  <c r="AC200" i="4"/>
  <c r="N200" i="4" s="1"/>
  <c r="AC367" i="4"/>
  <c r="N367" i="4" s="1"/>
  <c r="AB367" i="4"/>
  <c r="AC335" i="4"/>
  <c r="N335" i="4" s="1"/>
  <c r="AB335" i="4"/>
  <c r="AC278" i="4"/>
  <c r="N278" i="4" s="1"/>
  <c r="AB278" i="4"/>
  <c r="AB172" i="4"/>
  <c r="AC172" i="4"/>
  <c r="N172" i="4" s="1"/>
  <c r="AC298" i="4"/>
  <c r="N298" i="4" s="1"/>
  <c r="AB298" i="4"/>
  <c r="AC145" i="4"/>
  <c r="N145" i="4" s="1"/>
  <c r="AB145" i="4"/>
  <c r="AB234" i="4"/>
  <c r="AC232" i="4"/>
  <c r="N232" i="4" s="1"/>
  <c r="AB232" i="4"/>
  <c r="AB460" i="4"/>
  <c r="AC460" i="4"/>
  <c r="N460" i="4" s="1"/>
  <c r="AC405" i="4"/>
  <c r="N405" i="4" s="1"/>
  <c r="AB405" i="4"/>
  <c r="AC453" i="4"/>
  <c r="N453" i="4" s="1"/>
  <c r="AB453" i="4"/>
  <c r="AA191" i="4"/>
  <c r="AC191" i="4" s="1"/>
  <c r="N191" i="4" s="1"/>
  <c r="AA130" i="4"/>
  <c r="AA437" i="4"/>
  <c r="AC437" i="4" s="1"/>
  <c r="N437" i="4" s="1"/>
  <c r="AA457" i="4"/>
  <c r="AB102" i="4"/>
  <c r="AC102" i="4"/>
  <c r="N102" i="4" s="1"/>
  <c r="AC257" i="4"/>
  <c r="N257" i="4" s="1"/>
  <c r="AB257" i="4"/>
  <c r="AB370" i="4"/>
  <c r="AC370" i="4"/>
  <c r="N370" i="4" s="1"/>
  <c r="AB34" i="4"/>
  <c r="AB4" i="4"/>
  <c r="AC4" i="4"/>
  <c r="N4" i="4" s="1"/>
  <c r="AC253" i="4"/>
  <c r="N253" i="4" s="1"/>
  <c r="AA210" i="4"/>
  <c r="AC210" i="4" s="1"/>
  <c r="N210" i="4" s="1"/>
  <c r="AB75" i="4"/>
  <c r="AC75" i="4"/>
  <c r="N75" i="4" s="1"/>
  <c r="AC231" i="4"/>
  <c r="N231" i="4" s="1"/>
  <c r="AB231" i="4"/>
  <c r="AC9" i="4"/>
  <c r="N9" i="4" s="1"/>
  <c r="AB9" i="4"/>
  <c r="AC23" i="4"/>
  <c r="N23" i="4" s="1"/>
  <c r="AB23" i="4"/>
  <c r="AB127" i="4"/>
  <c r="AC478" i="4"/>
  <c r="N478" i="4" s="1"/>
  <c r="AB478" i="4"/>
  <c r="AC416" i="4"/>
  <c r="N416" i="4" s="1"/>
  <c r="AB416" i="4"/>
  <c r="AA111" i="4"/>
  <c r="AB111" i="4" s="1"/>
  <c r="AB112" i="4"/>
  <c r="AC150" i="4"/>
  <c r="N150" i="4" s="1"/>
  <c r="AB150" i="4"/>
  <c r="AC99" i="4"/>
  <c r="N99" i="4" s="1"/>
  <c r="AB99" i="4"/>
  <c r="AC481" i="4"/>
  <c r="N481" i="4" s="1"/>
  <c r="AB481" i="4"/>
  <c r="AC303" i="4"/>
  <c r="N303" i="4" s="1"/>
  <c r="AA126" i="4"/>
  <c r="AB348" i="4"/>
  <c r="AC348" i="4"/>
  <c r="N348" i="4" s="1"/>
  <c r="AC263" i="4"/>
  <c r="N263" i="4" s="1"/>
  <c r="AB263" i="4"/>
  <c r="AB132" i="4"/>
  <c r="AC132" i="4"/>
  <c r="N132" i="4" s="1"/>
  <c r="AB321" i="4"/>
  <c r="AC321" i="4"/>
  <c r="N321" i="4" s="1"/>
  <c r="AB292" i="4"/>
  <c r="AC292" i="4"/>
  <c r="N292" i="4" s="1"/>
  <c r="AC403" i="4"/>
  <c r="N403" i="4" s="1"/>
  <c r="AB403" i="4"/>
  <c r="AB56" i="4"/>
  <c r="AC56" i="4"/>
  <c r="N56" i="4" s="1"/>
  <c r="AB116" i="4"/>
  <c r="AC116" i="4"/>
  <c r="N116" i="4" s="1"/>
  <c r="AB334" i="4"/>
  <c r="AC334" i="4"/>
  <c r="N334" i="4" s="1"/>
  <c r="AC389" i="4"/>
  <c r="N389" i="4" s="1"/>
  <c r="AB389" i="4"/>
  <c r="AC69" i="4"/>
  <c r="N69" i="4" s="1"/>
  <c r="AB69" i="4"/>
  <c r="AB236" i="4"/>
  <c r="AC236" i="4"/>
  <c r="N236" i="4" s="1"/>
  <c r="AC169" i="4"/>
  <c r="N169" i="4" s="1"/>
  <c r="AB169" i="4"/>
  <c r="AC163" i="4"/>
  <c r="N163" i="4" s="1"/>
  <c r="AB163" i="4"/>
  <c r="AB122" i="4"/>
  <c r="AC122" i="4"/>
  <c r="N122" i="4" s="1"/>
  <c r="AB480" i="4"/>
  <c r="AC480" i="4"/>
  <c r="N480" i="4" s="1"/>
  <c r="AB26" i="4"/>
  <c r="AC26" i="4"/>
  <c r="N26" i="4" s="1"/>
  <c r="AB407" i="4"/>
  <c r="AC407" i="4"/>
  <c r="N407" i="4" s="1"/>
  <c r="AC250" i="4"/>
  <c r="N250" i="4" s="1"/>
  <c r="AB250" i="4"/>
  <c r="AC243" i="4"/>
  <c r="N243" i="4" s="1"/>
  <c r="AB243" i="4"/>
  <c r="AB42" i="4"/>
  <c r="AC42" i="4"/>
  <c r="N42" i="4" s="1"/>
  <c r="AC135" i="4"/>
  <c r="N135" i="4" s="1"/>
  <c r="AB135" i="4"/>
  <c r="AB305" i="4"/>
  <c r="AC305" i="4"/>
  <c r="N305" i="4" s="1"/>
  <c r="AA194" i="4"/>
  <c r="AB194" i="4" s="1"/>
  <c r="AA189" i="4"/>
  <c r="AC88" i="4"/>
  <c r="N88" i="4" s="1"/>
  <c r="AB88" i="4"/>
  <c r="AB255" i="4"/>
  <c r="AC255" i="4"/>
  <c r="N255" i="4" s="1"/>
  <c r="AB415" i="4"/>
  <c r="AC415" i="4"/>
  <c r="N415" i="4" s="1"/>
  <c r="AB107" i="4"/>
  <c r="AC107" i="4"/>
  <c r="N107" i="4" s="1"/>
  <c r="AC244" i="4"/>
  <c r="N244" i="4" s="1"/>
  <c r="AB244" i="4"/>
  <c r="AB175" i="4"/>
  <c r="AC175" i="4"/>
  <c r="N175" i="4" s="1"/>
  <c r="AA338" i="4"/>
  <c r="AB338" i="4" s="1"/>
  <c r="AB399" i="4"/>
  <c r="AC399" i="4"/>
  <c r="N399" i="4" s="1"/>
  <c r="AB39" i="4"/>
  <c r="AC39" i="4"/>
  <c r="N39" i="4" s="1"/>
  <c r="AB470" i="4"/>
  <c r="AC470" i="4"/>
  <c r="N470" i="4" s="1"/>
  <c r="AB54" i="4"/>
  <c r="AC54" i="4"/>
  <c r="N54" i="4" s="1"/>
  <c r="AC46" i="4"/>
  <c r="N46" i="4" s="1"/>
  <c r="AB46" i="4"/>
  <c r="AA183" i="4"/>
  <c r="AC248" i="4"/>
  <c r="N248" i="4" s="1"/>
  <c r="AB248" i="4"/>
  <c r="AC351" i="4"/>
  <c r="N351" i="4" s="1"/>
  <c r="AB351" i="4"/>
  <c r="AC44" i="4"/>
  <c r="N44" i="4" s="1"/>
  <c r="AB44" i="4"/>
  <c r="AC249" i="4"/>
  <c r="N249" i="4" s="1"/>
  <c r="AB249" i="4"/>
  <c r="AC282" i="4"/>
  <c r="N282" i="4" s="1"/>
  <c r="AB282" i="4"/>
  <c r="AC170" i="4"/>
  <c r="N170" i="4" s="1"/>
  <c r="AB170" i="4"/>
  <c r="AC450" i="4"/>
  <c r="N450" i="4" s="1"/>
  <c r="AB450" i="4"/>
  <c r="AB208" i="4"/>
  <c r="AC208" i="4"/>
  <c r="N208" i="4" s="1"/>
  <c r="AB229" i="4"/>
  <c r="AC229" i="4"/>
  <c r="N229" i="4" s="1"/>
  <c r="AC198" i="4"/>
  <c r="N198" i="4" s="1"/>
  <c r="AB198" i="4"/>
  <c r="AC333" i="4"/>
  <c r="N333" i="4" s="1"/>
  <c r="AB333" i="4"/>
  <c r="AC64" i="4"/>
  <c r="N64" i="4" s="1"/>
  <c r="AB64" i="4"/>
  <c r="AC70" i="4"/>
  <c r="N70" i="4" s="1"/>
  <c r="AB70" i="4"/>
  <c r="AC285" i="4"/>
  <c r="N285" i="4" s="1"/>
  <c r="AB285" i="4"/>
  <c r="AB220" i="4"/>
  <c r="AC220" i="4"/>
  <c r="N220" i="4" s="1"/>
  <c r="AB176" i="4"/>
  <c r="AC176" i="4"/>
  <c r="N176" i="4" s="1"/>
  <c r="AC30" i="4"/>
  <c r="N30" i="4" s="1"/>
  <c r="AB30" i="4"/>
  <c r="AC485" i="4"/>
  <c r="N485" i="4" s="1"/>
  <c r="AB485" i="4"/>
  <c r="AB291" i="4"/>
  <c r="AC291" i="4"/>
  <c r="N291" i="4" s="1"/>
  <c r="AC41" i="4"/>
  <c r="N41" i="4" s="1"/>
  <c r="AB41" i="4"/>
  <c r="AB14" i="4"/>
  <c r="AC14" i="4"/>
  <c r="N14" i="4" s="1"/>
  <c r="AB296" i="4"/>
  <c r="AC296" i="4"/>
  <c r="N296" i="4" s="1"/>
  <c r="AC304" i="4"/>
  <c r="N304" i="4" s="1"/>
  <c r="AB304" i="4"/>
  <c r="AB82" i="4"/>
  <c r="AC82" i="4"/>
  <c r="N82" i="4" s="1"/>
  <c r="AB31" i="4"/>
  <c r="AC31" i="4"/>
  <c r="N31" i="4" s="1"/>
  <c r="AC329" i="4"/>
  <c r="N329" i="4" s="1"/>
  <c r="AB329" i="4"/>
  <c r="AC138" i="4"/>
  <c r="N138" i="4" s="1"/>
  <c r="AB138" i="4"/>
  <c r="AB146" i="4"/>
  <c r="AC146" i="4"/>
  <c r="N146" i="4" s="1"/>
  <c r="AC213" i="4"/>
  <c r="N213" i="4" s="1"/>
  <c r="AB213" i="4"/>
  <c r="AC62" i="4"/>
  <c r="N62" i="4" s="1"/>
  <c r="AB62" i="4"/>
  <c r="AC235" i="4"/>
  <c r="N235" i="4" s="1"/>
  <c r="AB235" i="4"/>
  <c r="AC466" i="4"/>
  <c r="N466" i="4" s="1"/>
  <c r="AB466" i="4"/>
  <c r="AB501" i="4"/>
  <c r="AC501" i="4"/>
  <c r="N501" i="4" s="1"/>
  <c r="AC402" i="4"/>
  <c r="N402" i="4" s="1"/>
  <c r="AB402" i="4"/>
  <c r="AB256" i="4"/>
  <c r="AC256" i="4"/>
  <c r="N256" i="4" s="1"/>
  <c r="AC108" i="4"/>
  <c r="N108" i="4" s="1"/>
  <c r="AB108" i="4"/>
  <c r="AB190" i="4"/>
  <c r="AC190" i="4"/>
  <c r="N190" i="4" s="1"/>
  <c r="AA344" i="4"/>
  <c r="AB344" i="4" s="1"/>
  <c r="AA251" i="4"/>
  <c r="AB251" i="4" s="1"/>
  <c r="AC67" i="4"/>
  <c r="N67" i="4" s="1"/>
  <c r="AB67" i="4"/>
  <c r="AC359" i="4"/>
  <c r="N359" i="4" s="1"/>
  <c r="AB359" i="4"/>
  <c r="AC164" i="4"/>
  <c r="N164" i="4" s="1"/>
  <c r="AB164" i="4"/>
  <c r="AC299" i="4"/>
  <c r="N299" i="4" s="1"/>
  <c r="AB299" i="4"/>
  <c r="AC260" i="4"/>
  <c r="N260" i="4" s="1"/>
  <c r="AB260" i="4"/>
  <c r="AB327" i="4"/>
  <c r="AC327" i="4"/>
  <c r="N327" i="4" s="1"/>
  <c r="AC268" i="4"/>
  <c r="N268" i="4" s="1"/>
  <c r="AB268" i="4"/>
  <c r="AB425" i="4"/>
  <c r="AC425" i="4"/>
  <c r="N425" i="4" s="1"/>
  <c r="AC418" i="4"/>
  <c r="N418" i="4" s="1"/>
  <c r="AB418" i="4"/>
  <c r="AB212" i="4"/>
  <c r="AC212" i="4"/>
  <c r="N212" i="4" s="1"/>
  <c r="AC106" i="4"/>
  <c r="N106" i="4" s="1"/>
  <c r="AB106" i="4"/>
  <c r="AC483" i="4"/>
  <c r="N483" i="4" s="1"/>
  <c r="AB483" i="4"/>
  <c r="AC422" i="4"/>
  <c r="N422" i="4" s="1"/>
  <c r="AB422" i="4"/>
  <c r="AC313" i="4"/>
  <c r="N313" i="4" s="1"/>
  <c r="AB313" i="4"/>
  <c r="AC380" i="4"/>
  <c r="N380" i="4" s="1"/>
  <c r="AB380" i="4"/>
  <c r="AC245" i="4"/>
  <c r="N245" i="4" s="1"/>
  <c r="AB245" i="4"/>
  <c r="AA372" i="4"/>
  <c r="AC372" i="4" s="1"/>
  <c r="N372" i="4" s="1"/>
  <c r="AA463" i="4"/>
  <c r="AA286" i="4"/>
  <c r="AB286" i="4" s="1"/>
  <c r="AC22" i="4"/>
  <c r="N22" i="4" s="1"/>
  <c r="AB22" i="4"/>
  <c r="AC152" i="4"/>
  <c r="N152" i="4" s="1"/>
  <c r="AB152" i="4"/>
  <c r="AB136" i="4"/>
  <c r="AC136" i="4"/>
  <c r="N136" i="4" s="1"/>
  <c r="AB179" i="4"/>
  <c r="AC179" i="4"/>
  <c r="N179" i="4" s="1"/>
  <c r="AB272" i="4"/>
  <c r="AC272" i="4"/>
  <c r="N272" i="4" s="1"/>
  <c r="AA61" i="4"/>
  <c r="AA362" i="4"/>
  <c r="AB362" i="4" s="1"/>
  <c r="AC214" i="4"/>
  <c r="N214" i="4" s="1"/>
  <c r="AB214" i="4"/>
  <c r="AC162" i="4"/>
  <c r="N162" i="4" s="1"/>
  <c r="AB162" i="4"/>
  <c r="AC498" i="4"/>
  <c r="N498" i="4" s="1"/>
  <c r="AB498" i="4"/>
  <c r="AB369" i="4"/>
  <c r="AC369" i="4"/>
  <c r="N369" i="4" s="1"/>
  <c r="AB186" i="4"/>
  <c r="AC186" i="4"/>
  <c r="N186" i="4" s="1"/>
  <c r="AB434" i="4"/>
  <c r="AC434" i="4"/>
  <c r="N434" i="4" s="1"/>
  <c r="AC154" i="4"/>
  <c r="N154" i="4" s="1"/>
  <c r="AB154" i="4"/>
  <c r="AB438" i="4"/>
  <c r="AC438" i="4"/>
  <c r="N438" i="4" s="1"/>
  <c r="AB409" i="4"/>
  <c r="AC409" i="4"/>
  <c r="N409" i="4" s="1"/>
  <c r="AB246" i="4"/>
  <c r="AC246" i="4"/>
  <c r="N246" i="4" s="1"/>
  <c r="AC267" i="4"/>
  <c r="N267" i="4" s="1"/>
  <c r="AB267" i="4"/>
  <c r="AB502" i="4"/>
  <c r="AC502" i="4"/>
  <c r="N502" i="4" s="1"/>
  <c r="AC283" i="4"/>
  <c r="N283" i="4" s="1"/>
  <c r="AB283" i="4"/>
  <c r="AC378" i="4"/>
  <c r="N378" i="4" s="1"/>
  <c r="AB378" i="4"/>
  <c r="AB27" i="4"/>
  <c r="AC27" i="4"/>
  <c r="N27" i="4" s="1"/>
  <c r="AC316" i="4"/>
  <c r="N316" i="4" s="1"/>
  <c r="AB316" i="4"/>
  <c r="AC293" i="4"/>
  <c r="N293" i="4" s="1"/>
  <c r="AB293" i="4"/>
  <c r="AB484" i="4"/>
  <c r="AC484" i="4"/>
  <c r="N484" i="4" s="1"/>
  <c r="AA205" i="4"/>
  <c r="AC205" i="4" s="1"/>
  <c r="N205" i="4" s="1"/>
  <c r="AB71" i="4"/>
  <c r="AC71" i="4"/>
  <c r="N71" i="4" s="1"/>
  <c r="AB230" i="4"/>
  <c r="AC230" i="4"/>
  <c r="N230" i="4" s="1"/>
  <c r="AC147" i="4"/>
  <c r="N147" i="4" s="1"/>
  <c r="AB147" i="4"/>
  <c r="AC48" i="4"/>
  <c r="N48" i="4" s="1"/>
  <c r="AB48" i="4"/>
  <c r="AC165" i="4"/>
  <c r="N165" i="4" s="1"/>
  <c r="AB165" i="4"/>
  <c r="AC37" i="4"/>
  <c r="N37" i="4" s="1"/>
  <c r="AB37" i="4"/>
  <c r="AC426" i="4"/>
  <c r="N426" i="4" s="1"/>
  <c r="AB426" i="4"/>
  <c r="AC218" i="4"/>
  <c r="N218" i="4" s="1"/>
  <c r="AB218" i="4"/>
  <c r="AB153" i="4"/>
  <c r="AC153" i="4"/>
  <c r="N153" i="4" s="1"/>
  <c r="AB454" i="4"/>
  <c r="AC454" i="4"/>
  <c r="N454" i="4" s="1"/>
  <c r="AB144" i="4"/>
  <c r="AC144" i="4"/>
  <c r="N144" i="4" s="1"/>
  <c r="AC428" i="4"/>
  <c r="N428" i="4" s="1"/>
  <c r="AB428" i="4"/>
  <c r="AB45" i="4"/>
  <c r="AC45" i="4"/>
  <c r="N45" i="4" s="1"/>
  <c r="AB199" i="4"/>
  <c r="AC199" i="4"/>
  <c r="N199" i="4" s="1"/>
  <c r="AC83" i="4"/>
  <c r="N83" i="4" s="1"/>
  <c r="AB83" i="4"/>
  <c r="AA384" i="4"/>
  <c r="AB384" i="4" s="1"/>
  <c r="AB365" i="4"/>
  <c r="AC365" i="4"/>
  <c r="N365" i="4" s="1"/>
  <c r="AC436" i="4"/>
  <c r="N436" i="4" s="1"/>
  <c r="AB436" i="4"/>
  <c r="AB47" i="4"/>
  <c r="AC47" i="4"/>
  <c r="N47" i="4" s="1"/>
  <c r="AB346" i="4"/>
  <c r="AC346" i="4"/>
  <c r="N346" i="4" s="1"/>
  <c r="AB435" i="4"/>
  <c r="AC435" i="4"/>
  <c r="N435" i="4" s="1"/>
  <c r="AB94" i="4"/>
  <c r="AC94" i="4"/>
  <c r="N94" i="4" s="1"/>
  <c r="AB280" i="4"/>
  <c r="AC280" i="4"/>
  <c r="N280" i="4" s="1"/>
  <c r="AB467" i="4"/>
  <c r="AC467" i="4"/>
  <c r="N467" i="4" s="1"/>
  <c r="AB420" i="4"/>
  <c r="AC420" i="4"/>
  <c r="N420" i="4" s="1"/>
  <c r="AC233" i="4"/>
  <c r="N233" i="4" s="1"/>
  <c r="AB233" i="4"/>
  <c r="AB207" i="4"/>
  <c r="AC207" i="4"/>
  <c r="N207" i="4" s="1"/>
  <c r="AB317" i="4"/>
  <c r="AC317" i="4"/>
  <c r="N317" i="4" s="1"/>
  <c r="AB206" i="4"/>
  <c r="AC206" i="4"/>
  <c r="N206" i="4" s="1"/>
  <c r="AC400" i="4"/>
  <c r="N400" i="4" s="1"/>
  <c r="AB400" i="4"/>
  <c r="AC357" i="4"/>
  <c r="N357" i="4" s="1"/>
  <c r="AB357" i="4"/>
  <c r="AB331" i="4"/>
  <c r="AC331" i="4"/>
  <c r="N331" i="4" s="1"/>
  <c r="AB156" i="4"/>
  <c r="AC156" i="4"/>
  <c r="N156" i="4" s="1"/>
  <c r="AB49" i="4"/>
  <c r="AC49" i="4"/>
  <c r="N49" i="4" s="1"/>
  <c r="AC355" i="4"/>
  <c r="N355" i="4" s="1"/>
  <c r="AB355" i="4"/>
  <c r="AC444" i="4"/>
  <c r="N444" i="4" s="1"/>
  <c r="AB444" i="4"/>
  <c r="AC197" i="4"/>
  <c r="N197" i="4" s="1"/>
  <c r="AB197" i="4"/>
  <c r="AC499" i="4"/>
  <c r="N499" i="4" s="1"/>
  <c r="AB499" i="4"/>
  <c r="AB159" i="4"/>
  <c r="AC159" i="4"/>
  <c r="N159" i="4" s="1"/>
  <c r="AC276" i="4"/>
  <c r="N276" i="4" s="1"/>
  <c r="AB276" i="4"/>
  <c r="AB171" i="4"/>
  <c r="AC171" i="4"/>
  <c r="N171" i="4" s="1"/>
  <c r="AB192" i="4"/>
  <c r="AC192" i="4"/>
  <c r="N192" i="4" s="1"/>
  <c r="AB266" i="4"/>
  <c r="AC266" i="4"/>
  <c r="N266" i="4" s="1"/>
  <c r="AB368" i="4"/>
  <c r="AC368" i="4"/>
  <c r="N368" i="4" s="1"/>
  <c r="AC391" i="4"/>
  <c r="N391" i="4" s="1"/>
  <c r="AB391" i="4"/>
  <c r="AC417" i="4"/>
  <c r="N417" i="4" s="1"/>
  <c r="AB417" i="4"/>
  <c r="AC124" i="4"/>
  <c r="N124" i="4" s="1"/>
  <c r="AB124" i="4"/>
  <c r="AB11" i="4"/>
  <c r="AC11" i="4"/>
  <c r="N11" i="4" s="1"/>
  <c r="AB128" i="4"/>
  <c r="AC128" i="4"/>
  <c r="N128" i="4" s="1"/>
  <c r="AB95" i="4"/>
  <c r="AC95" i="4"/>
  <c r="N95" i="4" s="1"/>
  <c r="AC397" i="4"/>
  <c r="N397" i="4" s="1"/>
  <c r="AB397" i="4"/>
  <c r="AB16" i="4"/>
  <c r="AC16" i="4"/>
  <c r="N16" i="4" s="1"/>
  <c r="AC496" i="4"/>
  <c r="N496" i="4" s="1"/>
  <c r="AB496" i="4"/>
  <c r="AB414" i="4"/>
  <c r="AC414" i="4"/>
  <c r="N414" i="4" s="1"/>
  <c r="AC178" i="4"/>
  <c r="N178" i="4" s="1"/>
  <c r="AB178" i="4"/>
  <c r="AB309" i="4"/>
  <c r="AC309" i="4"/>
  <c r="N309" i="4" s="1"/>
  <c r="AB8" i="4"/>
  <c r="AC8" i="4"/>
  <c r="N8" i="4" s="1"/>
  <c r="AB452" i="4"/>
  <c r="AC452" i="4"/>
  <c r="N452" i="4" s="1"/>
  <c r="AB310" i="4"/>
  <c r="AC310" i="4"/>
  <c r="N310" i="4" s="1"/>
  <c r="V338" i="4"/>
  <c r="W338" i="4"/>
  <c r="AB318" i="4"/>
  <c r="AC318" i="4"/>
  <c r="N318" i="4" s="1"/>
  <c r="AB160" i="4"/>
  <c r="AC160" i="4"/>
  <c r="N160" i="4" s="1"/>
  <c r="W117" i="4"/>
  <c r="V117" i="4"/>
  <c r="AA117" i="4"/>
  <c r="W126" i="4"/>
  <c r="V126" i="4"/>
  <c r="AB308" i="4"/>
  <c r="AC308" i="4"/>
  <c r="N308" i="4" s="1"/>
  <c r="AB375" i="4"/>
  <c r="AC375" i="4"/>
  <c r="N375" i="4" s="1"/>
  <c r="AC382" i="4"/>
  <c r="N382" i="4" s="1"/>
  <c r="AB382" i="4"/>
  <c r="V51" i="4"/>
  <c r="W51" i="4"/>
  <c r="AB187" i="4"/>
  <c r="AC187" i="4"/>
  <c r="N187" i="4" s="1"/>
  <c r="AB381" i="4"/>
  <c r="AC381" i="4"/>
  <c r="N381" i="4" s="1"/>
  <c r="W364" i="4"/>
  <c r="V364" i="4"/>
  <c r="AA81" i="4"/>
  <c r="AA343" i="4"/>
  <c r="W183" i="4"/>
  <c r="V183" i="4"/>
  <c r="W241" i="4"/>
  <c r="AA241" i="4"/>
  <c r="V241" i="4"/>
  <c r="AC274" i="4"/>
  <c r="N274" i="4" s="1"/>
  <c r="AB274" i="4"/>
  <c r="AB320" i="4"/>
  <c r="AC320" i="4"/>
  <c r="N320" i="4" s="1"/>
  <c r="V137" i="4"/>
  <c r="W137" i="4"/>
  <c r="AA137" i="4"/>
  <c r="AB17" i="4"/>
  <c r="AB25" i="4"/>
  <c r="AC25" i="4"/>
  <c r="N25" i="4" s="1"/>
  <c r="AC408" i="4"/>
  <c r="N408" i="4" s="1"/>
  <c r="AB408" i="4"/>
  <c r="AB96" i="4"/>
  <c r="AC96" i="4"/>
  <c r="N96" i="4" s="1"/>
  <c r="AC366" i="4"/>
  <c r="N366" i="4" s="1"/>
  <c r="AB366" i="4"/>
  <c r="AC377" i="4"/>
  <c r="N377" i="4" s="1"/>
  <c r="AB377" i="4"/>
  <c r="AC151" i="4"/>
  <c r="N151" i="4" s="1"/>
  <c r="AB151" i="4"/>
  <c r="AB100" i="4"/>
  <c r="AC100" i="4"/>
  <c r="N100" i="4" s="1"/>
  <c r="AB125" i="4"/>
  <c r="AC125" i="4"/>
  <c r="N125" i="4" s="1"/>
  <c r="AC497" i="4"/>
  <c r="N497" i="4" s="1"/>
  <c r="AB497" i="4"/>
  <c r="AC91" i="4"/>
  <c r="N91" i="4" s="1"/>
  <c r="AB91" i="4"/>
  <c r="AB119" i="4"/>
  <c r="AC119" i="4"/>
  <c r="N119" i="4" s="1"/>
  <c r="AB479" i="4"/>
  <c r="AC479" i="4"/>
  <c r="N479" i="4" s="1"/>
  <c r="V32" i="4"/>
  <c r="AA32" i="4"/>
  <c r="W32" i="4"/>
  <c r="AC448" i="4"/>
  <c r="N448" i="4" s="1"/>
  <c r="AB448" i="4"/>
  <c r="AC396" i="4"/>
  <c r="N396" i="4" s="1"/>
  <c r="AB396" i="4"/>
  <c r="V191" i="4"/>
  <c r="W191" i="4"/>
  <c r="AB130" i="4"/>
  <c r="AC130" i="4"/>
  <c r="N130" i="4" s="1"/>
  <c r="W61" i="4"/>
  <c r="V61" i="4"/>
  <c r="V372" i="4"/>
  <c r="W372" i="4"/>
  <c r="AC339" i="4"/>
  <c r="N339" i="4" s="1"/>
  <c r="AB339" i="4"/>
  <c r="AC60" i="4"/>
  <c r="N60" i="4" s="1"/>
  <c r="AB60" i="4"/>
  <c r="V463" i="4"/>
  <c r="W463" i="4"/>
  <c r="V17" i="4"/>
  <c r="W17" i="4"/>
  <c r="AC458" i="4"/>
  <c r="N458" i="4" s="1"/>
  <c r="AB458" i="4"/>
  <c r="AB429" i="4"/>
  <c r="AC429" i="4"/>
  <c r="N429" i="4" s="1"/>
  <c r="AC432" i="4"/>
  <c r="N432" i="4" s="1"/>
  <c r="AB432" i="4"/>
  <c r="AC61" i="4"/>
  <c r="N61" i="4" s="1"/>
  <c r="AB61" i="4"/>
  <c r="V81" i="4"/>
  <c r="W81" i="4"/>
  <c r="AB430" i="4"/>
  <c r="AC430" i="4"/>
  <c r="N430" i="4" s="1"/>
  <c r="AB155" i="4"/>
  <c r="AC155" i="4"/>
  <c r="N155" i="4" s="1"/>
  <c r="AC284" i="4"/>
  <c r="N284" i="4" s="1"/>
  <c r="AB284" i="4"/>
  <c r="AB73" i="4"/>
  <c r="AC73" i="4"/>
  <c r="N73" i="4" s="1"/>
  <c r="AC328" i="4"/>
  <c r="N328" i="4" s="1"/>
  <c r="AB328" i="4"/>
  <c r="AB177" i="4"/>
  <c r="AC177" i="4"/>
  <c r="N177" i="4" s="1"/>
  <c r="AC388" i="4"/>
  <c r="N388" i="4" s="1"/>
  <c r="AB388" i="4"/>
  <c r="AB500" i="4"/>
  <c r="AC500" i="4"/>
  <c r="N500" i="4" s="1"/>
  <c r="AC168" i="4"/>
  <c r="N168" i="4" s="1"/>
  <c r="AB168" i="4"/>
  <c r="AB131" i="4"/>
  <c r="AC131" i="4"/>
  <c r="N131" i="4" s="1"/>
  <c r="AC140" i="4"/>
  <c r="N140" i="4" s="1"/>
  <c r="AB140" i="4"/>
  <c r="AC456" i="4"/>
  <c r="N456" i="4" s="1"/>
  <c r="AB456" i="4"/>
  <c r="AC110" i="4"/>
  <c r="N110" i="4" s="1"/>
  <c r="AB110" i="4"/>
  <c r="AC464" i="4"/>
  <c r="N464" i="4" s="1"/>
  <c r="AB464" i="4"/>
  <c r="AC275" i="4"/>
  <c r="N275" i="4" s="1"/>
  <c r="AB275" i="4"/>
  <c r="AB354" i="4"/>
  <c r="AC354" i="4"/>
  <c r="N354" i="4" s="1"/>
  <c r="AC222" i="4"/>
  <c r="N222" i="4" s="1"/>
  <c r="AB222" i="4"/>
  <c r="AB347" i="4"/>
  <c r="AC347" i="4"/>
  <c r="N347" i="4" s="1"/>
  <c r="AA239" i="4"/>
  <c r="AA141" i="4"/>
  <c r="AC182" i="4"/>
  <c r="N182" i="4" s="1"/>
  <c r="AB182" i="4"/>
  <c r="W130" i="4"/>
  <c r="V130" i="4"/>
  <c r="AA488" i="4"/>
  <c r="AA469" i="4"/>
  <c r="AA185" i="4"/>
  <c r="AA219" i="4"/>
  <c r="W286" i="4"/>
  <c r="V286" i="4"/>
  <c r="V181" i="4"/>
  <c r="W181" i="4"/>
  <c r="AC225" i="4"/>
  <c r="N225" i="4" s="1"/>
  <c r="AB225" i="4"/>
  <c r="AB360" i="4"/>
  <c r="AC360" i="4"/>
  <c r="N360" i="4" s="1"/>
  <c r="AC463" i="4"/>
  <c r="N463" i="4" s="1"/>
  <c r="AB463" i="4"/>
  <c r="AC412" i="4"/>
  <c r="N412" i="4" s="1"/>
  <c r="AB412" i="4"/>
  <c r="AB114" i="4"/>
  <c r="AC114" i="4"/>
  <c r="N114" i="4" s="1"/>
  <c r="AB89" i="4"/>
  <c r="AC89" i="4"/>
  <c r="N89" i="4" s="1"/>
  <c r="AB134" i="4"/>
  <c r="AC134" i="4"/>
  <c r="N134" i="4" s="1"/>
  <c r="AC390" i="4"/>
  <c r="N390" i="4" s="1"/>
  <c r="AB390" i="4"/>
  <c r="AB472" i="4"/>
  <c r="AC472" i="4"/>
  <c r="N472" i="4" s="1"/>
  <c r="AC361" i="4"/>
  <c r="N361" i="4" s="1"/>
  <c r="AB361" i="4"/>
  <c r="AB24" i="4"/>
  <c r="AC24" i="4"/>
  <c r="N24" i="4" s="1"/>
  <c r="AC465" i="4"/>
  <c r="N465" i="4" s="1"/>
  <c r="AB465" i="4"/>
  <c r="AC376" i="4"/>
  <c r="N376" i="4" s="1"/>
  <c r="AB376" i="4"/>
  <c r="AB392" i="4"/>
  <c r="AC392" i="4"/>
  <c r="N392" i="4" s="1"/>
  <c r="AB173" i="4"/>
  <c r="AC173" i="4"/>
  <c r="N173" i="4" s="1"/>
  <c r="AB180" i="4"/>
  <c r="AC180" i="4"/>
  <c r="N180" i="4" s="1"/>
  <c r="AC76" i="4"/>
  <c r="N76" i="4" s="1"/>
  <c r="AB76" i="4"/>
  <c r="AC242" i="4"/>
  <c r="N242" i="4" s="1"/>
  <c r="AB242" i="4"/>
  <c r="W239" i="4"/>
  <c r="V239" i="4"/>
  <c r="V141" i="4"/>
  <c r="W141" i="4"/>
  <c r="AC439" i="4"/>
  <c r="N439" i="4" s="1"/>
  <c r="AB439" i="4"/>
  <c r="V488" i="4"/>
  <c r="W488" i="4"/>
  <c r="W469" i="4"/>
  <c r="V469" i="4"/>
  <c r="AB58" i="4"/>
  <c r="AC58" i="4"/>
  <c r="N58" i="4" s="1"/>
  <c r="AA487" i="4"/>
  <c r="W487" i="4"/>
  <c r="V487" i="4"/>
  <c r="AC440" i="4"/>
  <c r="N440" i="4" s="1"/>
  <c r="AB440" i="4"/>
  <c r="V185" i="4"/>
  <c r="W185" i="4"/>
  <c r="V219" i="4"/>
  <c r="W219" i="4"/>
  <c r="AC302" i="4"/>
  <c r="N302" i="4" s="1"/>
  <c r="AB302" i="4"/>
  <c r="AB410" i="4"/>
  <c r="AC410" i="4"/>
  <c r="N410" i="4" s="1"/>
  <c r="AC311" i="4"/>
  <c r="N311" i="4" s="1"/>
  <c r="AB311" i="4"/>
  <c r="V343" i="4"/>
  <c r="W343" i="4"/>
  <c r="AC401" i="4"/>
  <c r="N401" i="4" s="1"/>
  <c r="AB401" i="4"/>
  <c r="AC427" i="4"/>
  <c r="N427" i="4" s="1"/>
  <c r="AB427" i="4"/>
  <c r="AB326" i="4"/>
  <c r="AC326" i="4"/>
  <c r="N326" i="4" s="1"/>
  <c r="AB20" i="4"/>
  <c r="AC20" i="4"/>
  <c r="N20" i="4" s="1"/>
  <c r="AB281" i="4"/>
  <c r="AC281" i="4"/>
  <c r="N281" i="4" s="1"/>
  <c r="AC449" i="4"/>
  <c r="N449" i="4" s="1"/>
  <c r="AB449" i="4"/>
  <c r="AC424" i="4"/>
  <c r="N424" i="4" s="1"/>
  <c r="AB424" i="4"/>
  <c r="AC33" i="4"/>
  <c r="N33" i="4" s="1"/>
  <c r="AB33" i="4"/>
  <c r="AC262" i="4"/>
  <c r="N262" i="4" s="1"/>
  <c r="AB262" i="4"/>
  <c r="AC174" i="4"/>
  <c r="N174" i="4" s="1"/>
  <c r="AB174" i="4"/>
  <c r="AB332" i="4"/>
  <c r="AC332" i="4"/>
  <c r="N332" i="4" s="1"/>
  <c r="AB224" i="4"/>
  <c r="AC224" i="4"/>
  <c r="N224" i="4" s="1"/>
  <c r="AC201" i="4"/>
  <c r="N201" i="4" s="1"/>
  <c r="AB201" i="4"/>
  <c r="AB167" i="4"/>
  <c r="AC167" i="4"/>
  <c r="N167" i="4" s="1"/>
  <c r="AB471" i="4"/>
  <c r="AC471" i="4"/>
  <c r="N471" i="4" s="1"/>
  <c r="AA18" i="4"/>
  <c r="AA492" i="4"/>
  <c r="V269" i="4"/>
  <c r="AA269" i="4"/>
  <c r="W269" i="4"/>
  <c r="AC489" i="4"/>
  <c r="N489" i="4" s="1"/>
  <c r="AB489" i="4"/>
  <c r="V437" i="4"/>
  <c r="W437" i="4"/>
  <c r="AB273" i="4"/>
  <c r="AC273" i="4"/>
  <c r="N273" i="4" s="1"/>
  <c r="AA38" i="4"/>
  <c r="V38" i="4"/>
  <c r="W38" i="4"/>
  <c r="V362" i="4"/>
  <c r="W362" i="4"/>
  <c r="AB371" i="4"/>
  <c r="AC371" i="4"/>
  <c r="N371" i="4" s="1"/>
  <c r="AC195" i="4"/>
  <c r="N195" i="4" s="1"/>
  <c r="AB195" i="4"/>
  <c r="AC29" i="4"/>
  <c r="N29" i="4" s="1"/>
  <c r="AB29" i="4"/>
  <c r="AC19" i="4"/>
  <c r="N19" i="4" s="1"/>
  <c r="AB19" i="4"/>
  <c r="AC228" i="4"/>
  <c r="N228" i="4" s="1"/>
  <c r="AB228" i="4"/>
  <c r="AC294" i="4"/>
  <c r="N294" i="4" s="1"/>
  <c r="AB294" i="4"/>
  <c r="AB495" i="4"/>
  <c r="AC495" i="4"/>
  <c r="N495" i="4" s="1"/>
  <c r="AB423" i="4"/>
  <c r="AC423" i="4"/>
  <c r="N423" i="4" s="1"/>
  <c r="AC493" i="4"/>
  <c r="N493" i="4" s="1"/>
  <c r="AB493" i="4"/>
  <c r="AB53" i="4"/>
  <c r="AC53" i="4"/>
  <c r="N53" i="4" s="1"/>
  <c r="AB202" i="4"/>
  <c r="AC202" i="4"/>
  <c r="N202" i="4" s="1"/>
  <c r="AB161" i="4"/>
  <c r="AC161" i="4"/>
  <c r="N161" i="4" s="1"/>
  <c r="W18" i="4"/>
  <c r="V18" i="4"/>
  <c r="AC265" i="4"/>
  <c r="N265" i="4" s="1"/>
  <c r="AB265" i="4"/>
  <c r="W492" i="4"/>
  <c r="V492" i="4"/>
  <c r="AA315" i="4"/>
  <c r="AC270" i="4"/>
  <c r="N270" i="4" s="1"/>
  <c r="AB270" i="4"/>
  <c r="AA59" i="4"/>
  <c r="AB404" i="4"/>
  <c r="AC404" i="4"/>
  <c r="N404" i="4" s="1"/>
  <c r="W205" i="4"/>
  <c r="V205" i="4"/>
  <c r="AA217" i="4"/>
  <c r="V273" i="4"/>
  <c r="W273" i="4"/>
  <c r="AA7" i="4"/>
  <c r="AC79" i="4"/>
  <c r="N79" i="4" s="1"/>
  <c r="AB79" i="4"/>
  <c r="AB204" i="4"/>
  <c r="AC204" i="4"/>
  <c r="N204" i="4" s="1"/>
  <c r="AB72" i="4"/>
  <c r="AC72" i="4"/>
  <c r="N72" i="4" s="1"/>
  <c r="AC109" i="4"/>
  <c r="N109" i="4" s="1"/>
  <c r="AB109" i="4"/>
  <c r="AB474" i="4"/>
  <c r="AC474" i="4"/>
  <c r="N474" i="4" s="1"/>
  <c r="AC5" i="4"/>
  <c r="N5" i="4" s="1"/>
  <c r="AB5" i="4"/>
  <c r="AB216" i="4"/>
  <c r="AC216" i="4"/>
  <c r="N216" i="4" s="1"/>
  <c r="AB441" i="4"/>
  <c r="AC441" i="4"/>
  <c r="N441" i="4" s="1"/>
  <c r="AC352" i="4"/>
  <c r="N352" i="4" s="1"/>
  <c r="AB352" i="4"/>
  <c r="AC373" i="4"/>
  <c r="N373" i="4" s="1"/>
  <c r="AB373" i="4"/>
  <c r="W315" i="4"/>
  <c r="V315" i="4"/>
  <c r="W59" i="4"/>
  <c r="V59" i="4"/>
  <c r="AC118" i="4"/>
  <c r="N118" i="4" s="1"/>
  <c r="AB118" i="4"/>
  <c r="V217" i="4"/>
  <c r="W217" i="4"/>
  <c r="AC490" i="4"/>
  <c r="N490" i="4" s="1"/>
  <c r="AB490" i="4"/>
  <c r="AA148" i="4"/>
  <c r="AB158" i="4"/>
  <c r="AC158" i="4"/>
  <c r="N158" i="4" s="1"/>
  <c r="V7" i="4"/>
  <c r="W7" i="4"/>
  <c r="AC254" i="4"/>
  <c r="N254" i="4" s="1"/>
  <c r="AB254" i="4"/>
  <c r="AB462" i="4"/>
  <c r="AC462" i="4"/>
  <c r="N462" i="4" s="1"/>
  <c r="AC68" i="4"/>
  <c r="N68" i="4" s="1"/>
  <c r="AB68" i="4"/>
  <c r="AB258" i="4"/>
  <c r="AC258" i="4"/>
  <c r="N258" i="4" s="1"/>
  <c r="AB451" i="4"/>
  <c r="AC451" i="4"/>
  <c r="N451" i="4" s="1"/>
  <c r="AC504" i="4"/>
  <c r="N504" i="4" s="1"/>
  <c r="AB504" i="4"/>
  <c r="AC312" i="4"/>
  <c r="N312" i="4" s="1"/>
  <c r="AB312" i="4"/>
  <c r="AC287" i="4"/>
  <c r="N287" i="4" s="1"/>
  <c r="AB287" i="4"/>
  <c r="AC277" i="4"/>
  <c r="N277" i="4" s="1"/>
  <c r="AB277" i="4"/>
  <c r="AB209" i="4"/>
  <c r="AC209" i="4"/>
  <c r="N209" i="4" s="1"/>
  <c r="AC98" i="4"/>
  <c r="N98" i="4" s="1"/>
  <c r="AB98" i="4"/>
  <c r="AB387" i="4"/>
  <c r="AC387" i="4"/>
  <c r="N387" i="4" s="1"/>
  <c r="AC379" i="4"/>
  <c r="N379" i="4" s="1"/>
  <c r="AB379" i="4"/>
  <c r="AB227" i="4"/>
  <c r="AC227" i="4"/>
  <c r="N227" i="4" s="1"/>
  <c r="AC251" i="4"/>
  <c r="N251" i="4" s="1"/>
  <c r="W101" i="4"/>
  <c r="V101" i="4"/>
  <c r="W210" i="4"/>
  <c r="V210" i="4"/>
  <c r="AB87" i="4"/>
  <c r="AC87" i="4"/>
  <c r="N87" i="4" s="1"/>
  <c r="V148" i="4"/>
  <c r="W148" i="4"/>
  <c r="AA271" i="4"/>
  <c r="AC457" i="4"/>
  <c r="N457" i="4" s="1"/>
  <c r="AB457" i="4"/>
  <c r="AB77" i="4"/>
  <c r="AC77" i="4"/>
  <c r="N77" i="4" s="1"/>
  <c r="AB419" i="4"/>
  <c r="AC419" i="4"/>
  <c r="N419" i="4" s="1"/>
  <c r="AB21" i="4"/>
  <c r="AC21" i="4"/>
  <c r="N21" i="4" s="1"/>
  <c r="AB433" i="4"/>
  <c r="AC433" i="4"/>
  <c r="N433" i="4" s="1"/>
  <c r="AC121" i="4"/>
  <c r="N121" i="4" s="1"/>
  <c r="AB121" i="4"/>
  <c r="AC115" i="4"/>
  <c r="N115" i="4" s="1"/>
  <c r="AB115" i="4"/>
  <c r="AC123" i="4"/>
  <c r="N123" i="4" s="1"/>
  <c r="AB123" i="4"/>
  <c r="AC105" i="4"/>
  <c r="N105" i="4" s="1"/>
  <c r="AB105" i="4"/>
  <c r="AC211" i="4"/>
  <c r="N211" i="4" s="1"/>
  <c r="AB211" i="4"/>
  <c r="AC358" i="4"/>
  <c r="N358" i="4" s="1"/>
  <c r="AB358" i="4"/>
  <c r="AB133" i="4"/>
  <c r="AC133" i="4"/>
  <c r="N133" i="4" s="1"/>
  <c r="AB386" i="4"/>
  <c r="AC386" i="4"/>
  <c r="N386" i="4" s="1"/>
  <c r="AB103" i="4"/>
  <c r="AC103" i="4"/>
  <c r="N103" i="4" s="1"/>
  <c r="AC324" i="4"/>
  <c r="N324" i="4" s="1"/>
  <c r="AB324" i="4"/>
  <c r="AC445" i="4"/>
  <c r="N445" i="4" s="1"/>
  <c r="AB445" i="4"/>
  <c r="AC446" i="4"/>
  <c r="N446" i="4" s="1"/>
  <c r="AB446" i="4"/>
  <c r="AB184" i="4"/>
  <c r="AC184" i="4"/>
  <c r="N184" i="4" s="1"/>
  <c r="AB238" i="4"/>
  <c r="AC238" i="4"/>
  <c r="N238" i="4" s="1"/>
  <c r="AB461" i="4"/>
  <c r="AC461" i="4"/>
  <c r="N461" i="4" s="1"/>
  <c r="AB482" i="4"/>
  <c r="AC482" i="4"/>
  <c r="N482" i="4" s="1"/>
  <c r="AB411" i="4"/>
  <c r="AC411" i="4"/>
  <c r="N411" i="4" s="1"/>
  <c r="W344" i="4"/>
  <c r="V344" i="4"/>
  <c r="W251" i="4"/>
  <c r="V251" i="4"/>
  <c r="AA340" i="4"/>
  <c r="W345" i="4"/>
  <c r="AA345" i="4"/>
  <c r="V345" i="4"/>
  <c r="AC289" i="4"/>
  <c r="N289" i="4" s="1"/>
  <c r="AB289" i="4"/>
  <c r="W111" i="4"/>
  <c r="V111" i="4"/>
  <c r="V384" i="4"/>
  <c r="W384" i="4"/>
  <c r="AA43" i="4"/>
  <c r="W43" i="4"/>
  <c r="V43" i="4"/>
  <c r="W194" i="4"/>
  <c r="V194" i="4"/>
  <c r="W271" i="4"/>
  <c r="V271" i="4"/>
  <c r="AC189" i="4"/>
  <c r="N189" i="4" s="1"/>
  <c r="AB189" i="4"/>
  <c r="V457" i="4"/>
  <c r="W457" i="4"/>
  <c r="AC6" i="4"/>
  <c r="N6" i="4" s="1"/>
  <c r="AB6" i="4"/>
  <c r="AB325" i="4"/>
  <c r="AC325" i="4"/>
  <c r="N325" i="4" s="1"/>
  <c r="AC12" i="4"/>
  <c r="N12" i="4" s="1"/>
  <c r="AB12" i="4"/>
  <c r="AB447" i="4"/>
  <c r="AC447" i="4"/>
  <c r="N447" i="4" s="1"/>
  <c r="AC307" i="4"/>
  <c r="N307" i="4" s="1"/>
  <c r="AB307" i="4"/>
  <c r="AC319" i="4"/>
  <c r="N319" i="4" s="1"/>
  <c r="AB319" i="4"/>
  <c r="AB10" i="4"/>
  <c r="AC10" i="4"/>
  <c r="N10" i="4" s="1"/>
  <c r="AC306" i="4"/>
  <c r="N306" i="4" s="1"/>
  <c r="AB306" i="4"/>
  <c r="AB129" i="4"/>
  <c r="AC129" i="4"/>
  <c r="N129" i="4" s="1"/>
  <c r="AB363" i="4"/>
  <c r="AC363" i="4"/>
  <c r="N363" i="4" s="1"/>
  <c r="AB55" i="4"/>
  <c r="AC55" i="4"/>
  <c r="N55" i="4" s="1"/>
  <c r="AC349" i="4"/>
  <c r="N349" i="4" s="1"/>
  <c r="AB349" i="4"/>
  <c r="AB394" i="4"/>
  <c r="AC394" i="4"/>
  <c r="N394" i="4" s="1"/>
  <c r="AB85" i="4"/>
  <c r="AC85" i="4"/>
  <c r="N85" i="4" s="1"/>
  <c r="AC142" i="4"/>
  <c r="N142" i="4" s="1"/>
  <c r="AB142" i="4"/>
  <c r="AC342" i="4"/>
  <c r="N342" i="4" s="1"/>
  <c r="AB342" i="4"/>
  <c r="AA477" i="4"/>
  <c r="AB120" i="4"/>
  <c r="AC120" i="4"/>
  <c r="N120" i="4" s="1"/>
  <c r="AA63" i="4"/>
  <c r="W340" i="4"/>
  <c r="V340" i="4"/>
  <c r="AB337" i="4"/>
  <c r="AC337" i="4"/>
  <c r="N337" i="4" s="1"/>
  <c r="AA80" i="4"/>
  <c r="AA494" i="4"/>
  <c r="AC322" i="4"/>
  <c r="N322" i="4" s="1"/>
  <c r="AB322" i="4"/>
  <c r="AB455" i="4"/>
  <c r="AC455" i="4"/>
  <c r="N455" i="4" s="1"/>
  <c r="V188" i="4"/>
  <c r="W188" i="4"/>
  <c r="AA188" i="4"/>
  <c r="AC203" i="4"/>
  <c r="N203" i="4" s="1"/>
  <c r="AB203" i="4"/>
  <c r="AA84" i="4"/>
  <c r="AA247" i="4"/>
  <c r="W189" i="4"/>
  <c r="V189" i="4"/>
  <c r="AC86" i="4"/>
  <c r="N86" i="4" s="1"/>
  <c r="AB86" i="4"/>
  <c r="AB297" i="4"/>
  <c r="AC297" i="4"/>
  <c r="N297" i="4" s="1"/>
  <c r="AB353" i="4"/>
  <c r="AC353" i="4"/>
  <c r="N353" i="4" s="1"/>
  <c r="AB143" i="4"/>
  <c r="AC143" i="4"/>
  <c r="N143" i="4" s="1"/>
  <c r="AB413" i="4"/>
  <c r="AC413" i="4"/>
  <c r="N413" i="4" s="1"/>
  <c r="AC350" i="4"/>
  <c r="N350" i="4" s="1"/>
  <c r="AB350" i="4"/>
  <c r="AC74" i="4"/>
  <c r="N74" i="4" s="1"/>
  <c r="AB74" i="4"/>
  <c r="AB223" i="4"/>
  <c r="AC223" i="4"/>
  <c r="N223" i="4" s="1"/>
  <c r="AC78" i="4"/>
  <c r="N78" i="4" s="1"/>
  <c r="AB78" i="4"/>
  <c r="AB398" i="4"/>
  <c r="AC398" i="4"/>
  <c r="N398" i="4" s="1"/>
  <c r="AB279" i="4"/>
  <c r="AC279" i="4"/>
  <c r="N279" i="4" s="1"/>
  <c r="AC301" i="4"/>
  <c r="N301" i="4" s="1"/>
  <c r="AB301" i="4"/>
  <c r="AB35" i="4"/>
  <c r="AC35" i="4"/>
  <c r="N35" i="4" s="1"/>
  <c r="V477" i="4"/>
  <c r="W477" i="4"/>
  <c r="V63" i="4"/>
  <c r="W63" i="4"/>
  <c r="AB126" i="4"/>
  <c r="AC126" i="4"/>
  <c r="N126" i="4" s="1"/>
  <c r="W80" i="4"/>
  <c r="V80" i="4"/>
  <c r="V494" i="4"/>
  <c r="W494" i="4"/>
  <c r="AB51" i="4"/>
  <c r="AC51" i="4"/>
  <c r="N51" i="4" s="1"/>
  <c r="AB364" i="4"/>
  <c r="AC364" i="4"/>
  <c r="N364" i="4" s="1"/>
  <c r="AC486" i="4"/>
  <c r="N486" i="4" s="1"/>
  <c r="AB486" i="4"/>
  <c r="AC264" i="4"/>
  <c r="N264" i="4" s="1"/>
  <c r="AB264" i="4"/>
  <c r="AC443" i="4"/>
  <c r="N443" i="4" s="1"/>
  <c r="AB443" i="4"/>
  <c r="W84" i="4"/>
  <c r="V84" i="4"/>
  <c r="V247" i="4"/>
  <c r="W247" i="4"/>
  <c r="AC183" i="4"/>
  <c r="N183" i="4" s="1"/>
  <c r="AB183" i="4"/>
  <c r="V252" i="4"/>
  <c r="W252" i="4"/>
  <c r="AA252" i="4"/>
  <c r="AC181" i="4" l="1"/>
  <c r="N181" i="4" s="1"/>
  <c r="AC111" i="4"/>
  <c r="N111" i="4" s="1"/>
  <c r="AC344" i="4"/>
  <c r="N344" i="4" s="1"/>
  <c r="AC101" i="4"/>
  <c r="N101" i="4" s="1"/>
  <c r="AC286" i="4"/>
  <c r="N286" i="4" s="1"/>
  <c r="AC362" i="4"/>
  <c r="N362" i="4" s="1"/>
  <c r="AC194" i="4"/>
  <c r="N194" i="4" s="1"/>
  <c r="AC338" i="4"/>
  <c r="N338" i="4" s="1"/>
  <c r="AB372" i="4"/>
  <c r="AB210" i="4"/>
  <c r="AB191" i="4"/>
  <c r="AB205" i="4"/>
  <c r="AB437" i="4"/>
  <c r="AC384" i="4"/>
  <c r="N384" i="4" s="1"/>
  <c r="D168" i="1"/>
  <c r="D169" i="1" s="1"/>
  <c r="D171" i="1" s="1"/>
  <c r="E171" i="1" s="1"/>
  <c r="D172" i="1" s="1"/>
  <c r="D176" i="1" s="1"/>
  <c r="E176" i="1" s="1"/>
  <c r="AC63" i="4"/>
  <c r="N63" i="4" s="1"/>
  <c r="AB63" i="4"/>
  <c r="AC148" i="4"/>
  <c r="N148" i="4" s="1"/>
  <c r="AB148" i="4"/>
  <c r="AB18" i="4"/>
  <c r="AC18" i="4"/>
  <c r="N18" i="4" s="1"/>
  <c r="AC469" i="4"/>
  <c r="N469" i="4" s="1"/>
  <c r="AB469" i="4"/>
  <c r="AC81" i="4"/>
  <c r="N81" i="4" s="1"/>
  <c r="AB81" i="4"/>
  <c r="AB219" i="4"/>
  <c r="AC219" i="4"/>
  <c r="N219" i="4" s="1"/>
  <c r="AB38" i="4"/>
  <c r="AC38" i="4"/>
  <c r="N38" i="4" s="1"/>
  <c r="AB343" i="4"/>
  <c r="AC343" i="4"/>
  <c r="N343" i="4" s="1"/>
  <c r="AB488" i="4"/>
  <c r="AC488" i="4"/>
  <c r="N488" i="4" s="1"/>
  <c r="AC43" i="4"/>
  <c r="N43" i="4" s="1"/>
  <c r="AB43" i="4"/>
  <c r="AB185" i="4"/>
  <c r="AC185" i="4"/>
  <c r="N185" i="4" s="1"/>
  <c r="AB217" i="4"/>
  <c r="AC217" i="4"/>
  <c r="N217" i="4" s="1"/>
  <c r="AC315" i="4"/>
  <c r="N315" i="4" s="1"/>
  <c r="AB315" i="4"/>
  <c r="AB7" i="4"/>
  <c r="AC7" i="4"/>
  <c r="N7" i="4" s="1"/>
  <c r="AC477" i="4"/>
  <c r="N477" i="4" s="1"/>
  <c r="AB477" i="4"/>
  <c r="AC487" i="4"/>
  <c r="N487" i="4" s="1"/>
  <c r="AB487" i="4"/>
  <c r="AB492" i="4"/>
  <c r="AC492" i="4"/>
  <c r="N492" i="4" s="1"/>
  <c r="AC137" i="4"/>
  <c r="N137" i="4" s="1"/>
  <c r="AB137" i="4"/>
  <c r="AC117" i="4"/>
  <c r="N117" i="4" s="1"/>
  <c r="AB117" i="4"/>
  <c r="AB188" i="4"/>
  <c r="AC188" i="4"/>
  <c r="N188" i="4" s="1"/>
  <c r="AC494" i="4"/>
  <c r="N494" i="4" s="1"/>
  <c r="AB494" i="4"/>
  <c r="AC345" i="4"/>
  <c r="N345" i="4" s="1"/>
  <c r="AB345" i="4"/>
  <c r="AC141" i="4"/>
  <c r="N141" i="4" s="1"/>
  <c r="AB141" i="4"/>
  <c r="AC247" i="4"/>
  <c r="N247" i="4" s="1"/>
  <c r="AB247" i="4"/>
  <c r="AB59" i="4"/>
  <c r="AC59" i="4"/>
  <c r="N59" i="4" s="1"/>
  <c r="AB239" i="4"/>
  <c r="AC239" i="4"/>
  <c r="N239" i="4" s="1"/>
  <c r="AB32" i="4"/>
  <c r="AC32" i="4"/>
  <c r="N32" i="4" s="1"/>
  <c r="AC241" i="4"/>
  <c r="N241" i="4" s="1"/>
  <c r="AB241" i="4"/>
  <c r="AB80" i="4"/>
  <c r="AC80" i="4"/>
  <c r="N80" i="4" s="1"/>
  <c r="AB84" i="4"/>
  <c r="AC84" i="4"/>
  <c r="N84" i="4" s="1"/>
  <c r="AC340" i="4"/>
  <c r="N340" i="4" s="1"/>
  <c r="AB340" i="4"/>
  <c r="AC252" i="4"/>
  <c r="N252" i="4" s="1"/>
  <c r="AB252" i="4"/>
  <c r="AB271" i="4"/>
  <c r="AC271" i="4"/>
  <c r="N271" i="4" s="1"/>
  <c r="AB269" i="4"/>
  <c r="AC269" i="4"/>
  <c r="N269" i="4" s="1"/>
  <c r="D175" i="1" l="1"/>
  <c r="E175" i="1" s="1"/>
  <c r="D177" i="1" s="1"/>
  <c r="C12" i="4" s="1"/>
  <c r="D35" i="1"/>
  <c r="C10" i="4"/>
  <c r="F10" i="4"/>
  <c r="D173" i="1"/>
  <c r="E173" i="1" s="1"/>
  <c r="D174" i="1" s="1"/>
  <c r="D179" i="1" s="1"/>
  <c r="C60" i="4"/>
  <c r="C52" i="4" s="1"/>
  <c r="D52" i="4" s="1"/>
  <c r="C50" i="4" s="1"/>
  <c r="D178" i="1" l="1"/>
  <c r="C11" i="4"/>
  <c r="F12" i="4"/>
  <c r="F11" i="4"/>
  <c r="D22" i="1"/>
  <c r="D180" i="1"/>
  <c r="D24" i="1"/>
  <c r="C53" i="4"/>
  <c r="D53" i="4" s="1"/>
  <c r="C51" i="4" s="1"/>
  <c r="AH121" i="4" s="1"/>
  <c r="AD121" i="4" l="1"/>
  <c r="AF121" i="4" s="1"/>
  <c r="P121" i="4" s="1"/>
  <c r="AE121" i="4"/>
  <c r="AG121" i="4" s="1"/>
  <c r="O121" i="4" s="1"/>
  <c r="AH9" i="4"/>
  <c r="AH29" i="4"/>
  <c r="AH335" i="4"/>
  <c r="AH25" i="4"/>
  <c r="AH224" i="4"/>
  <c r="AH310" i="4"/>
  <c r="AH385" i="4"/>
  <c r="AH41" i="4"/>
  <c r="AH389" i="4"/>
  <c r="AH155" i="4"/>
  <c r="AH126" i="4"/>
  <c r="AH242" i="4"/>
  <c r="AH191" i="4"/>
  <c r="AH368" i="4"/>
  <c r="AH358" i="4"/>
  <c r="AH194" i="4"/>
  <c r="AH204" i="4"/>
  <c r="AH237" i="4"/>
  <c r="AH55" i="4"/>
  <c r="AH201" i="4"/>
  <c r="AH502" i="4"/>
  <c r="AH357" i="4"/>
  <c r="AH217" i="4"/>
  <c r="AH188" i="4"/>
  <c r="AH257" i="4"/>
  <c r="AH189" i="4"/>
  <c r="AH465" i="4"/>
  <c r="AH406" i="4"/>
  <c r="AH144" i="4"/>
  <c r="AH72" i="4"/>
  <c r="AH202" i="4"/>
  <c r="AH199" i="4"/>
  <c r="AH20" i="4"/>
  <c r="AH14" i="4"/>
  <c r="AH99" i="4"/>
  <c r="AH89" i="4"/>
  <c r="AH400" i="4"/>
  <c r="AH222" i="4"/>
  <c r="AH455" i="4"/>
  <c r="AH88" i="4"/>
  <c r="AH43" i="4"/>
  <c r="AH54" i="4"/>
  <c r="AH461" i="4"/>
  <c r="AH407" i="4"/>
  <c r="AH414" i="4"/>
  <c r="AH377" i="4"/>
  <c r="AH361" i="4"/>
  <c r="AH77" i="4"/>
  <c r="AH163" i="4"/>
  <c r="AH190" i="4"/>
  <c r="AH8" i="4"/>
  <c r="AH134" i="4"/>
  <c r="AH110" i="4"/>
  <c r="AH195" i="4"/>
  <c r="AH56" i="4"/>
  <c r="AH205" i="4"/>
  <c r="AH378" i="4"/>
  <c r="AH107" i="4"/>
  <c r="AH472" i="4"/>
  <c r="AH325" i="4"/>
  <c r="AH220" i="4"/>
  <c r="AH178" i="4"/>
  <c r="AH320" i="4"/>
  <c r="AH308" i="4"/>
  <c r="AH487" i="4"/>
  <c r="AH193" i="4"/>
  <c r="AH213" i="4"/>
  <c r="AH173" i="4"/>
  <c r="AH422" i="4"/>
  <c r="AH309" i="4"/>
  <c r="AH488" i="4"/>
  <c r="AH136" i="4"/>
  <c r="AH206" i="4"/>
  <c r="AH46" i="4"/>
  <c r="AH31" i="4"/>
  <c r="AH318" i="4"/>
  <c r="AH184" i="4"/>
  <c r="AH255" i="4"/>
  <c r="AH51" i="4"/>
  <c r="AH299" i="4"/>
  <c r="AH413" i="4"/>
  <c r="AH140" i="4"/>
  <c r="AH142" i="4"/>
  <c r="AH120" i="4"/>
  <c r="AH114" i="4"/>
  <c r="AH87" i="4"/>
  <c r="AH60" i="4"/>
  <c r="AH62" i="4"/>
  <c r="AH162" i="4"/>
  <c r="AH116" i="4"/>
  <c r="AH419" i="4"/>
  <c r="AH323" i="4"/>
  <c r="AH101" i="4"/>
  <c r="AH363" i="4"/>
  <c r="AH93" i="4"/>
  <c r="AH448" i="4"/>
  <c r="AH338" i="4"/>
  <c r="AH32" i="4"/>
  <c r="AH236" i="4"/>
  <c r="AH64" i="4"/>
  <c r="AH63" i="4"/>
  <c r="AH35" i="4"/>
  <c r="AH97" i="4"/>
  <c r="AH380" i="4"/>
  <c r="AH304" i="4"/>
  <c r="AH424" i="4"/>
  <c r="AH263" i="4"/>
  <c r="AH159" i="4"/>
  <c r="AH102" i="4"/>
  <c r="AH423" i="4"/>
  <c r="AH75" i="4"/>
  <c r="AH428" i="4"/>
  <c r="AH276" i="4"/>
  <c r="AH139" i="4"/>
  <c r="AH408" i="4"/>
  <c r="AH330" i="4"/>
  <c r="AH431" i="4"/>
  <c r="AH367" i="4"/>
  <c r="AH129" i="4"/>
  <c r="AH153" i="4"/>
  <c r="AH39" i="4"/>
  <c r="AH344" i="4"/>
  <c r="AH306" i="4"/>
  <c r="AH233" i="4"/>
  <c r="AH240" i="4"/>
  <c r="AH226" i="4"/>
  <c r="AH331" i="4"/>
  <c r="AH131" i="4"/>
  <c r="AH37" i="4"/>
  <c r="AH375" i="4"/>
  <c r="AH267" i="4"/>
  <c r="AH119" i="4"/>
  <c r="AH387" i="4"/>
  <c r="AH373" i="4"/>
  <c r="AH112" i="4"/>
  <c r="AH219" i="4"/>
  <c r="AH223" i="4"/>
  <c r="AH332" i="4"/>
  <c r="AH69" i="4"/>
  <c r="AH251" i="4"/>
  <c r="AH446" i="4"/>
  <c r="AH440" i="4"/>
  <c r="AH218" i="4"/>
  <c r="AH181" i="4"/>
  <c r="AH148" i="4"/>
  <c r="AH275" i="4"/>
  <c r="AH489" i="4"/>
  <c r="AH416" i="4"/>
  <c r="AH493" i="4"/>
  <c r="AH316" i="4"/>
  <c r="AH248" i="4"/>
  <c r="AH473" i="4"/>
  <c r="AH490" i="4"/>
  <c r="AH494" i="4"/>
  <c r="AH381" i="4"/>
  <c r="AH42" i="4"/>
  <c r="AH19" i="4"/>
  <c r="AH124" i="4"/>
  <c r="AH435" i="4"/>
  <c r="AH456" i="4"/>
  <c r="AH290" i="4"/>
  <c r="AH130" i="4"/>
  <c r="AH402" i="4"/>
  <c r="AH250" i="4"/>
  <c r="AH305" i="4"/>
  <c r="AH12" i="4"/>
  <c r="AH274" i="4"/>
  <c r="AH479" i="4"/>
  <c r="AH208" i="4"/>
  <c r="AH238" i="4"/>
  <c r="AH232" i="4"/>
  <c r="AH169" i="4"/>
  <c r="AH53" i="4"/>
  <c r="AH471" i="4"/>
  <c r="AH16" i="4"/>
  <c r="AH279" i="4"/>
  <c r="AH260" i="4"/>
  <c r="AH245" i="4"/>
  <c r="AH393" i="4"/>
  <c r="AH410" i="4"/>
  <c r="AH246" i="4"/>
  <c r="AH230" i="4"/>
  <c r="AH179" i="4"/>
  <c r="AH324" i="4"/>
  <c r="AH235" i="4"/>
  <c r="AH429" i="4"/>
  <c r="AH394" i="4"/>
  <c r="AH283" i="4"/>
  <c r="AH154" i="4"/>
  <c r="AH216" i="4"/>
  <c r="AH351" i="4"/>
  <c r="AH156" i="4"/>
  <c r="AH262" i="4"/>
  <c r="AH171" i="4"/>
  <c r="AH227" i="4"/>
  <c r="AH460" i="4"/>
  <c r="AH167" i="4"/>
  <c r="AH231" i="4"/>
  <c r="AH496" i="4"/>
  <c r="AH278" i="4"/>
  <c r="AH294" i="4"/>
  <c r="AH266" i="4"/>
  <c r="AH454" i="4"/>
  <c r="AH280" i="4"/>
  <c r="AH396" i="4"/>
  <c r="AH334" i="4"/>
  <c r="AH482" i="4"/>
  <c r="AH430" i="4"/>
  <c r="AH284" i="4"/>
  <c r="AH261" i="4"/>
  <c r="AH281" i="4"/>
  <c r="AH50" i="4"/>
  <c r="AH386" i="4"/>
  <c r="AH383" i="4"/>
  <c r="AH364" i="4"/>
  <c r="AH28" i="4"/>
  <c r="AH392" i="4"/>
  <c r="AH61" i="4"/>
  <c r="AH483" i="4"/>
  <c r="AH439" i="4"/>
  <c r="AH365" i="4"/>
  <c r="AH185" i="4"/>
  <c r="AH421" i="4"/>
  <c r="AH143" i="4"/>
  <c r="AH225" i="4"/>
  <c r="AH282" i="4"/>
  <c r="AH293" i="4"/>
  <c r="AH74" i="4"/>
  <c r="AH253" i="4"/>
  <c r="AH70" i="4"/>
  <c r="AH108" i="4"/>
  <c r="AH200" i="4"/>
  <c r="AH390" i="4"/>
  <c r="AH83" i="4"/>
  <c r="AH287" i="4"/>
  <c r="AH198" i="4"/>
  <c r="AH340" i="4"/>
  <c r="AH23" i="4"/>
  <c r="AH397" i="4"/>
  <c r="AH329" i="4"/>
  <c r="AH96" i="4"/>
  <c r="AH111" i="4"/>
  <c r="AH15" i="4"/>
  <c r="AH94" i="4"/>
  <c r="AH106" i="4"/>
  <c r="AH33" i="4"/>
  <c r="AH345" i="4"/>
  <c r="AH437" i="4"/>
  <c r="AH500" i="4"/>
  <c r="AH411" i="4"/>
  <c r="AH292" i="4"/>
  <c r="AH463" i="4"/>
  <c r="AH444" i="4"/>
  <c r="AH207" i="4"/>
  <c r="AH359" i="4"/>
  <c r="AH113" i="4"/>
  <c r="AH384" i="4"/>
  <c r="AH315" i="4"/>
  <c r="AH481" i="4"/>
  <c r="AH418" i="4"/>
  <c r="AH86" i="4"/>
  <c r="AH13" i="4"/>
  <c r="AH149" i="4"/>
  <c r="AH417" i="4"/>
  <c r="AH180" i="4"/>
  <c r="AH313" i="4"/>
  <c r="AH175" i="4"/>
  <c r="AH336" i="4"/>
  <c r="AH158" i="4"/>
  <c r="AH376" i="4"/>
  <c r="AH399" i="4"/>
  <c r="AH443" i="4"/>
  <c r="AH132" i="4"/>
  <c r="AH165" i="4"/>
  <c r="AH459" i="4"/>
  <c r="AH286" i="4"/>
  <c r="AH366" i="4"/>
  <c r="AH24" i="4"/>
  <c r="AH401" i="4"/>
  <c r="AH137" i="4"/>
  <c r="AH81" i="4"/>
  <c r="AH474" i="4"/>
  <c r="AH168" i="4"/>
  <c r="AH234" i="4"/>
  <c r="AH256" i="4"/>
  <c r="AH339" i="4"/>
  <c r="AH438" i="4"/>
  <c r="AH497" i="4"/>
  <c r="AH92" i="4"/>
  <c r="AH65" i="4"/>
  <c r="AH343" i="4"/>
  <c r="AH104" i="4"/>
  <c r="AH333" i="4"/>
  <c r="AH270" i="4"/>
  <c r="AH78" i="4"/>
  <c r="AH80" i="4"/>
  <c r="AH241" i="4"/>
  <c r="AH495" i="4"/>
  <c r="AH21" i="4"/>
  <c r="AH66" i="4"/>
  <c r="AH314" i="4"/>
  <c r="AH58" i="4"/>
  <c r="AH328" i="4"/>
  <c r="AH317" i="4"/>
  <c r="AH247" i="4"/>
  <c r="AH296" i="4"/>
  <c r="AH452" i="4"/>
  <c r="AH298" i="4"/>
  <c r="AH388" i="4"/>
  <c r="AH485" i="4"/>
  <c r="AH374" i="4"/>
  <c r="AH22" i="4"/>
  <c r="AH426" i="4"/>
  <c r="AH10" i="4"/>
  <c r="AH341" i="4"/>
  <c r="AH105" i="4"/>
  <c r="AH127" i="4"/>
  <c r="AH382" i="4"/>
  <c r="AH151" i="4"/>
  <c r="AH146" i="4"/>
  <c r="AH372" i="4"/>
  <c r="AH71" i="4"/>
  <c r="AH415" i="4"/>
  <c r="AH265" i="4"/>
  <c r="AH449" i="4"/>
  <c r="AH300" i="4"/>
  <c r="AH103" i="4"/>
  <c r="AH467" i="4"/>
  <c r="AH269" i="4"/>
  <c r="AH133" i="4"/>
  <c r="AH6" i="4"/>
  <c r="AH174" i="4"/>
  <c r="AH360" i="4"/>
  <c r="AH145" i="4"/>
  <c r="AH48" i="4"/>
  <c r="AH252" i="4"/>
  <c r="AH307" i="4"/>
  <c r="AH95" i="4"/>
  <c r="AH259" i="4"/>
  <c r="AH442" i="4"/>
  <c r="AH59" i="4"/>
  <c r="AH484" i="4"/>
  <c r="AH177" i="4"/>
  <c r="AH321" i="4"/>
  <c r="AH268" i="4"/>
  <c r="AH18" i="4"/>
  <c r="AH196" i="4"/>
  <c r="AH38" i="4"/>
  <c r="AH427" i="4"/>
  <c r="AH239" i="4"/>
  <c r="AH141" i="4"/>
  <c r="AH186" i="4"/>
  <c r="AH354" i="4"/>
  <c r="AH447" i="4"/>
  <c r="AH150" i="4"/>
  <c r="AH85" i="4"/>
  <c r="AH466" i="4"/>
  <c r="AH409" i="4"/>
  <c r="AH346" i="4"/>
  <c r="AH212" i="4"/>
  <c r="AH425" i="4"/>
  <c r="AH100" i="4"/>
  <c r="AH457" i="4"/>
  <c r="AH478" i="4"/>
  <c r="AH499" i="4"/>
  <c r="AH501" i="4"/>
  <c r="AH436" i="4"/>
  <c r="AH254" i="4"/>
  <c r="AH49" i="4"/>
  <c r="AH160" i="4"/>
  <c r="AH214" i="4"/>
  <c r="AH57" i="4"/>
  <c r="AH475" i="4"/>
  <c r="AH228" i="4"/>
  <c r="AH211" i="4"/>
  <c r="AH441" i="4"/>
  <c r="AH229" i="4"/>
  <c r="AH36" i="4"/>
  <c r="AH476" i="4"/>
  <c r="AH352" i="4"/>
  <c r="AH123" i="4"/>
  <c r="AH221" i="4"/>
  <c r="AH7" i="4"/>
  <c r="AH468" i="4"/>
  <c r="AH277" i="4"/>
  <c r="AH115" i="4"/>
  <c r="AH291" i="4"/>
  <c r="AH161" i="4"/>
  <c r="AH349" i="4"/>
  <c r="AH249" i="4"/>
  <c r="AH350" i="4"/>
  <c r="AH289" i="4"/>
  <c r="AH5" i="4"/>
  <c r="AH303" i="4"/>
  <c r="AH73" i="4"/>
  <c r="AH347" i="4"/>
  <c r="AH319" i="4"/>
  <c r="AH138" i="4"/>
  <c r="AH405" i="4"/>
  <c r="AH67" i="4"/>
  <c r="AH215" i="4"/>
  <c r="AH147" i="4"/>
  <c r="AH450" i="4"/>
  <c r="AH30" i="4"/>
  <c r="AH170" i="4"/>
  <c r="AH362" i="4"/>
  <c r="AH504" i="4"/>
  <c r="AH353" i="4"/>
  <c r="AH453" i="4"/>
  <c r="AH45" i="4"/>
  <c r="AH371" i="4"/>
  <c r="AH445" i="4"/>
  <c r="AH433" i="4"/>
  <c r="AH295" i="4"/>
  <c r="AH464" i="4"/>
  <c r="AH210" i="4"/>
  <c r="AH492" i="4"/>
  <c r="AH243" i="4"/>
  <c r="AH47" i="4"/>
  <c r="AH404" i="4"/>
  <c r="AH209" i="4"/>
  <c r="AH285" i="4"/>
  <c r="AH327" i="4"/>
  <c r="AH342" i="4"/>
  <c r="AH498" i="4"/>
  <c r="AH164" i="4"/>
  <c r="AH462" i="4"/>
  <c r="AH203" i="4"/>
  <c r="AH90" i="4"/>
  <c r="AH301" i="4"/>
  <c r="AH312" i="4"/>
  <c r="AH356" i="4"/>
  <c r="AH128" i="4"/>
  <c r="AH258" i="4"/>
  <c r="AH84" i="4"/>
  <c r="AH98" i="4"/>
  <c r="AH26" i="4"/>
  <c r="AH288" i="4"/>
  <c r="AH152" i="4"/>
  <c r="AH182" i="4"/>
  <c r="AH420" i="4"/>
  <c r="AH11" i="4"/>
  <c r="AH27" i="4"/>
  <c r="AH486" i="4"/>
  <c r="AH264" i="4"/>
  <c r="AH370" i="4"/>
  <c r="AH458" i="4"/>
  <c r="AH183" i="4"/>
  <c r="AH79" i="4"/>
  <c r="AH470" i="4"/>
  <c r="AH412" i="4"/>
  <c r="AH176" i="4"/>
  <c r="AH197" i="4"/>
  <c r="AH172" i="4"/>
  <c r="AH369" i="4"/>
  <c r="AH118" i="4"/>
  <c r="AH491" i="4"/>
  <c r="AH244" i="4"/>
  <c r="AH451" i="4"/>
  <c r="AH135" i="4"/>
  <c r="AH311" i="4"/>
  <c r="AH302" i="4"/>
  <c r="AH52" i="4"/>
  <c r="AH187" i="4"/>
  <c r="AH40" i="4"/>
  <c r="AH76" i="4"/>
  <c r="AH91" i="4"/>
  <c r="AH398" i="4"/>
  <c r="AH34" i="4"/>
  <c r="AH326" i="4"/>
  <c r="AH434" i="4"/>
  <c r="AH109" i="4"/>
  <c r="AH469" i="4"/>
  <c r="AH68" i="4"/>
  <c r="AH117" i="4"/>
  <c r="AH192" i="4"/>
  <c r="AH82" i="4"/>
  <c r="AH272" i="4"/>
  <c r="AH17" i="4"/>
  <c r="AH157" i="4"/>
  <c r="AH322" i="4"/>
  <c r="AH480" i="4"/>
  <c r="AH337" i="4"/>
  <c r="AH4" i="4"/>
  <c r="AH44" i="4"/>
  <c r="AH403" i="4"/>
  <c r="AH391" i="4"/>
  <c r="AH122" i="4"/>
  <c r="AH166" i="4"/>
  <c r="AH503" i="4"/>
  <c r="AH395" i="4"/>
  <c r="AH273" i="4"/>
  <c r="AH432" i="4"/>
  <c r="AH271" i="4"/>
  <c r="AH477" i="4"/>
  <c r="AH348" i="4"/>
  <c r="AH125" i="4"/>
  <c r="AH379" i="4"/>
  <c r="AH297" i="4"/>
  <c r="AH355" i="4"/>
  <c r="AE152" i="4" l="1"/>
  <c r="AG152" i="4" s="1"/>
  <c r="O152" i="4" s="1"/>
  <c r="AD152" i="4"/>
  <c r="AF152" i="4" s="1"/>
  <c r="P152" i="4" s="1"/>
  <c r="AE452" i="4"/>
  <c r="AG452" i="4" s="1"/>
  <c r="O452" i="4" s="1"/>
  <c r="AD452" i="4"/>
  <c r="AF452" i="4" s="1"/>
  <c r="P452" i="4" s="1"/>
  <c r="AE16" i="4"/>
  <c r="AG16" i="4" s="1"/>
  <c r="O16" i="4" s="1"/>
  <c r="AD16" i="4"/>
  <c r="AF16" i="4" s="1"/>
  <c r="P16" i="4" s="1"/>
  <c r="AD44" i="4"/>
  <c r="AF44" i="4" s="1"/>
  <c r="P44" i="4" s="1"/>
  <c r="AE44" i="4"/>
  <c r="AG44" i="4" s="1"/>
  <c r="O44" i="4" s="1"/>
  <c r="AD337" i="4"/>
  <c r="AF337" i="4" s="1"/>
  <c r="P337" i="4" s="1"/>
  <c r="AE337" i="4"/>
  <c r="AG337" i="4" s="1"/>
  <c r="O337" i="4" s="1"/>
  <c r="AE244" i="4"/>
  <c r="AG244" i="4" s="1"/>
  <c r="O244" i="4" s="1"/>
  <c r="AD244" i="4"/>
  <c r="AF244" i="4" s="1"/>
  <c r="P244" i="4" s="1"/>
  <c r="AE273" i="4"/>
  <c r="AG273" i="4" s="1"/>
  <c r="O273" i="4" s="1"/>
  <c r="AD273" i="4"/>
  <c r="AF273" i="4" s="1"/>
  <c r="P273" i="4" s="1"/>
  <c r="AE503" i="4"/>
  <c r="AG503" i="4" s="1"/>
  <c r="O503" i="4" s="1"/>
  <c r="AD503" i="4"/>
  <c r="AF503" i="4" s="1"/>
  <c r="P503" i="4" s="1"/>
  <c r="AE272" i="4"/>
  <c r="AG272" i="4" s="1"/>
  <c r="O272" i="4" s="1"/>
  <c r="AD272" i="4"/>
  <c r="AF272" i="4" s="1"/>
  <c r="P272" i="4" s="1"/>
  <c r="AE76" i="4"/>
  <c r="AG76" i="4" s="1"/>
  <c r="O76" i="4" s="1"/>
  <c r="AD76" i="4"/>
  <c r="AF76" i="4" s="1"/>
  <c r="P76" i="4" s="1"/>
  <c r="AD172" i="4"/>
  <c r="AF172" i="4" s="1"/>
  <c r="P172" i="4" s="1"/>
  <c r="AE172" i="4"/>
  <c r="AG172" i="4" s="1"/>
  <c r="O172" i="4" s="1"/>
  <c r="AD11" i="4"/>
  <c r="AF11" i="4" s="1"/>
  <c r="P11" i="4" s="1"/>
  <c r="AE11" i="4"/>
  <c r="AG11" i="4" s="1"/>
  <c r="O11" i="4" s="1"/>
  <c r="AE301" i="4"/>
  <c r="AG301" i="4" s="1"/>
  <c r="O301" i="4" s="1"/>
  <c r="AD301" i="4"/>
  <c r="AF301" i="4" s="1"/>
  <c r="P301" i="4" s="1"/>
  <c r="AD243" i="4"/>
  <c r="AF243" i="4" s="1"/>
  <c r="P243" i="4" s="1"/>
  <c r="AE243" i="4"/>
  <c r="AG243" i="4" s="1"/>
  <c r="O243" i="4" s="1"/>
  <c r="AD362" i="4"/>
  <c r="AF362" i="4" s="1"/>
  <c r="P362" i="4" s="1"/>
  <c r="AE362" i="4"/>
  <c r="AG362" i="4" s="1"/>
  <c r="O362" i="4" s="1"/>
  <c r="AD303" i="4"/>
  <c r="AF303" i="4" s="1"/>
  <c r="P303" i="4" s="1"/>
  <c r="AE303" i="4"/>
  <c r="AG303" i="4" s="1"/>
  <c r="O303" i="4" s="1"/>
  <c r="AD221" i="4"/>
  <c r="AF221" i="4" s="1"/>
  <c r="P221" i="4" s="1"/>
  <c r="AE221" i="4"/>
  <c r="AG221" i="4" s="1"/>
  <c r="O221" i="4" s="1"/>
  <c r="AE160" i="4"/>
  <c r="AG160" i="4" s="1"/>
  <c r="O160" i="4" s="1"/>
  <c r="AD160" i="4"/>
  <c r="AF160" i="4" s="1"/>
  <c r="P160" i="4" s="1"/>
  <c r="AD409" i="4"/>
  <c r="AF409" i="4" s="1"/>
  <c r="P409" i="4" s="1"/>
  <c r="AE409" i="4"/>
  <c r="AG409" i="4" s="1"/>
  <c r="O409" i="4" s="1"/>
  <c r="AE18" i="4"/>
  <c r="AG18" i="4" s="1"/>
  <c r="O18" i="4" s="1"/>
  <c r="AD18" i="4"/>
  <c r="AF18" i="4" s="1"/>
  <c r="P18" i="4" s="1"/>
  <c r="AD145" i="4"/>
  <c r="AF145" i="4" s="1"/>
  <c r="P145" i="4" s="1"/>
  <c r="AE145" i="4"/>
  <c r="AG145" i="4" s="1"/>
  <c r="O145" i="4" s="1"/>
  <c r="AD71" i="4"/>
  <c r="AF71" i="4" s="1"/>
  <c r="P71" i="4" s="1"/>
  <c r="AE71" i="4"/>
  <c r="AG71" i="4" s="1"/>
  <c r="O71" i="4" s="1"/>
  <c r="AD485" i="4"/>
  <c r="AF485" i="4" s="1"/>
  <c r="P485" i="4" s="1"/>
  <c r="AE485" i="4"/>
  <c r="AG485" i="4" s="1"/>
  <c r="O485" i="4" s="1"/>
  <c r="AE495" i="4"/>
  <c r="AG495" i="4" s="1"/>
  <c r="O495" i="4" s="1"/>
  <c r="AD495" i="4"/>
  <c r="AF495" i="4" s="1"/>
  <c r="P495" i="4" s="1"/>
  <c r="AE339" i="4"/>
  <c r="AG339" i="4" s="1"/>
  <c r="O339" i="4" s="1"/>
  <c r="AD339" i="4"/>
  <c r="AF339" i="4" s="1"/>
  <c r="P339" i="4" s="1"/>
  <c r="AD165" i="4"/>
  <c r="AF165" i="4" s="1"/>
  <c r="P165" i="4" s="1"/>
  <c r="AE165" i="4"/>
  <c r="AG165" i="4" s="1"/>
  <c r="O165" i="4" s="1"/>
  <c r="AE13" i="4"/>
  <c r="AG13" i="4" s="1"/>
  <c r="O13" i="4" s="1"/>
  <c r="AD13" i="4"/>
  <c r="AF13" i="4" s="1"/>
  <c r="P13" i="4" s="1"/>
  <c r="AE411" i="4"/>
  <c r="AG411" i="4" s="1"/>
  <c r="O411" i="4" s="1"/>
  <c r="AD411" i="4"/>
  <c r="AF411" i="4" s="1"/>
  <c r="P411" i="4" s="1"/>
  <c r="AE23" i="4"/>
  <c r="AG23" i="4" s="1"/>
  <c r="O23" i="4" s="1"/>
  <c r="AD23" i="4"/>
  <c r="AF23" i="4" s="1"/>
  <c r="P23" i="4" s="1"/>
  <c r="AD282" i="4"/>
  <c r="AF282" i="4" s="1"/>
  <c r="P282" i="4" s="1"/>
  <c r="AE282" i="4"/>
  <c r="AG282" i="4" s="1"/>
  <c r="O282" i="4" s="1"/>
  <c r="AE383" i="4"/>
  <c r="AG383" i="4" s="1"/>
  <c r="O383" i="4" s="1"/>
  <c r="AD383" i="4"/>
  <c r="AF383" i="4" s="1"/>
  <c r="P383" i="4" s="1"/>
  <c r="AE266" i="4"/>
  <c r="AG266" i="4" s="1"/>
  <c r="O266" i="4" s="1"/>
  <c r="AD266" i="4"/>
  <c r="AF266" i="4" s="1"/>
  <c r="P266" i="4" s="1"/>
  <c r="AE216" i="4"/>
  <c r="AG216" i="4" s="1"/>
  <c r="O216" i="4" s="1"/>
  <c r="AD216" i="4"/>
  <c r="AF216" i="4" s="1"/>
  <c r="P216" i="4" s="1"/>
  <c r="AD245" i="4"/>
  <c r="AF245" i="4" s="1"/>
  <c r="P245" i="4" s="1"/>
  <c r="AE245" i="4"/>
  <c r="AG245" i="4" s="1"/>
  <c r="O245" i="4" s="1"/>
  <c r="AD12" i="4"/>
  <c r="AF12" i="4" s="1"/>
  <c r="P12" i="4" s="1"/>
  <c r="AE12" i="4"/>
  <c r="AG12" i="4" s="1"/>
  <c r="O12" i="4" s="1"/>
  <c r="AE494" i="4"/>
  <c r="AG494" i="4" s="1"/>
  <c r="O494" i="4" s="1"/>
  <c r="AD494" i="4"/>
  <c r="AF494" i="4" s="1"/>
  <c r="P494" i="4" s="1"/>
  <c r="AE440" i="4"/>
  <c r="AG440" i="4" s="1"/>
  <c r="O440" i="4" s="1"/>
  <c r="AD440" i="4"/>
  <c r="AF440" i="4" s="1"/>
  <c r="P440" i="4" s="1"/>
  <c r="AE375" i="4"/>
  <c r="AG375" i="4" s="1"/>
  <c r="O375" i="4" s="1"/>
  <c r="AD375" i="4"/>
  <c r="AF375" i="4" s="1"/>
  <c r="P375" i="4" s="1"/>
  <c r="AD367" i="4"/>
  <c r="AF367" i="4" s="1"/>
  <c r="P367" i="4" s="1"/>
  <c r="AE367" i="4"/>
  <c r="AG367" i="4" s="1"/>
  <c r="O367" i="4" s="1"/>
  <c r="AE424" i="4"/>
  <c r="AG424" i="4" s="1"/>
  <c r="O424" i="4" s="1"/>
  <c r="AD424" i="4"/>
  <c r="AF424" i="4" s="1"/>
  <c r="P424" i="4" s="1"/>
  <c r="AD363" i="4"/>
  <c r="AF363" i="4" s="1"/>
  <c r="P363" i="4" s="1"/>
  <c r="AE363" i="4"/>
  <c r="AG363" i="4" s="1"/>
  <c r="O363" i="4" s="1"/>
  <c r="AD140" i="4"/>
  <c r="AF140" i="4" s="1"/>
  <c r="P140" i="4" s="1"/>
  <c r="AE140" i="4"/>
  <c r="AG140" i="4" s="1"/>
  <c r="O140" i="4" s="1"/>
  <c r="AE309" i="4"/>
  <c r="AG309" i="4" s="1"/>
  <c r="O309" i="4" s="1"/>
  <c r="AD309" i="4"/>
  <c r="AF309" i="4" s="1"/>
  <c r="P309" i="4" s="1"/>
  <c r="AD107" i="4"/>
  <c r="AF107" i="4" s="1"/>
  <c r="P107" i="4" s="1"/>
  <c r="AE107" i="4"/>
  <c r="AG107" i="4" s="1"/>
  <c r="O107" i="4" s="1"/>
  <c r="AE377" i="4"/>
  <c r="AG377" i="4" s="1"/>
  <c r="O377" i="4" s="1"/>
  <c r="AD377" i="4"/>
  <c r="AF377" i="4" s="1"/>
  <c r="P377" i="4" s="1"/>
  <c r="AD14" i="4"/>
  <c r="AF14" i="4" s="1"/>
  <c r="P14" i="4" s="1"/>
  <c r="AE14" i="4"/>
  <c r="AG14" i="4" s="1"/>
  <c r="O14" i="4" s="1"/>
  <c r="AD357" i="4"/>
  <c r="AF357" i="4" s="1"/>
  <c r="P357" i="4" s="1"/>
  <c r="AE357" i="4"/>
  <c r="AG357" i="4" s="1"/>
  <c r="O357" i="4" s="1"/>
  <c r="AD155" i="4"/>
  <c r="AF155" i="4" s="1"/>
  <c r="P155" i="4" s="1"/>
  <c r="AE155" i="4"/>
  <c r="AG155" i="4" s="1"/>
  <c r="O155" i="4" s="1"/>
  <c r="AD436" i="4"/>
  <c r="AF436" i="4" s="1"/>
  <c r="P436" i="4" s="1"/>
  <c r="AE436" i="4"/>
  <c r="AG436" i="4" s="1"/>
  <c r="O436" i="4" s="1"/>
  <c r="AE281" i="4"/>
  <c r="AG281" i="4" s="1"/>
  <c r="O281" i="4" s="1"/>
  <c r="AD281" i="4"/>
  <c r="AF281" i="4" s="1"/>
  <c r="P281" i="4" s="1"/>
  <c r="AE51" i="4"/>
  <c r="AG51" i="4" s="1"/>
  <c r="O51" i="4" s="1"/>
  <c r="AD51" i="4"/>
  <c r="AF51" i="4" s="1"/>
  <c r="P51" i="4" s="1"/>
  <c r="AD477" i="4"/>
  <c r="AF477" i="4" s="1"/>
  <c r="P477" i="4" s="1"/>
  <c r="AE477" i="4"/>
  <c r="AG477" i="4" s="1"/>
  <c r="O477" i="4" s="1"/>
  <c r="AD480" i="4"/>
  <c r="AF480" i="4" s="1"/>
  <c r="P480" i="4" s="1"/>
  <c r="AE480" i="4"/>
  <c r="AG480" i="4" s="1"/>
  <c r="O480" i="4" s="1"/>
  <c r="AE166" i="4"/>
  <c r="AG166" i="4" s="1"/>
  <c r="O166" i="4" s="1"/>
  <c r="AD166" i="4"/>
  <c r="AF166" i="4" s="1"/>
  <c r="P166" i="4" s="1"/>
  <c r="AE82" i="4"/>
  <c r="AG82" i="4" s="1"/>
  <c r="O82" i="4" s="1"/>
  <c r="AD82" i="4"/>
  <c r="AF82" i="4" s="1"/>
  <c r="P82" i="4" s="1"/>
  <c r="AE40" i="4"/>
  <c r="AG40" i="4" s="1"/>
  <c r="O40" i="4" s="1"/>
  <c r="AD40" i="4"/>
  <c r="AF40" i="4" s="1"/>
  <c r="P40" i="4" s="1"/>
  <c r="AD197" i="4"/>
  <c r="AF197" i="4" s="1"/>
  <c r="P197" i="4" s="1"/>
  <c r="AE197" i="4"/>
  <c r="AG197" i="4" s="1"/>
  <c r="O197" i="4" s="1"/>
  <c r="AE420" i="4"/>
  <c r="AG420" i="4" s="1"/>
  <c r="O420" i="4" s="1"/>
  <c r="AD420" i="4"/>
  <c r="AF420" i="4" s="1"/>
  <c r="P420" i="4" s="1"/>
  <c r="AE90" i="4"/>
  <c r="AG90" i="4" s="1"/>
  <c r="O90" i="4" s="1"/>
  <c r="AD90" i="4"/>
  <c r="AF90" i="4" s="1"/>
  <c r="P90" i="4" s="1"/>
  <c r="AD492" i="4"/>
  <c r="AF492" i="4" s="1"/>
  <c r="P492" i="4" s="1"/>
  <c r="AE492" i="4"/>
  <c r="AG492" i="4" s="1"/>
  <c r="O492" i="4" s="1"/>
  <c r="AE170" i="4"/>
  <c r="AG170" i="4" s="1"/>
  <c r="O170" i="4" s="1"/>
  <c r="AD170" i="4"/>
  <c r="AF170" i="4" s="1"/>
  <c r="P170" i="4" s="1"/>
  <c r="AE5" i="4"/>
  <c r="AG5" i="4" s="1"/>
  <c r="O5" i="4" s="1"/>
  <c r="AD5" i="4"/>
  <c r="AF5" i="4" s="1"/>
  <c r="P5" i="4" s="1"/>
  <c r="AE123" i="4"/>
  <c r="AG123" i="4" s="1"/>
  <c r="O123" i="4" s="1"/>
  <c r="AD123" i="4"/>
  <c r="AF123" i="4" s="1"/>
  <c r="P123" i="4" s="1"/>
  <c r="AE49" i="4"/>
  <c r="AG49" i="4" s="1"/>
  <c r="O49" i="4" s="1"/>
  <c r="AD49" i="4"/>
  <c r="AF49" i="4" s="1"/>
  <c r="P49" i="4" s="1"/>
  <c r="AD466" i="4"/>
  <c r="AF466" i="4" s="1"/>
  <c r="P466" i="4" s="1"/>
  <c r="AE466" i="4"/>
  <c r="AG466" i="4" s="1"/>
  <c r="O466" i="4" s="1"/>
  <c r="AE268" i="4"/>
  <c r="AG268" i="4" s="1"/>
  <c r="O268" i="4" s="1"/>
  <c r="AD268" i="4"/>
  <c r="AF268" i="4" s="1"/>
  <c r="P268" i="4" s="1"/>
  <c r="AE360" i="4"/>
  <c r="AG360" i="4" s="1"/>
  <c r="O360" i="4" s="1"/>
  <c r="AD360" i="4"/>
  <c r="AF360" i="4" s="1"/>
  <c r="P360" i="4" s="1"/>
  <c r="AD372" i="4"/>
  <c r="AF372" i="4" s="1"/>
  <c r="P372" i="4" s="1"/>
  <c r="AE372" i="4"/>
  <c r="AG372" i="4" s="1"/>
  <c r="O372" i="4" s="1"/>
  <c r="AE388" i="4"/>
  <c r="AG388" i="4" s="1"/>
  <c r="O388" i="4" s="1"/>
  <c r="AD388" i="4"/>
  <c r="AF388" i="4" s="1"/>
  <c r="P388" i="4" s="1"/>
  <c r="AE241" i="4"/>
  <c r="AG241" i="4" s="1"/>
  <c r="O241" i="4" s="1"/>
  <c r="AD241" i="4"/>
  <c r="AF241" i="4" s="1"/>
  <c r="P241" i="4" s="1"/>
  <c r="AE256" i="4"/>
  <c r="AG256" i="4" s="1"/>
  <c r="O256" i="4" s="1"/>
  <c r="AD256" i="4"/>
  <c r="AF256" i="4" s="1"/>
  <c r="P256" i="4" s="1"/>
  <c r="AD132" i="4"/>
  <c r="AF132" i="4" s="1"/>
  <c r="P132" i="4" s="1"/>
  <c r="AE132" i="4"/>
  <c r="AG132" i="4" s="1"/>
  <c r="O132" i="4" s="1"/>
  <c r="AE86" i="4"/>
  <c r="AG86" i="4" s="1"/>
  <c r="O86" i="4" s="1"/>
  <c r="AD86" i="4"/>
  <c r="AF86" i="4" s="1"/>
  <c r="P86" i="4" s="1"/>
  <c r="AD500" i="4"/>
  <c r="AF500" i="4" s="1"/>
  <c r="P500" i="4" s="1"/>
  <c r="AE500" i="4"/>
  <c r="AG500" i="4" s="1"/>
  <c r="O500" i="4" s="1"/>
  <c r="AD340" i="4"/>
  <c r="AF340" i="4" s="1"/>
  <c r="P340" i="4" s="1"/>
  <c r="AE340" i="4"/>
  <c r="AG340" i="4" s="1"/>
  <c r="O340" i="4" s="1"/>
  <c r="AD225" i="4"/>
  <c r="AF225" i="4" s="1"/>
  <c r="P225" i="4" s="1"/>
  <c r="AE225" i="4"/>
  <c r="AG225" i="4" s="1"/>
  <c r="O225" i="4" s="1"/>
  <c r="AD386" i="4"/>
  <c r="AF386" i="4" s="1"/>
  <c r="P386" i="4" s="1"/>
  <c r="AE386" i="4"/>
  <c r="AG386" i="4" s="1"/>
  <c r="O386" i="4" s="1"/>
  <c r="AD294" i="4"/>
  <c r="AF294" i="4" s="1"/>
  <c r="P294" i="4" s="1"/>
  <c r="AE294" i="4"/>
  <c r="AG294" i="4" s="1"/>
  <c r="O294" i="4" s="1"/>
  <c r="AE154" i="4"/>
  <c r="AG154" i="4" s="1"/>
  <c r="O154" i="4" s="1"/>
  <c r="AD154" i="4"/>
  <c r="AF154" i="4" s="1"/>
  <c r="P154" i="4" s="1"/>
  <c r="AD260" i="4"/>
  <c r="AF260" i="4" s="1"/>
  <c r="P260" i="4" s="1"/>
  <c r="AE260" i="4"/>
  <c r="AG260" i="4" s="1"/>
  <c r="O260" i="4" s="1"/>
  <c r="AE305" i="4"/>
  <c r="AG305" i="4" s="1"/>
  <c r="O305" i="4" s="1"/>
  <c r="AD305" i="4"/>
  <c r="AF305" i="4" s="1"/>
  <c r="P305" i="4" s="1"/>
  <c r="AD490" i="4"/>
  <c r="AF490" i="4" s="1"/>
  <c r="P490" i="4" s="1"/>
  <c r="AE490" i="4"/>
  <c r="AG490" i="4" s="1"/>
  <c r="O490" i="4" s="1"/>
  <c r="AD446" i="4"/>
  <c r="AF446" i="4" s="1"/>
  <c r="P446" i="4" s="1"/>
  <c r="AE446" i="4"/>
  <c r="AG446" i="4" s="1"/>
  <c r="O446" i="4" s="1"/>
  <c r="AE37" i="4"/>
  <c r="AG37" i="4" s="1"/>
  <c r="O37" i="4" s="1"/>
  <c r="AD37" i="4"/>
  <c r="AF37" i="4" s="1"/>
  <c r="P37" i="4" s="1"/>
  <c r="AE431" i="4"/>
  <c r="AG431" i="4" s="1"/>
  <c r="O431" i="4" s="1"/>
  <c r="AD431" i="4"/>
  <c r="AF431" i="4" s="1"/>
  <c r="P431" i="4" s="1"/>
  <c r="AD304" i="4"/>
  <c r="AF304" i="4" s="1"/>
  <c r="P304" i="4" s="1"/>
  <c r="AE304" i="4"/>
  <c r="AG304" i="4" s="1"/>
  <c r="O304" i="4" s="1"/>
  <c r="AD101" i="4"/>
  <c r="AF101" i="4" s="1"/>
  <c r="P101" i="4" s="1"/>
  <c r="AE101" i="4"/>
  <c r="AG101" i="4" s="1"/>
  <c r="O101" i="4" s="1"/>
  <c r="AD413" i="4"/>
  <c r="AF413" i="4" s="1"/>
  <c r="P413" i="4" s="1"/>
  <c r="AE413" i="4"/>
  <c r="AG413" i="4" s="1"/>
  <c r="O413" i="4" s="1"/>
  <c r="AD422" i="4"/>
  <c r="AF422" i="4" s="1"/>
  <c r="P422" i="4" s="1"/>
  <c r="AE422" i="4"/>
  <c r="AG422" i="4" s="1"/>
  <c r="O422" i="4" s="1"/>
  <c r="AE378" i="4"/>
  <c r="AG378" i="4" s="1"/>
  <c r="O378" i="4" s="1"/>
  <c r="AD378" i="4"/>
  <c r="AF378" i="4" s="1"/>
  <c r="P378" i="4" s="1"/>
  <c r="AD414" i="4"/>
  <c r="AF414" i="4" s="1"/>
  <c r="P414" i="4" s="1"/>
  <c r="AE414" i="4"/>
  <c r="AG414" i="4" s="1"/>
  <c r="O414" i="4" s="1"/>
  <c r="AE20" i="4"/>
  <c r="AG20" i="4" s="1"/>
  <c r="O20" i="4" s="1"/>
  <c r="AD20" i="4"/>
  <c r="AF20" i="4" s="1"/>
  <c r="P20" i="4" s="1"/>
  <c r="AD502" i="4"/>
  <c r="AF502" i="4" s="1"/>
  <c r="P502" i="4" s="1"/>
  <c r="AE502" i="4"/>
  <c r="AG502" i="4" s="1"/>
  <c r="O502" i="4" s="1"/>
  <c r="AD389" i="4"/>
  <c r="AF389" i="4" s="1"/>
  <c r="P389" i="4" s="1"/>
  <c r="AE389" i="4"/>
  <c r="AG389" i="4" s="1"/>
  <c r="O389" i="4" s="1"/>
  <c r="AD462" i="4"/>
  <c r="AF462" i="4" s="1"/>
  <c r="P462" i="4" s="1"/>
  <c r="AE462" i="4"/>
  <c r="AG462" i="4" s="1"/>
  <c r="O462" i="4" s="1"/>
  <c r="AD78" i="4"/>
  <c r="AF78" i="4" s="1"/>
  <c r="P78" i="4" s="1"/>
  <c r="AE78" i="4"/>
  <c r="AG78" i="4" s="1"/>
  <c r="O78" i="4" s="1"/>
  <c r="AD402" i="4"/>
  <c r="AF402" i="4" s="1"/>
  <c r="P402" i="4" s="1"/>
  <c r="AE402" i="4"/>
  <c r="AG402" i="4" s="1"/>
  <c r="O402" i="4" s="1"/>
  <c r="AD355" i="4"/>
  <c r="AF355" i="4" s="1"/>
  <c r="P355" i="4" s="1"/>
  <c r="AE355" i="4"/>
  <c r="AG355" i="4" s="1"/>
  <c r="O355" i="4" s="1"/>
  <c r="AD122" i="4"/>
  <c r="AF122" i="4" s="1"/>
  <c r="P122" i="4" s="1"/>
  <c r="AE122" i="4"/>
  <c r="AG122" i="4" s="1"/>
  <c r="O122" i="4" s="1"/>
  <c r="AE192" i="4"/>
  <c r="AG192" i="4" s="1"/>
  <c r="O192" i="4" s="1"/>
  <c r="AD192" i="4"/>
  <c r="AF192" i="4" s="1"/>
  <c r="P192" i="4" s="1"/>
  <c r="AE187" i="4"/>
  <c r="AG187" i="4" s="1"/>
  <c r="O187" i="4" s="1"/>
  <c r="AD187" i="4"/>
  <c r="AF187" i="4" s="1"/>
  <c r="P187" i="4" s="1"/>
  <c r="AD176" i="4"/>
  <c r="AF176" i="4" s="1"/>
  <c r="P176" i="4" s="1"/>
  <c r="AE176" i="4"/>
  <c r="AG176" i="4" s="1"/>
  <c r="O176" i="4" s="1"/>
  <c r="AE182" i="4"/>
  <c r="AG182" i="4" s="1"/>
  <c r="O182" i="4" s="1"/>
  <c r="AD182" i="4"/>
  <c r="AF182" i="4" s="1"/>
  <c r="P182" i="4" s="1"/>
  <c r="AE203" i="4"/>
  <c r="AG203" i="4" s="1"/>
  <c r="O203" i="4" s="1"/>
  <c r="AD203" i="4"/>
  <c r="AF203" i="4" s="1"/>
  <c r="P203" i="4" s="1"/>
  <c r="AE210" i="4"/>
  <c r="AG210" i="4" s="1"/>
  <c r="O210" i="4" s="1"/>
  <c r="AD210" i="4"/>
  <c r="AF210" i="4" s="1"/>
  <c r="P210" i="4" s="1"/>
  <c r="AE30" i="4"/>
  <c r="AG30" i="4" s="1"/>
  <c r="O30" i="4" s="1"/>
  <c r="AD30" i="4"/>
  <c r="AF30" i="4" s="1"/>
  <c r="P30" i="4" s="1"/>
  <c r="AD289" i="4"/>
  <c r="AF289" i="4" s="1"/>
  <c r="P289" i="4" s="1"/>
  <c r="AE289" i="4"/>
  <c r="AG289" i="4" s="1"/>
  <c r="O289" i="4" s="1"/>
  <c r="AE352" i="4"/>
  <c r="AG352" i="4" s="1"/>
  <c r="O352" i="4" s="1"/>
  <c r="AD352" i="4"/>
  <c r="AF352" i="4" s="1"/>
  <c r="P352" i="4" s="1"/>
  <c r="AE254" i="4"/>
  <c r="AG254" i="4" s="1"/>
  <c r="O254" i="4" s="1"/>
  <c r="AD254" i="4"/>
  <c r="AF254" i="4" s="1"/>
  <c r="P254" i="4" s="1"/>
  <c r="AD85" i="4"/>
  <c r="AF85" i="4" s="1"/>
  <c r="P85" i="4" s="1"/>
  <c r="AE85" i="4"/>
  <c r="AG85" i="4" s="1"/>
  <c r="O85" i="4" s="1"/>
  <c r="AD321" i="4"/>
  <c r="AF321" i="4" s="1"/>
  <c r="P321" i="4" s="1"/>
  <c r="AE321" i="4"/>
  <c r="AG321" i="4" s="1"/>
  <c r="O321" i="4" s="1"/>
  <c r="AE174" i="4"/>
  <c r="AG174" i="4" s="1"/>
  <c r="O174" i="4" s="1"/>
  <c r="AD174" i="4"/>
  <c r="AF174" i="4" s="1"/>
  <c r="P174" i="4" s="1"/>
  <c r="AE146" i="4"/>
  <c r="AG146" i="4" s="1"/>
  <c r="O146" i="4" s="1"/>
  <c r="AD146" i="4"/>
  <c r="AF146" i="4" s="1"/>
  <c r="P146" i="4" s="1"/>
  <c r="AE298" i="4"/>
  <c r="AG298" i="4" s="1"/>
  <c r="O298" i="4" s="1"/>
  <c r="AD298" i="4"/>
  <c r="AF298" i="4" s="1"/>
  <c r="P298" i="4" s="1"/>
  <c r="AE80" i="4"/>
  <c r="AG80" i="4" s="1"/>
  <c r="O80" i="4" s="1"/>
  <c r="AD80" i="4"/>
  <c r="AF80" i="4" s="1"/>
  <c r="P80" i="4" s="1"/>
  <c r="AE234" i="4"/>
  <c r="AG234" i="4" s="1"/>
  <c r="O234" i="4" s="1"/>
  <c r="AD234" i="4"/>
  <c r="AF234" i="4" s="1"/>
  <c r="P234" i="4" s="1"/>
  <c r="AE443" i="4"/>
  <c r="AG443" i="4" s="1"/>
  <c r="O443" i="4" s="1"/>
  <c r="AD443" i="4"/>
  <c r="AF443" i="4" s="1"/>
  <c r="P443" i="4" s="1"/>
  <c r="AE418" i="4"/>
  <c r="AG418" i="4" s="1"/>
  <c r="O418" i="4" s="1"/>
  <c r="AD418" i="4"/>
  <c r="AF418" i="4" s="1"/>
  <c r="P418" i="4" s="1"/>
  <c r="AE437" i="4"/>
  <c r="AG437" i="4" s="1"/>
  <c r="O437" i="4" s="1"/>
  <c r="AD437" i="4"/>
  <c r="AF437" i="4" s="1"/>
  <c r="P437" i="4" s="1"/>
  <c r="AD198" i="4"/>
  <c r="AF198" i="4" s="1"/>
  <c r="P198" i="4" s="1"/>
  <c r="AE198" i="4"/>
  <c r="AG198" i="4" s="1"/>
  <c r="O198" i="4" s="1"/>
  <c r="AE143" i="4"/>
  <c r="AG143" i="4" s="1"/>
  <c r="O143" i="4" s="1"/>
  <c r="AD143" i="4"/>
  <c r="AF143" i="4" s="1"/>
  <c r="P143" i="4" s="1"/>
  <c r="AE50" i="4"/>
  <c r="AG50" i="4" s="1"/>
  <c r="O50" i="4" s="1"/>
  <c r="AD50" i="4"/>
  <c r="AF50" i="4" s="1"/>
  <c r="P50" i="4" s="1"/>
  <c r="AE278" i="4"/>
  <c r="AG278" i="4" s="1"/>
  <c r="O278" i="4" s="1"/>
  <c r="AD278" i="4"/>
  <c r="AF278" i="4" s="1"/>
  <c r="P278" i="4" s="1"/>
  <c r="AD283" i="4"/>
  <c r="AF283" i="4" s="1"/>
  <c r="P283" i="4" s="1"/>
  <c r="AE283" i="4"/>
  <c r="AG283" i="4" s="1"/>
  <c r="O283" i="4" s="1"/>
  <c r="AE279" i="4"/>
  <c r="AG279" i="4" s="1"/>
  <c r="O279" i="4" s="1"/>
  <c r="AD279" i="4"/>
  <c r="AF279" i="4" s="1"/>
  <c r="P279" i="4" s="1"/>
  <c r="AD250" i="4"/>
  <c r="AF250" i="4" s="1"/>
  <c r="P250" i="4" s="1"/>
  <c r="AE250" i="4"/>
  <c r="AG250" i="4" s="1"/>
  <c r="O250" i="4" s="1"/>
  <c r="AD473" i="4"/>
  <c r="AF473" i="4" s="1"/>
  <c r="P473" i="4" s="1"/>
  <c r="AE473" i="4"/>
  <c r="AG473" i="4" s="1"/>
  <c r="O473" i="4" s="1"/>
  <c r="AE251" i="4"/>
  <c r="AG251" i="4" s="1"/>
  <c r="O251" i="4" s="1"/>
  <c r="AD251" i="4"/>
  <c r="AF251" i="4" s="1"/>
  <c r="P251" i="4" s="1"/>
  <c r="AD131" i="4"/>
  <c r="AF131" i="4" s="1"/>
  <c r="P131" i="4" s="1"/>
  <c r="AE131" i="4"/>
  <c r="AG131" i="4" s="1"/>
  <c r="O131" i="4" s="1"/>
  <c r="AD330" i="4"/>
  <c r="AF330" i="4" s="1"/>
  <c r="P330" i="4" s="1"/>
  <c r="AE330" i="4"/>
  <c r="AG330" i="4" s="1"/>
  <c r="O330" i="4" s="1"/>
  <c r="AE380" i="4"/>
  <c r="AG380" i="4" s="1"/>
  <c r="O380" i="4" s="1"/>
  <c r="AD380" i="4"/>
  <c r="AF380" i="4" s="1"/>
  <c r="P380" i="4" s="1"/>
  <c r="AE323" i="4"/>
  <c r="AG323" i="4" s="1"/>
  <c r="O323" i="4" s="1"/>
  <c r="AD323" i="4"/>
  <c r="AF323" i="4" s="1"/>
  <c r="P323" i="4" s="1"/>
  <c r="AE299" i="4"/>
  <c r="AG299" i="4" s="1"/>
  <c r="O299" i="4" s="1"/>
  <c r="AD299" i="4"/>
  <c r="AF299" i="4" s="1"/>
  <c r="P299" i="4" s="1"/>
  <c r="AD173" i="4"/>
  <c r="AF173" i="4" s="1"/>
  <c r="P173" i="4" s="1"/>
  <c r="AE173" i="4"/>
  <c r="AG173" i="4" s="1"/>
  <c r="O173" i="4" s="1"/>
  <c r="AD205" i="4"/>
  <c r="AF205" i="4" s="1"/>
  <c r="P205" i="4" s="1"/>
  <c r="AE205" i="4"/>
  <c r="AG205" i="4" s="1"/>
  <c r="O205" i="4" s="1"/>
  <c r="AD407" i="4"/>
  <c r="AF407" i="4" s="1"/>
  <c r="P407" i="4" s="1"/>
  <c r="AE407" i="4"/>
  <c r="AG407" i="4" s="1"/>
  <c r="O407" i="4" s="1"/>
  <c r="AD199" i="4"/>
  <c r="AF199" i="4" s="1"/>
  <c r="P199" i="4" s="1"/>
  <c r="AE199" i="4"/>
  <c r="AG199" i="4" s="1"/>
  <c r="O199" i="4" s="1"/>
  <c r="AD201" i="4"/>
  <c r="AF201" i="4" s="1"/>
  <c r="P201" i="4" s="1"/>
  <c r="AE201" i="4"/>
  <c r="AG201" i="4" s="1"/>
  <c r="O201" i="4" s="1"/>
  <c r="AD41" i="4"/>
  <c r="AF41" i="4" s="1"/>
  <c r="P41" i="4" s="1"/>
  <c r="AE41" i="4"/>
  <c r="AG41" i="4" s="1"/>
  <c r="O41" i="4" s="1"/>
  <c r="AD450" i="4"/>
  <c r="AF450" i="4" s="1"/>
  <c r="P450" i="4" s="1"/>
  <c r="AE450" i="4"/>
  <c r="AG450" i="4" s="1"/>
  <c r="O450" i="4" s="1"/>
  <c r="AE481" i="4"/>
  <c r="AG481" i="4" s="1"/>
  <c r="O481" i="4" s="1"/>
  <c r="AD481" i="4"/>
  <c r="AF481" i="4" s="1"/>
  <c r="P481" i="4" s="1"/>
  <c r="AD248" i="4"/>
  <c r="AF248" i="4" s="1"/>
  <c r="P248" i="4" s="1"/>
  <c r="AE248" i="4"/>
  <c r="AG248" i="4" s="1"/>
  <c r="O248" i="4" s="1"/>
  <c r="AD461" i="4"/>
  <c r="AF461" i="4" s="1"/>
  <c r="P461" i="4" s="1"/>
  <c r="AE461" i="4"/>
  <c r="AG461" i="4" s="1"/>
  <c r="O461" i="4" s="1"/>
  <c r="AD55" i="4"/>
  <c r="AF55" i="4" s="1"/>
  <c r="P55" i="4" s="1"/>
  <c r="AE55" i="4"/>
  <c r="AG55" i="4" s="1"/>
  <c r="O55" i="4" s="1"/>
  <c r="AD391" i="4"/>
  <c r="AF391" i="4" s="1"/>
  <c r="P391" i="4" s="1"/>
  <c r="AE391" i="4"/>
  <c r="AG391" i="4" s="1"/>
  <c r="O391" i="4" s="1"/>
  <c r="AE150" i="4"/>
  <c r="AG150" i="4" s="1"/>
  <c r="O150" i="4" s="1"/>
  <c r="AD150" i="4"/>
  <c r="AF150" i="4" s="1"/>
  <c r="P150" i="4" s="1"/>
  <c r="AE421" i="4"/>
  <c r="AG421" i="4" s="1"/>
  <c r="O421" i="4" s="1"/>
  <c r="AD421" i="4"/>
  <c r="AF421" i="4" s="1"/>
  <c r="P421" i="4" s="1"/>
  <c r="AD408" i="4"/>
  <c r="AF408" i="4" s="1"/>
  <c r="P408" i="4" s="1"/>
  <c r="AE408" i="4"/>
  <c r="AG408" i="4" s="1"/>
  <c r="O408" i="4" s="1"/>
  <c r="AD202" i="4"/>
  <c r="AF202" i="4" s="1"/>
  <c r="P202" i="4" s="1"/>
  <c r="AE202" i="4"/>
  <c r="AG202" i="4" s="1"/>
  <c r="O202" i="4" s="1"/>
  <c r="AE385" i="4"/>
  <c r="AG385" i="4" s="1"/>
  <c r="O385" i="4" s="1"/>
  <c r="AD385" i="4"/>
  <c r="AF385" i="4" s="1"/>
  <c r="P385" i="4" s="1"/>
  <c r="AD379" i="4"/>
  <c r="AF379" i="4" s="1"/>
  <c r="P379" i="4" s="1"/>
  <c r="AE379" i="4"/>
  <c r="AG379" i="4" s="1"/>
  <c r="O379" i="4" s="1"/>
  <c r="AD403" i="4"/>
  <c r="AF403" i="4" s="1"/>
  <c r="P403" i="4" s="1"/>
  <c r="AE403" i="4"/>
  <c r="AG403" i="4" s="1"/>
  <c r="O403" i="4" s="1"/>
  <c r="AD68" i="4"/>
  <c r="AF68" i="4" s="1"/>
  <c r="P68" i="4" s="1"/>
  <c r="AE68" i="4"/>
  <c r="AG68" i="4" s="1"/>
  <c r="O68" i="4" s="1"/>
  <c r="AD302" i="4"/>
  <c r="AF302" i="4" s="1"/>
  <c r="P302" i="4" s="1"/>
  <c r="AE302" i="4"/>
  <c r="AG302" i="4" s="1"/>
  <c r="O302" i="4" s="1"/>
  <c r="AD470" i="4"/>
  <c r="AF470" i="4" s="1"/>
  <c r="P470" i="4" s="1"/>
  <c r="AE470" i="4"/>
  <c r="AG470" i="4" s="1"/>
  <c r="O470" i="4" s="1"/>
  <c r="AD288" i="4"/>
  <c r="AF288" i="4" s="1"/>
  <c r="P288" i="4" s="1"/>
  <c r="AE288" i="4"/>
  <c r="AG288" i="4" s="1"/>
  <c r="O288" i="4" s="1"/>
  <c r="AE164" i="4"/>
  <c r="AG164" i="4" s="1"/>
  <c r="O164" i="4" s="1"/>
  <c r="AD164" i="4"/>
  <c r="AF164" i="4" s="1"/>
  <c r="P164" i="4" s="1"/>
  <c r="AE295" i="4"/>
  <c r="AG295" i="4" s="1"/>
  <c r="O295" i="4" s="1"/>
  <c r="AD295" i="4"/>
  <c r="AF295" i="4" s="1"/>
  <c r="P295" i="4" s="1"/>
  <c r="AE147" i="4"/>
  <c r="AG147" i="4" s="1"/>
  <c r="O147" i="4" s="1"/>
  <c r="AD147" i="4"/>
  <c r="AF147" i="4" s="1"/>
  <c r="P147" i="4" s="1"/>
  <c r="AD249" i="4"/>
  <c r="AF249" i="4" s="1"/>
  <c r="P249" i="4" s="1"/>
  <c r="AE249" i="4"/>
  <c r="AG249" i="4" s="1"/>
  <c r="O249" i="4" s="1"/>
  <c r="AE36" i="4"/>
  <c r="AG36" i="4" s="1"/>
  <c r="O36" i="4" s="1"/>
  <c r="AD36" i="4"/>
  <c r="AF36" i="4" s="1"/>
  <c r="P36" i="4" s="1"/>
  <c r="AE501" i="4"/>
  <c r="AG501" i="4" s="1"/>
  <c r="O501" i="4" s="1"/>
  <c r="AD501" i="4"/>
  <c r="AF501" i="4" s="1"/>
  <c r="P501" i="4" s="1"/>
  <c r="AD447" i="4"/>
  <c r="AF447" i="4" s="1"/>
  <c r="P447" i="4" s="1"/>
  <c r="AE447" i="4"/>
  <c r="AG447" i="4" s="1"/>
  <c r="O447" i="4" s="1"/>
  <c r="AD484" i="4"/>
  <c r="AF484" i="4" s="1"/>
  <c r="P484" i="4" s="1"/>
  <c r="AE484" i="4"/>
  <c r="AG484" i="4" s="1"/>
  <c r="O484" i="4" s="1"/>
  <c r="AD133" i="4"/>
  <c r="AF133" i="4" s="1"/>
  <c r="P133" i="4" s="1"/>
  <c r="AE133" i="4"/>
  <c r="AG133" i="4" s="1"/>
  <c r="O133" i="4" s="1"/>
  <c r="AD382" i="4"/>
  <c r="AF382" i="4" s="1"/>
  <c r="P382" i="4" s="1"/>
  <c r="AE382" i="4"/>
  <c r="AG382" i="4" s="1"/>
  <c r="O382" i="4" s="1"/>
  <c r="AD296" i="4"/>
  <c r="AF296" i="4" s="1"/>
  <c r="P296" i="4" s="1"/>
  <c r="AE296" i="4"/>
  <c r="AG296" i="4" s="1"/>
  <c r="O296" i="4" s="1"/>
  <c r="AE270" i="4"/>
  <c r="AG270" i="4" s="1"/>
  <c r="O270" i="4" s="1"/>
  <c r="AD270" i="4"/>
  <c r="AF270" i="4" s="1"/>
  <c r="P270" i="4" s="1"/>
  <c r="AD474" i="4"/>
  <c r="AF474" i="4" s="1"/>
  <c r="P474" i="4" s="1"/>
  <c r="AE474" i="4"/>
  <c r="AG474" i="4" s="1"/>
  <c r="O474" i="4" s="1"/>
  <c r="AE376" i="4"/>
  <c r="AG376" i="4" s="1"/>
  <c r="O376" i="4" s="1"/>
  <c r="AD376" i="4"/>
  <c r="AF376" i="4" s="1"/>
  <c r="P376" i="4" s="1"/>
  <c r="AD315" i="4"/>
  <c r="AF315" i="4" s="1"/>
  <c r="P315" i="4" s="1"/>
  <c r="AE315" i="4"/>
  <c r="AG315" i="4" s="1"/>
  <c r="O315" i="4" s="1"/>
  <c r="AD33" i="4"/>
  <c r="AF33" i="4" s="1"/>
  <c r="P33" i="4" s="1"/>
  <c r="AE33" i="4"/>
  <c r="AG33" i="4" s="1"/>
  <c r="O33" i="4" s="1"/>
  <c r="AE83" i="4"/>
  <c r="AG83" i="4" s="1"/>
  <c r="O83" i="4" s="1"/>
  <c r="AD83" i="4"/>
  <c r="AF83" i="4" s="1"/>
  <c r="P83" i="4" s="1"/>
  <c r="AD185" i="4"/>
  <c r="AF185" i="4" s="1"/>
  <c r="P185" i="4" s="1"/>
  <c r="AE185" i="4"/>
  <c r="AG185" i="4" s="1"/>
  <c r="O185" i="4" s="1"/>
  <c r="AE261" i="4"/>
  <c r="AG261" i="4" s="1"/>
  <c r="O261" i="4" s="1"/>
  <c r="AD261" i="4"/>
  <c r="AF261" i="4" s="1"/>
  <c r="P261" i="4" s="1"/>
  <c r="AE231" i="4"/>
  <c r="AG231" i="4" s="1"/>
  <c r="O231" i="4" s="1"/>
  <c r="AD231" i="4"/>
  <c r="AF231" i="4" s="1"/>
  <c r="P231" i="4" s="1"/>
  <c r="AD429" i="4"/>
  <c r="AF429" i="4" s="1"/>
  <c r="P429" i="4" s="1"/>
  <c r="AE429" i="4"/>
  <c r="AG429" i="4" s="1"/>
  <c r="O429" i="4" s="1"/>
  <c r="AE471" i="4"/>
  <c r="AG471" i="4" s="1"/>
  <c r="O471" i="4" s="1"/>
  <c r="AD471" i="4"/>
  <c r="AF471" i="4" s="1"/>
  <c r="P471" i="4" s="1"/>
  <c r="AD130" i="4"/>
  <c r="AF130" i="4" s="1"/>
  <c r="P130" i="4" s="1"/>
  <c r="AE130" i="4"/>
  <c r="AG130" i="4" s="1"/>
  <c r="O130" i="4" s="1"/>
  <c r="AE316" i="4"/>
  <c r="AG316" i="4" s="1"/>
  <c r="O316" i="4" s="1"/>
  <c r="AD316" i="4"/>
  <c r="AF316" i="4" s="1"/>
  <c r="P316" i="4" s="1"/>
  <c r="AD332" i="4"/>
  <c r="AF332" i="4" s="1"/>
  <c r="P332" i="4" s="1"/>
  <c r="AE332" i="4"/>
  <c r="AG332" i="4" s="1"/>
  <c r="O332" i="4" s="1"/>
  <c r="AD226" i="4"/>
  <c r="AF226" i="4" s="1"/>
  <c r="P226" i="4" s="1"/>
  <c r="AE226" i="4"/>
  <c r="AG226" i="4" s="1"/>
  <c r="O226" i="4" s="1"/>
  <c r="AE139" i="4"/>
  <c r="AG139" i="4" s="1"/>
  <c r="O139" i="4" s="1"/>
  <c r="AD139" i="4"/>
  <c r="AF139" i="4" s="1"/>
  <c r="P139" i="4" s="1"/>
  <c r="AD35" i="4"/>
  <c r="AF35" i="4" s="1"/>
  <c r="P35" i="4" s="1"/>
  <c r="AE35" i="4"/>
  <c r="AG35" i="4" s="1"/>
  <c r="O35" i="4" s="1"/>
  <c r="AD116" i="4"/>
  <c r="AF116" i="4" s="1"/>
  <c r="P116" i="4" s="1"/>
  <c r="AE116" i="4"/>
  <c r="AG116" i="4" s="1"/>
  <c r="O116" i="4" s="1"/>
  <c r="AD255" i="4"/>
  <c r="AF255" i="4" s="1"/>
  <c r="P255" i="4" s="1"/>
  <c r="AE255" i="4"/>
  <c r="AG255" i="4" s="1"/>
  <c r="O255" i="4" s="1"/>
  <c r="AD193" i="4"/>
  <c r="AF193" i="4" s="1"/>
  <c r="P193" i="4" s="1"/>
  <c r="AE193" i="4"/>
  <c r="AG193" i="4" s="1"/>
  <c r="O193" i="4" s="1"/>
  <c r="AD195" i="4"/>
  <c r="AF195" i="4" s="1"/>
  <c r="P195" i="4" s="1"/>
  <c r="AE195" i="4"/>
  <c r="AG195" i="4" s="1"/>
  <c r="O195" i="4" s="1"/>
  <c r="AE54" i="4"/>
  <c r="AG54" i="4" s="1"/>
  <c r="O54" i="4" s="1"/>
  <c r="AD54" i="4"/>
  <c r="AF54" i="4" s="1"/>
  <c r="P54" i="4" s="1"/>
  <c r="AE72" i="4"/>
  <c r="AG72" i="4" s="1"/>
  <c r="O72" i="4" s="1"/>
  <c r="AD72" i="4"/>
  <c r="AF72" i="4" s="1"/>
  <c r="P72" i="4" s="1"/>
  <c r="AD237" i="4"/>
  <c r="AF237" i="4" s="1"/>
  <c r="P237" i="4" s="1"/>
  <c r="AE237" i="4"/>
  <c r="AG237" i="4" s="1"/>
  <c r="O237" i="4" s="1"/>
  <c r="AE310" i="4"/>
  <c r="AG310" i="4" s="1"/>
  <c r="O310" i="4" s="1"/>
  <c r="AD310" i="4"/>
  <c r="AF310" i="4" s="1"/>
  <c r="P310" i="4" s="1"/>
  <c r="AD52" i="4"/>
  <c r="AF52" i="4" s="1"/>
  <c r="P52" i="4" s="1"/>
  <c r="AE52" i="4"/>
  <c r="AG52" i="4" s="1"/>
  <c r="O52" i="4" s="1"/>
  <c r="AE168" i="4"/>
  <c r="AG168" i="4" s="1"/>
  <c r="O168" i="4" s="1"/>
  <c r="AD168" i="4"/>
  <c r="AF168" i="4" s="1"/>
  <c r="P168" i="4" s="1"/>
  <c r="AD213" i="4"/>
  <c r="AF213" i="4" s="1"/>
  <c r="P213" i="4" s="1"/>
  <c r="AE213" i="4"/>
  <c r="AG213" i="4" s="1"/>
  <c r="O213" i="4" s="1"/>
  <c r="AE498" i="4"/>
  <c r="AG498" i="4" s="1"/>
  <c r="O498" i="4" s="1"/>
  <c r="AD498" i="4"/>
  <c r="AF498" i="4" s="1"/>
  <c r="P498" i="4" s="1"/>
  <c r="AD229" i="4"/>
  <c r="AF229" i="4" s="1"/>
  <c r="P229" i="4" s="1"/>
  <c r="AE229" i="4"/>
  <c r="AG229" i="4" s="1"/>
  <c r="O229" i="4" s="1"/>
  <c r="AD499" i="4"/>
  <c r="AF499" i="4" s="1"/>
  <c r="P499" i="4" s="1"/>
  <c r="AE499" i="4"/>
  <c r="AG499" i="4" s="1"/>
  <c r="O499" i="4" s="1"/>
  <c r="AD354" i="4"/>
  <c r="AF354" i="4" s="1"/>
  <c r="P354" i="4" s="1"/>
  <c r="AE354" i="4"/>
  <c r="AG354" i="4" s="1"/>
  <c r="O354" i="4" s="1"/>
  <c r="AD59" i="4"/>
  <c r="AF59" i="4" s="1"/>
  <c r="P59" i="4" s="1"/>
  <c r="AE59" i="4"/>
  <c r="AG59" i="4" s="1"/>
  <c r="O59" i="4" s="1"/>
  <c r="AD269" i="4"/>
  <c r="AF269" i="4" s="1"/>
  <c r="P269" i="4" s="1"/>
  <c r="AE269" i="4"/>
  <c r="AG269" i="4" s="1"/>
  <c r="O269" i="4" s="1"/>
  <c r="AE127" i="4"/>
  <c r="AG127" i="4" s="1"/>
  <c r="O127" i="4" s="1"/>
  <c r="AD127" i="4"/>
  <c r="AF127" i="4" s="1"/>
  <c r="P127" i="4" s="1"/>
  <c r="AE247" i="4"/>
  <c r="AG247" i="4" s="1"/>
  <c r="O247" i="4" s="1"/>
  <c r="AD247" i="4"/>
  <c r="AF247" i="4" s="1"/>
  <c r="P247" i="4" s="1"/>
  <c r="AD333" i="4"/>
  <c r="AF333" i="4" s="1"/>
  <c r="P333" i="4" s="1"/>
  <c r="AE333" i="4"/>
  <c r="AG333" i="4" s="1"/>
  <c r="O333" i="4" s="1"/>
  <c r="AD81" i="4"/>
  <c r="AF81" i="4" s="1"/>
  <c r="P81" i="4" s="1"/>
  <c r="AE81" i="4"/>
  <c r="AG81" i="4" s="1"/>
  <c r="O81" i="4" s="1"/>
  <c r="AE158" i="4"/>
  <c r="AG158" i="4" s="1"/>
  <c r="O158" i="4" s="1"/>
  <c r="AD158" i="4"/>
  <c r="AF158" i="4" s="1"/>
  <c r="P158" i="4" s="1"/>
  <c r="AD384" i="4"/>
  <c r="AF384" i="4" s="1"/>
  <c r="P384" i="4" s="1"/>
  <c r="AE384" i="4"/>
  <c r="AG384" i="4" s="1"/>
  <c r="O384" i="4" s="1"/>
  <c r="AD106" i="4"/>
  <c r="AF106" i="4" s="1"/>
  <c r="P106" i="4" s="1"/>
  <c r="AE106" i="4"/>
  <c r="AG106" i="4" s="1"/>
  <c r="O106" i="4" s="1"/>
  <c r="AE390" i="4"/>
  <c r="AG390" i="4" s="1"/>
  <c r="O390" i="4" s="1"/>
  <c r="AD390" i="4"/>
  <c r="AF390" i="4" s="1"/>
  <c r="P390" i="4" s="1"/>
  <c r="AE365" i="4"/>
  <c r="AG365" i="4" s="1"/>
  <c r="O365" i="4" s="1"/>
  <c r="AD365" i="4"/>
  <c r="AF365" i="4" s="1"/>
  <c r="P365" i="4" s="1"/>
  <c r="AD284" i="4"/>
  <c r="AF284" i="4" s="1"/>
  <c r="P284" i="4" s="1"/>
  <c r="AE284" i="4"/>
  <c r="AG284" i="4" s="1"/>
  <c r="O284" i="4" s="1"/>
  <c r="AE167" i="4"/>
  <c r="AG167" i="4" s="1"/>
  <c r="O167" i="4" s="1"/>
  <c r="AD167" i="4"/>
  <c r="AF167" i="4" s="1"/>
  <c r="P167" i="4" s="1"/>
  <c r="AE235" i="4"/>
  <c r="AG235" i="4" s="1"/>
  <c r="O235" i="4" s="1"/>
  <c r="AD235" i="4"/>
  <c r="AF235" i="4" s="1"/>
  <c r="P235" i="4" s="1"/>
  <c r="AE53" i="4"/>
  <c r="AG53" i="4" s="1"/>
  <c r="O53" i="4" s="1"/>
  <c r="AD53" i="4"/>
  <c r="AF53" i="4" s="1"/>
  <c r="P53" i="4" s="1"/>
  <c r="AE290" i="4"/>
  <c r="AG290" i="4" s="1"/>
  <c r="O290" i="4" s="1"/>
  <c r="AD290" i="4"/>
  <c r="AF290" i="4" s="1"/>
  <c r="P290" i="4" s="1"/>
  <c r="AD493" i="4"/>
  <c r="AF493" i="4" s="1"/>
  <c r="P493" i="4" s="1"/>
  <c r="AE493" i="4"/>
  <c r="AG493" i="4" s="1"/>
  <c r="O493" i="4" s="1"/>
  <c r="AD223" i="4"/>
  <c r="AF223" i="4" s="1"/>
  <c r="P223" i="4" s="1"/>
  <c r="AE223" i="4"/>
  <c r="AG223" i="4" s="1"/>
  <c r="O223" i="4" s="1"/>
  <c r="AE240" i="4"/>
  <c r="AG240" i="4" s="1"/>
  <c r="O240" i="4" s="1"/>
  <c r="AD240" i="4"/>
  <c r="AF240" i="4" s="1"/>
  <c r="P240" i="4" s="1"/>
  <c r="AE276" i="4"/>
  <c r="AG276" i="4" s="1"/>
  <c r="O276" i="4" s="1"/>
  <c r="AD276" i="4"/>
  <c r="AF276" i="4" s="1"/>
  <c r="P276" i="4" s="1"/>
  <c r="AD63" i="4"/>
  <c r="AF63" i="4" s="1"/>
  <c r="P63" i="4" s="1"/>
  <c r="AE63" i="4"/>
  <c r="AG63" i="4" s="1"/>
  <c r="O63" i="4" s="1"/>
  <c r="AE162" i="4"/>
  <c r="AG162" i="4" s="1"/>
  <c r="O162" i="4" s="1"/>
  <c r="AD162" i="4"/>
  <c r="AF162" i="4" s="1"/>
  <c r="P162" i="4" s="1"/>
  <c r="AE184" i="4"/>
  <c r="AG184" i="4" s="1"/>
  <c r="O184" i="4" s="1"/>
  <c r="AD184" i="4"/>
  <c r="AF184" i="4" s="1"/>
  <c r="P184" i="4" s="1"/>
  <c r="AE487" i="4"/>
  <c r="AG487" i="4" s="1"/>
  <c r="O487" i="4" s="1"/>
  <c r="AD487" i="4"/>
  <c r="AF487" i="4" s="1"/>
  <c r="P487" i="4" s="1"/>
  <c r="AD110" i="4"/>
  <c r="AF110" i="4" s="1"/>
  <c r="P110" i="4" s="1"/>
  <c r="AE110" i="4"/>
  <c r="AG110" i="4" s="1"/>
  <c r="O110" i="4" s="1"/>
  <c r="AD43" i="4"/>
  <c r="AF43" i="4" s="1"/>
  <c r="P43" i="4" s="1"/>
  <c r="AE43" i="4"/>
  <c r="AG43" i="4" s="1"/>
  <c r="O43" i="4" s="1"/>
  <c r="AE144" i="4"/>
  <c r="AG144" i="4" s="1"/>
  <c r="O144" i="4" s="1"/>
  <c r="AD144" i="4"/>
  <c r="AF144" i="4" s="1"/>
  <c r="P144" i="4" s="1"/>
  <c r="AD204" i="4"/>
  <c r="AF204" i="4" s="1"/>
  <c r="P204" i="4" s="1"/>
  <c r="AE204" i="4"/>
  <c r="AG204" i="4" s="1"/>
  <c r="O204" i="4" s="1"/>
  <c r="AE224" i="4"/>
  <c r="AG224" i="4" s="1"/>
  <c r="O224" i="4" s="1"/>
  <c r="AD224" i="4"/>
  <c r="AF224" i="4" s="1"/>
  <c r="P224" i="4" s="1"/>
  <c r="AE412" i="4"/>
  <c r="AG412" i="4" s="1"/>
  <c r="O412" i="4" s="1"/>
  <c r="AD412" i="4"/>
  <c r="AF412" i="4" s="1"/>
  <c r="P412" i="4" s="1"/>
  <c r="AE151" i="4"/>
  <c r="AG151" i="4" s="1"/>
  <c r="O151" i="4" s="1"/>
  <c r="AD151" i="4"/>
  <c r="AF151" i="4" s="1"/>
  <c r="P151" i="4" s="1"/>
  <c r="AE69" i="4"/>
  <c r="AG69" i="4" s="1"/>
  <c r="O69" i="4" s="1"/>
  <c r="AD69" i="4"/>
  <c r="AF69" i="4" s="1"/>
  <c r="P69" i="4" s="1"/>
  <c r="AE311" i="4"/>
  <c r="AG311" i="4" s="1"/>
  <c r="O311" i="4" s="1"/>
  <c r="AD311" i="4"/>
  <c r="AF311" i="4" s="1"/>
  <c r="P311" i="4" s="1"/>
  <c r="AD433" i="4"/>
  <c r="AF433" i="4" s="1"/>
  <c r="P433" i="4" s="1"/>
  <c r="AE433" i="4"/>
  <c r="AG433" i="4" s="1"/>
  <c r="O433" i="4" s="1"/>
  <c r="AD215" i="4"/>
  <c r="AF215" i="4" s="1"/>
  <c r="P215" i="4" s="1"/>
  <c r="AE215" i="4"/>
  <c r="AG215" i="4" s="1"/>
  <c r="O215" i="4" s="1"/>
  <c r="AE349" i="4"/>
  <c r="AG349" i="4" s="1"/>
  <c r="O349" i="4" s="1"/>
  <c r="AD349" i="4"/>
  <c r="AF349" i="4" s="1"/>
  <c r="P349" i="4" s="1"/>
  <c r="AD348" i="4"/>
  <c r="AF348" i="4" s="1"/>
  <c r="P348" i="4" s="1"/>
  <c r="AE348" i="4"/>
  <c r="AG348" i="4" s="1"/>
  <c r="O348" i="4" s="1"/>
  <c r="AE4" i="4"/>
  <c r="AG4" i="4" s="1"/>
  <c r="O4" i="4" s="1"/>
  <c r="AD4" i="4"/>
  <c r="AF4" i="4" s="1"/>
  <c r="P4" i="4" s="1"/>
  <c r="AE109" i="4"/>
  <c r="AG109" i="4" s="1"/>
  <c r="O109" i="4" s="1"/>
  <c r="AD109" i="4"/>
  <c r="AF109" i="4" s="1"/>
  <c r="P109" i="4" s="1"/>
  <c r="AE135" i="4"/>
  <c r="AG135" i="4" s="1"/>
  <c r="O135" i="4" s="1"/>
  <c r="AD135" i="4"/>
  <c r="AF135" i="4" s="1"/>
  <c r="P135" i="4" s="1"/>
  <c r="AD183" i="4"/>
  <c r="AF183" i="4" s="1"/>
  <c r="P183" i="4" s="1"/>
  <c r="AE183" i="4"/>
  <c r="AG183" i="4" s="1"/>
  <c r="O183" i="4" s="1"/>
  <c r="AE98" i="4"/>
  <c r="AG98" i="4" s="1"/>
  <c r="O98" i="4" s="1"/>
  <c r="AD98" i="4"/>
  <c r="AF98" i="4" s="1"/>
  <c r="P98" i="4" s="1"/>
  <c r="AD342" i="4"/>
  <c r="AF342" i="4" s="1"/>
  <c r="P342" i="4" s="1"/>
  <c r="AE342" i="4"/>
  <c r="AG342" i="4" s="1"/>
  <c r="O342" i="4" s="1"/>
  <c r="AE445" i="4"/>
  <c r="AG445" i="4" s="1"/>
  <c r="O445" i="4" s="1"/>
  <c r="AD445" i="4"/>
  <c r="AF445" i="4" s="1"/>
  <c r="P445" i="4" s="1"/>
  <c r="AD67" i="4"/>
  <c r="AF67" i="4" s="1"/>
  <c r="P67" i="4" s="1"/>
  <c r="AE67" i="4"/>
  <c r="AG67" i="4" s="1"/>
  <c r="O67" i="4" s="1"/>
  <c r="AE161" i="4"/>
  <c r="AG161" i="4" s="1"/>
  <c r="O161" i="4" s="1"/>
  <c r="AD161" i="4"/>
  <c r="AF161" i="4" s="1"/>
  <c r="P161" i="4" s="1"/>
  <c r="AD441" i="4"/>
  <c r="AF441" i="4" s="1"/>
  <c r="P441" i="4" s="1"/>
  <c r="AE441" i="4"/>
  <c r="AG441" i="4" s="1"/>
  <c r="O441" i="4" s="1"/>
  <c r="AD478" i="4"/>
  <c r="AF478" i="4" s="1"/>
  <c r="P478" i="4" s="1"/>
  <c r="AE478" i="4"/>
  <c r="AG478" i="4" s="1"/>
  <c r="O478" i="4" s="1"/>
  <c r="AD186" i="4"/>
  <c r="AF186" i="4" s="1"/>
  <c r="P186" i="4" s="1"/>
  <c r="AE186" i="4"/>
  <c r="AG186" i="4" s="1"/>
  <c r="O186" i="4" s="1"/>
  <c r="AE442" i="4"/>
  <c r="AG442" i="4" s="1"/>
  <c r="O442" i="4" s="1"/>
  <c r="AD442" i="4"/>
  <c r="AF442" i="4" s="1"/>
  <c r="P442" i="4" s="1"/>
  <c r="AE467" i="4"/>
  <c r="AG467" i="4" s="1"/>
  <c r="O467" i="4" s="1"/>
  <c r="AD467" i="4"/>
  <c r="AF467" i="4" s="1"/>
  <c r="P467" i="4" s="1"/>
  <c r="AD105" i="4"/>
  <c r="AF105" i="4" s="1"/>
  <c r="P105" i="4" s="1"/>
  <c r="AE105" i="4"/>
  <c r="AG105" i="4" s="1"/>
  <c r="O105" i="4" s="1"/>
  <c r="AD317" i="4"/>
  <c r="AF317" i="4" s="1"/>
  <c r="P317" i="4" s="1"/>
  <c r="AE317" i="4"/>
  <c r="AG317" i="4" s="1"/>
  <c r="O317" i="4" s="1"/>
  <c r="AE104" i="4"/>
  <c r="AG104" i="4" s="1"/>
  <c r="O104" i="4" s="1"/>
  <c r="AD104" i="4"/>
  <c r="AF104" i="4" s="1"/>
  <c r="P104" i="4" s="1"/>
  <c r="AE137" i="4"/>
  <c r="AG137" i="4" s="1"/>
  <c r="O137" i="4" s="1"/>
  <c r="AD137" i="4"/>
  <c r="AF137" i="4" s="1"/>
  <c r="P137" i="4" s="1"/>
  <c r="AE336" i="4"/>
  <c r="AG336" i="4" s="1"/>
  <c r="O336" i="4" s="1"/>
  <c r="AD336" i="4"/>
  <c r="AF336" i="4" s="1"/>
  <c r="P336" i="4" s="1"/>
  <c r="AE113" i="4"/>
  <c r="AG113" i="4" s="1"/>
  <c r="O113" i="4" s="1"/>
  <c r="AD113" i="4"/>
  <c r="AF113" i="4" s="1"/>
  <c r="P113" i="4" s="1"/>
  <c r="AD94" i="4"/>
  <c r="AF94" i="4" s="1"/>
  <c r="P94" i="4" s="1"/>
  <c r="AE94" i="4"/>
  <c r="AG94" i="4" s="1"/>
  <c r="O94" i="4" s="1"/>
  <c r="AE200" i="4"/>
  <c r="AG200" i="4" s="1"/>
  <c r="O200" i="4" s="1"/>
  <c r="AD200" i="4"/>
  <c r="AF200" i="4" s="1"/>
  <c r="P200" i="4" s="1"/>
  <c r="AE439" i="4"/>
  <c r="AG439" i="4" s="1"/>
  <c r="O439" i="4" s="1"/>
  <c r="AD439" i="4"/>
  <c r="AF439" i="4" s="1"/>
  <c r="P439" i="4" s="1"/>
  <c r="AE430" i="4"/>
  <c r="AG430" i="4" s="1"/>
  <c r="O430" i="4" s="1"/>
  <c r="AD430" i="4"/>
  <c r="AF430" i="4" s="1"/>
  <c r="P430" i="4" s="1"/>
  <c r="AD460" i="4"/>
  <c r="AF460" i="4" s="1"/>
  <c r="P460" i="4" s="1"/>
  <c r="AE460" i="4"/>
  <c r="AG460" i="4" s="1"/>
  <c r="O460" i="4" s="1"/>
  <c r="AE324" i="4"/>
  <c r="AG324" i="4" s="1"/>
  <c r="O324" i="4" s="1"/>
  <c r="AD324" i="4"/>
  <c r="AF324" i="4" s="1"/>
  <c r="P324" i="4" s="1"/>
  <c r="AE169" i="4"/>
  <c r="AG169" i="4" s="1"/>
  <c r="O169" i="4" s="1"/>
  <c r="AD169" i="4"/>
  <c r="AF169" i="4" s="1"/>
  <c r="P169" i="4" s="1"/>
  <c r="AD456" i="4"/>
  <c r="AF456" i="4" s="1"/>
  <c r="P456" i="4" s="1"/>
  <c r="AE456" i="4"/>
  <c r="AG456" i="4" s="1"/>
  <c r="O456" i="4" s="1"/>
  <c r="AE416" i="4"/>
  <c r="AG416" i="4" s="1"/>
  <c r="O416" i="4" s="1"/>
  <c r="AD416" i="4"/>
  <c r="AF416" i="4" s="1"/>
  <c r="P416" i="4" s="1"/>
  <c r="AE219" i="4"/>
  <c r="AG219" i="4" s="1"/>
  <c r="O219" i="4" s="1"/>
  <c r="AD219" i="4"/>
  <c r="AF219" i="4" s="1"/>
  <c r="P219" i="4" s="1"/>
  <c r="AD233" i="4"/>
  <c r="AF233" i="4" s="1"/>
  <c r="P233" i="4" s="1"/>
  <c r="AE233" i="4"/>
  <c r="AG233" i="4" s="1"/>
  <c r="O233" i="4" s="1"/>
  <c r="AE428" i="4"/>
  <c r="AG428" i="4" s="1"/>
  <c r="O428" i="4" s="1"/>
  <c r="AD428" i="4"/>
  <c r="AF428" i="4" s="1"/>
  <c r="P428" i="4" s="1"/>
  <c r="AE64" i="4"/>
  <c r="AG64" i="4" s="1"/>
  <c r="O64" i="4" s="1"/>
  <c r="AD64" i="4"/>
  <c r="AF64" i="4" s="1"/>
  <c r="P64" i="4" s="1"/>
  <c r="AD62" i="4"/>
  <c r="AF62" i="4" s="1"/>
  <c r="P62" i="4" s="1"/>
  <c r="AE62" i="4"/>
  <c r="AG62" i="4" s="1"/>
  <c r="O62" i="4" s="1"/>
  <c r="AE318" i="4"/>
  <c r="AG318" i="4" s="1"/>
  <c r="O318" i="4" s="1"/>
  <c r="AD318" i="4"/>
  <c r="AF318" i="4" s="1"/>
  <c r="P318" i="4" s="1"/>
  <c r="AE308" i="4"/>
  <c r="AG308" i="4" s="1"/>
  <c r="O308" i="4" s="1"/>
  <c r="AD308" i="4"/>
  <c r="AF308" i="4" s="1"/>
  <c r="P308" i="4" s="1"/>
  <c r="AE134" i="4"/>
  <c r="AG134" i="4" s="1"/>
  <c r="O134" i="4" s="1"/>
  <c r="AD134" i="4"/>
  <c r="AF134" i="4" s="1"/>
  <c r="P134" i="4" s="1"/>
  <c r="AD88" i="4"/>
  <c r="AF88" i="4" s="1"/>
  <c r="P88" i="4" s="1"/>
  <c r="AE88" i="4"/>
  <c r="AG88" i="4" s="1"/>
  <c r="O88" i="4" s="1"/>
  <c r="AD406" i="4"/>
  <c r="AF406" i="4" s="1"/>
  <c r="P406" i="4" s="1"/>
  <c r="AE406" i="4"/>
  <c r="AG406" i="4" s="1"/>
  <c r="O406" i="4" s="1"/>
  <c r="AD194" i="4"/>
  <c r="AF194" i="4" s="1"/>
  <c r="P194" i="4" s="1"/>
  <c r="AE194" i="4"/>
  <c r="AG194" i="4" s="1"/>
  <c r="O194" i="4" s="1"/>
  <c r="AD25" i="4"/>
  <c r="AF25" i="4" s="1"/>
  <c r="P25" i="4" s="1"/>
  <c r="AE25" i="4"/>
  <c r="AG25" i="4" s="1"/>
  <c r="O25" i="4" s="1"/>
  <c r="AE297" i="4"/>
  <c r="AG297" i="4" s="1"/>
  <c r="O297" i="4" s="1"/>
  <c r="AD297" i="4"/>
  <c r="AF297" i="4" s="1"/>
  <c r="P297" i="4" s="1"/>
  <c r="AE177" i="4"/>
  <c r="AG177" i="4" s="1"/>
  <c r="O177" i="4" s="1"/>
  <c r="AD177" i="4"/>
  <c r="AF177" i="4" s="1"/>
  <c r="P177" i="4" s="1"/>
  <c r="AE496" i="4"/>
  <c r="AG496" i="4" s="1"/>
  <c r="O496" i="4" s="1"/>
  <c r="AD496" i="4"/>
  <c r="AF496" i="4" s="1"/>
  <c r="P496" i="4" s="1"/>
  <c r="AE56" i="4"/>
  <c r="AG56" i="4" s="1"/>
  <c r="O56" i="4" s="1"/>
  <c r="AD56" i="4"/>
  <c r="AF56" i="4" s="1"/>
  <c r="P56" i="4" s="1"/>
  <c r="AD451" i="4"/>
  <c r="AF451" i="4" s="1"/>
  <c r="P451" i="4" s="1"/>
  <c r="AE451" i="4"/>
  <c r="AG451" i="4" s="1"/>
  <c r="O451" i="4" s="1"/>
  <c r="AD84" i="4"/>
  <c r="AF84" i="4" s="1"/>
  <c r="P84" i="4" s="1"/>
  <c r="AE84" i="4"/>
  <c r="AG84" i="4" s="1"/>
  <c r="O84" i="4" s="1"/>
  <c r="AE327" i="4"/>
  <c r="AG327" i="4" s="1"/>
  <c r="O327" i="4" s="1"/>
  <c r="AD327" i="4"/>
  <c r="AF327" i="4" s="1"/>
  <c r="P327" i="4" s="1"/>
  <c r="AE371" i="4"/>
  <c r="AG371" i="4" s="1"/>
  <c r="O371" i="4" s="1"/>
  <c r="AD371" i="4"/>
  <c r="AF371" i="4" s="1"/>
  <c r="P371" i="4" s="1"/>
  <c r="AE405" i="4"/>
  <c r="AG405" i="4" s="1"/>
  <c r="O405" i="4" s="1"/>
  <c r="AD405" i="4"/>
  <c r="AF405" i="4" s="1"/>
  <c r="P405" i="4" s="1"/>
  <c r="AD291" i="4"/>
  <c r="AF291" i="4" s="1"/>
  <c r="P291" i="4" s="1"/>
  <c r="AE291" i="4"/>
  <c r="AG291" i="4" s="1"/>
  <c r="O291" i="4" s="1"/>
  <c r="AD211" i="4"/>
  <c r="AF211" i="4" s="1"/>
  <c r="P211" i="4" s="1"/>
  <c r="AE211" i="4"/>
  <c r="AG211" i="4" s="1"/>
  <c r="O211" i="4" s="1"/>
  <c r="AD457" i="4"/>
  <c r="AF457" i="4" s="1"/>
  <c r="P457" i="4" s="1"/>
  <c r="AE457" i="4"/>
  <c r="AG457" i="4" s="1"/>
  <c r="O457" i="4" s="1"/>
  <c r="AD141" i="4"/>
  <c r="AF141" i="4" s="1"/>
  <c r="P141" i="4" s="1"/>
  <c r="AE141" i="4"/>
  <c r="AG141" i="4" s="1"/>
  <c r="O141" i="4" s="1"/>
  <c r="AD259" i="4"/>
  <c r="AF259" i="4" s="1"/>
  <c r="P259" i="4" s="1"/>
  <c r="AE259" i="4"/>
  <c r="AG259" i="4" s="1"/>
  <c r="O259" i="4" s="1"/>
  <c r="AE103" i="4"/>
  <c r="AG103" i="4" s="1"/>
  <c r="O103" i="4" s="1"/>
  <c r="AD103" i="4"/>
  <c r="AF103" i="4" s="1"/>
  <c r="P103" i="4" s="1"/>
  <c r="AD341" i="4"/>
  <c r="AF341" i="4" s="1"/>
  <c r="P341" i="4" s="1"/>
  <c r="AE341" i="4"/>
  <c r="AG341" i="4" s="1"/>
  <c r="O341" i="4" s="1"/>
  <c r="AE328" i="4"/>
  <c r="AG328" i="4" s="1"/>
  <c r="O328" i="4" s="1"/>
  <c r="AD328" i="4"/>
  <c r="AF328" i="4" s="1"/>
  <c r="P328" i="4" s="1"/>
  <c r="AD343" i="4"/>
  <c r="AF343" i="4" s="1"/>
  <c r="P343" i="4" s="1"/>
  <c r="AE343" i="4"/>
  <c r="AG343" i="4" s="1"/>
  <c r="O343" i="4" s="1"/>
  <c r="AD401" i="4"/>
  <c r="AF401" i="4" s="1"/>
  <c r="P401" i="4" s="1"/>
  <c r="AE401" i="4"/>
  <c r="AG401" i="4" s="1"/>
  <c r="O401" i="4" s="1"/>
  <c r="AD175" i="4"/>
  <c r="AF175" i="4" s="1"/>
  <c r="P175" i="4" s="1"/>
  <c r="AE175" i="4"/>
  <c r="AG175" i="4" s="1"/>
  <c r="O175" i="4" s="1"/>
  <c r="AE359" i="4"/>
  <c r="AG359" i="4" s="1"/>
  <c r="O359" i="4" s="1"/>
  <c r="AD359" i="4"/>
  <c r="AF359" i="4" s="1"/>
  <c r="P359" i="4" s="1"/>
  <c r="AD15" i="4"/>
  <c r="AF15" i="4" s="1"/>
  <c r="P15" i="4" s="1"/>
  <c r="AE15" i="4"/>
  <c r="AG15" i="4" s="1"/>
  <c r="O15" i="4" s="1"/>
  <c r="AE108" i="4"/>
  <c r="AG108" i="4" s="1"/>
  <c r="O108" i="4" s="1"/>
  <c r="AD108" i="4"/>
  <c r="AF108" i="4" s="1"/>
  <c r="P108" i="4" s="1"/>
  <c r="AD483" i="4"/>
  <c r="AF483" i="4" s="1"/>
  <c r="P483" i="4" s="1"/>
  <c r="AE483" i="4"/>
  <c r="AG483" i="4" s="1"/>
  <c r="O483" i="4" s="1"/>
  <c r="AD482" i="4"/>
  <c r="AF482" i="4" s="1"/>
  <c r="P482" i="4" s="1"/>
  <c r="AE482" i="4"/>
  <c r="AG482" i="4" s="1"/>
  <c r="O482" i="4" s="1"/>
  <c r="AD227" i="4"/>
  <c r="AF227" i="4" s="1"/>
  <c r="P227" i="4" s="1"/>
  <c r="AE227" i="4"/>
  <c r="AG227" i="4" s="1"/>
  <c r="O227" i="4" s="1"/>
  <c r="AE179" i="4"/>
  <c r="AG179" i="4" s="1"/>
  <c r="O179" i="4" s="1"/>
  <c r="AD179" i="4"/>
  <c r="AF179" i="4" s="1"/>
  <c r="P179" i="4" s="1"/>
  <c r="AD232" i="4"/>
  <c r="AF232" i="4" s="1"/>
  <c r="P232" i="4" s="1"/>
  <c r="AE232" i="4"/>
  <c r="AG232" i="4" s="1"/>
  <c r="O232" i="4" s="1"/>
  <c r="AE435" i="4"/>
  <c r="AG435" i="4" s="1"/>
  <c r="O435" i="4" s="1"/>
  <c r="AD435" i="4"/>
  <c r="AF435" i="4" s="1"/>
  <c r="P435" i="4" s="1"/>
  <c r="AE489" i="4"/>
  <c r="AG489" i="4" s="1"/>
  <c r="O489" i="4" s="1"/>
  <c r="AD489" i="4"/>
  <c r="AF489" i="4" s="1"/>
  <c r="P489" i="4" s="1"/>
  <c r="AE112" i="4"/>
  <c r="AG112" i="4" s="1"/>
  <c r="O112" i="4" s="1"/>
  <c r="AD112" i="4"/>
  <c r="AF112" i="4" s="1"/>
  <c r="P112" i="4" s="1"/>
  <c r="AE306" i="4"/>
  <c r="AG306" i="4" s="1"/>
  <c r="O306" i="4" s="1"/>
  <c r="AD306" i="4"/>
  <c r="AF306" i="4" s="1"/>
  <c r="P306" i="4" s="1"/>
  <c r="AD75" i="4"/>
  <c r="AF75" i="4" s="1"/>
  <c r="P75" i="4" s="1"/>
  <c r="AE75" i="4"/>
  <c r="AG75" i="4" s="1"/>
  <c r="O75" i="4" s="1"/>
  <c r="AE236" i="4"/>
  <c r="AG236" i="4" s="1"/>
  <c r="O236" i="4" s="1"/>
  <c r="AD236" i="4"/>
  <c r="AF236" i="4" s="1"/>
  <c r="P236" i="4" s="1"/>
  <c r="AD60" i="4"/>
  <c r="AF60" i="4" s="1"/>
  <c r="P60" i="4" s="1"/>
  <c r="AE60" i="4"/>
  <c r="AG60" i="4" s="1"/>
  <c r="O60" i="4" s="1"/>
  <c r="AD31" i="4"/>
  <c r="AF31" i="4" s="1"/>
  <c r="P31" i="4" s="1"/>
  <c r="AE31" i="4"/>
  <c r="AG31" i="4" s="1"/>
  <c r="O31" i="4" s="1"/>
  <c r="AE320" i="4"/>
  <c r="AG320" i="4" s="1"/>
  <c r="O320" i="4" s="1"/>
  <c r="AD320" i="4"/>
  <c r="AF320" i="4" s="1"/>
  <c r="P320" i="4" s="1"/>
  <c r="AD8" i="4"/>
  <c r="AF8" i="4" s="1"/>
  <c r="P8" i="4" s="1"/>
  <c r="AE8" i="4"/>
  <c r="AG8" i="4" s="1"/>
  <c r="O8" i="4" s="1"/>
  <c r="AD455" i="4"/>
  <c r="AF455" i="4" s="1"/>
  <c r="P455" i="4" s="1"/>
  <c r="AE455" i="4"/>
  <c r="AG455" i="4" s="1"/>
  <c r="O455" i="4" s="1"/>
  <c r="AD465" i="4"/>
  <c r="AF465" i="4" s="1"/>
  <c r="P465" i="4" s="1"/>
  <c r="AE465" i="4"/>
  <c r="AG465" i="4" s="1"/>
  <c r="O465" i="4" s="1"/>
  <c r="AE358" i="4"/>
  <c r="AG358" i="4" s="1"/>
  <c r="O358" i="4" s="1"/>
  <c r="AD358" i="4"/>
  <c r="AF358" i="4" s="1"/>
  <c r="P358" i="4" s="1"/>
  <c r="AD335" i="4"/>
  <c r="AF335" i="4" s="1"/>
  <c r="P335" i="4" s="1"/>
  <c r="AE335" i="4"/>
  <c r="AG335" i="4" s="1"/>
  <c r="O335" i="4" s="1"/>
  <c r="AD350" i="4"/>
  <c r="AF350" i="4" s="1"/>
  <c r="P350" i="4" s="1"/>
  <c r="AE350" i="4"/>
  <c r="AG350" i="4" s="1"/>
  <c r="O350" i="4" s="1"/>
  <c r="AE345" i="4"/>
  <c r="AG345" i="4" s="1"/>
  <c r="O345" i="4" s="1"/>
  <c r="AD345" i="4"/>
  <c r="AF345" i="4" s="1"/>
  <c r="P345" i="4" s="1"/>
  <c r="AD419" i="4"/>
  <c r="AF419" i="4" s="1"/>
  <c r="P419" i="4" s="1"/>
  <c r="AE419" i="4"/>
  <c r="AG419" i="4" s="1"/>
  <c r="O419" i="4" s="1"/>
  <c r="AE26" i="4"/>
  <c r="AG26" i="4" s="1"/>
  <c r="O26" i="4" s="1"/>
  <c r="AD26" i="4"/>
  <c r="AF26" i="4" s="1"/>
  <c r="P26" i="4" s="1"/>
  <c r="AE326" i="4"/>
  <c r="AG326" i="4" s="1"/>
  <c r="O326" i="4" s="1"/>
  <c r="AD326" i="4"/>
  <c r="AF326" i="4" s="1"/>
  <c r="P326" i="4" s="1"/>
  <c r="AE45" i="4"/>
  <c r="AG45" i="4" s="1"/>
  <c r="O45" i="4" s="1"/>
  <c r="AD45" i="4"/>
  <c r="AF45" i="4" s="1"/>
  <c r="P45" i="4" s="1"/>
  <c r="AD138" i="4"/>
  <c r="AF138" i="4" s="1"/>
  <c r="P138" i="4" s="1"/>
  <c r="AE138" i="4"/>
  <c r="AG138" i="4" s="1"/>
  <c r="O138" i="4" s="1"/>
  <c r="AE115" i="4"/>
  <c r="AG115" i="4" s="1"/>
  <c r="O115" i="4" s="1"/>
  <c r="AD115" i="4"/>
  <c r="AF115" i="4" s="1"/>
  <c r="P115" i="4" s="1"/>
  <c r="AE228" i="4"/>
  <c r="AG228" i="4" s="1"/>
  <c r="O228" i="4" s="1"/>
  <c r="AD228" i="4"/>
  <c r="AF228" i="4" s="1"/>
  <c r="P228" i="4" s="1"/>
  <c r="AE100" i="4"/>
  <c r="AG100" i="4" s="1"/>
  <c r="O100" i="4" s="1"/>
  <c r="AD100" i="4"/>
  <c r="AF100" i="4" s="1"/>
  <c r="P100" i="4" s="1"/>
  <c r="AD239" i="4"/>
  <c r="AF239" i="4" s="1"/>
  <c r="P239" i="4" s="1"/>
  <c r="AE239" i="4"/>
  <c r="AG239" i="4" s="1"/>
  <c r="O239" i="4" s="1"/>
  <c r="AD95" i="4"/>
  <c r="AF95" i="4" s="1"/>
  <c r="P95" i="4" s="1"/>
  <c r="AE95" i="4"/>
  <c r="AG95" i="4" s="1"/>
  <c r="O95" i="4" s="1"/>
  <c r="AE300" i="4"/>
  <c r="AG300" i="4" s="1"/>
  <c r="O300" i="4" s="1"/>
  <c r="AD300" i="4"/>
  <c r="AF300" i="4" s="1"/>
  <c r="P300" i="4" s="1"/>
  <c r="AD10" i="4"/>
  <c r="AF10" i="4" s="1"/>
  <c r="P10" i="4" s="1"/>
  <c r="AE10" i="4"/>
  <c r="AG10" i="4" s="1"/>
  <c r="O10" i="4" s="1"/>
  <c r="AE58" i="4"/>
  <c r="AG58" i="4" s="1"/>
  <c r="O58" i="4" s="1"/>
  <c r="AD58" i="4"/>
  <c r="AF58" i="4" s="1"/>
  <c r="P58" i="4" s="1"/>
  <c r="AE65" i="4"/>
  <c r="AG65" i="4" s="1"/>
  <c r="O65" i="4" s="1"/>
  <c r="AD65" i="4"/>
  <c r="AF65" i="4" s="1"/>
  <c r="P65" i="4" s="1"/>
  <c r="AD24" i="4"/>
  <c r="AF24" i="4" s="1"/>
  <c r="P24" i="4" s="1"/>
  <c r="AE24" i="4"/>
  <c r="AG24" i="4" s="1"/>
  <c r="O24" i="4" s="1"/>
  <c r="AD313" i="4"/>
  <c r="AF313" i="4" s="1"/>
  <c r="P313" i="4" s="1"/>
  <c r="AE313" i="4"/>
  <c r="AG313" i="4" s="1"/>
  <c r="O313" i="4" s="1"/>
  <c r="AD207" i="4"/>
  <c r="AF207" i="4" s="1"/>
  <c r="P207" i="4" s="1"/>
  <c r="AE207" i="4"/>
  <c r="AG207" i="4" s="1"/>
  <c r="O207" i="4" s="1"/>
  <c r="AD111" i="4"/>
  <c r="AF111" i="4" s="1"/>
  <c r="P111" i="4" s="1"/>
  <c r="AE111" i="4"/>
  <c r="AG111" i="4" s="1"/>
  <c r="O111" i="4" s="1"/>
  <c r="AD70" i="4"/>
  <c r="AF70" i="4" s="1"/>
  <c r="P70" i="4" s="1"/>
  <c r="AE70" i="4"/>
  <c r="AG70" i="4" s="1"/>
  <c r="O70" i="4" s="1"/>
  <c r="AE61" i="4"/>
  <c r="AG61" i="4" s="1"/>
  <c r="O61" i="4" s="1"/>
  <c r="AD61" i="4"/>
  <c r="AF61" i="4" s="1"/>
  <c r="P61" i="4" s="1"/>
  <c r="AE334" i="4"/>
  <c r="AG334" i="4" s="1"/>
  <c r="O334" i="4" s="1"/>
  <c r="AD334" i="4"/>
  <c r="AF334" i="4" s="1"/>
  <c r="P334" i="4" s="1"/>
  <c r="AE171" i="4"/>
  <c r="AG171" i="4" s="1"/>
  <c r="O171" i="4" s="1"/>
  <c r="AD171" i="4"/>
  <c r="AF171" i="4" s="1"/>
  <c r="P171" i="4" s="1"/>
  <c r="AE230" i="4"/>
  <c r="AG230" i="4" s="1"/>
  <c r="O230" i="4" s="1"/>
  <c r="AD230" i="4"/>
  <c r="AF230" i="4" s="1"/>
  <c r="P230" i="4" s="1"/>
  <c r="AE238" i="4"/>
  <c r="AG238" i="4" s="1"/>
  <c r="O238" i="4" s="1"/>
  <c r="AD238" i="4"/>
  <c r="AF238" i="4" s="1"/>
  <c r="P238" i="4" s="1"/>
  <c r="AE124" i="4"/>
  <c r="AG124" i="4" s="1"/>
  <c r="O124" i="4" s="1"/>
  <c r="AD124" i="4"/>
  <c r="AF124" i="4" s="1"/>
  <c r="P124" i="4" s="1"/>
  <c r="AE275" i="4"/>
  <c r="AG275" i="4" s="1"/>
  <c r="O275" i="4" s="1"/>
  <c r="AD275" i="4"/>
  <c r="AF275" i="4" s="1"/>
  <c r="P275" i="4" s="1"/>
  <c r="AE373" i="4"/>
  <c r="AG373" i="4" s="1"/>
  <c r="O373" i="4" s="1"/>
  <c r="AD373" i="4"/>
  <c r="AF373" i="4" s="1"/>
  <c r="P373" i="4" s="1"/>
  <c r="AD344" i="4"/>
  <c r="AF344" i="4" s="1"/>
  <c r="P344" i="4" s="1"/>
  <c r="AE344" i="4"/>
  <c r="AG344" i="4" s="1"/>
  <c r="O344" i="4" s="1"/>
  <c r="AE423" i="4"/>
  <c r="AG423" i="4" s="1"/>
  <c r="O423" i="4" s="1"/>
  <c r="AD423" i="4"/>
  <c r="AF423" i="4" s="1"/>
  <c r="P423" i="4" s="1"/>
  <c r="AE32" i="4"/>
  <c r="AG32" i="4" s="1"/>
  <c r="O32" i="4" s="1"/>
  <c r="AD32" i="4"/>
  <c r="AF32" i="4" s="1"/>
  <c r="P32" i="4" s="1"/>
  <c r="AE87" i="4"/>
  <c r="AG87" i="4" s="1"/>
  <c r="O87" i="4" s="1"/>
  <c r="AD87" i="4"/>
  <c r="AF87" i="4" s="1"/>
  <c r="P87" i="4" s="1"/>
  <c r="AD46" i="4"/>
  <c r="AF46" i="4" s="1"/>
  <c r="P46" i="4" s="1"/>
  <c r="AE46" i="4"/>
  <c r="AG46" i="4" s="1"/>
  <c r="O46" i="4" s="1"/>
  <c r="AE178" i="4"/>
  <c r="AG178" i="4" s="1"/>
  <c r="O178" i="4" s="1"/>
  <c r="AD178" i="4"/>
  <c r="AF178" i="4" s="1"/>
  <c r="P178" i="4" s="1"/>
  <c r="AD190" i="4"/>
  <c r="AF190" i="4" s="1"/>
  <c r="P190" i="4" s="1"/>
  <c r="AE190" i="4"/>
  <c r="AG190" i="4" s="1"/>
  <c r="O190" i="4" s="1"/>
  <c r="AE222" i="4"/>
  <c r="AG222" i="4" s="1"/>
  <c r="O222" i="4" s="1"/>
  <c r="AD222" i="4"/>
  <c r="AF222" i="4" s="1"/>
  <c r="P222" i="4" s="1"/>
  <c r="AD189" i="4"/>
  <c r="AF189" i="4" s="1"/>
  <c r="P189" i="4" s="1"/>
  <c r="AE189" i="4"/>
  <c r="AG189" i="4" s="1"/>
  <c r="O189" i="4" s="1"/>
  <c r="AE368" i="4"/>
  <c r="AG368" i="4" s="1"/>
  <c r="O368" i="4" s="1"/>
  <c r="AD368" i="4"/>
  <c r="AF368" i="4" s="1"/>
  <c r="P368" i="4" s="1"/>
  <c r="AD29" i="4"/>
  <c r="AF29" i="4" s="1"/>
  <c r="P29" i="4" s="1"/>
  <c r="AE29" i="4"/>
  <c r="AG29" i="4" s="1"/>
  <c r="O29" i="4" s="1"/>
  <c r="AE464" i="4"/>
  <c r="AG464" i="4" s="1"/>
  <c r="O464" i="4" s="1"/>
  <c r="AD464" i="4"/>
  <c r="AF464" i="4" s="1"/>
  <c r="P464" i="4" s="1"/>
  <c r="AD399" i="4"/>
  <c r="AF399" i="4" s="1"/>
  <c r="P399" i="4" s="1"/>
  <c r="AE399" i="4"/>
  <c r="AG399" i="4" s="1"/>
  <c r="O399" i="4" s="1"/>
  <c r="AE394" i="4"/>
  <c r="AG394" i="4" s="1"/>
  <c r="O394" i="4" s="1"/>
  <c r="AD394" i="4"/>
  <c r="AF394" i="4" s="1"/>
  <c r="P394" i="4" s="1"/>
  <c r="AD125" i="4"/>
  <c r="AF125" i="4" s="1"/>
  <c r="P125" i="4" s="1"/>
  <c r="AE125" i="4"/>
  <c r="AG125" i="4" s="1"/>
  <c r="O125" i="4" s="1"/>
  <c r="AD434" i="4"/>
  <c r="AF434" i="4" s="1"/>
  <c r="P434" i="4" s="1"/>
  <c r="AE434" i="4"/>
  <c r="AG434" i="4" s="1"/>
  <c r="O434" i="4" s="1"/>
  <c r="AD285" i="4"/>
  <c r="AF285" i="4" s="1"/>
  <c r="P285" i="4" s="1"/>
  <c r="AE285" i="4"/>
  <c r="AG285" i="4" s="1"/>
  <c r="O285" i="4" s="1"/>
  <c r="AE432" i="4"/>
  <c r="AG432" i="4" s="1"/>
  <c r="O432" i="4" s="1"/>
  <c r="AD432" i="4"/>
  <c r="AF432" i="4" s="1"/>
  <c r="P432" i="4" s="1"/>
  <c r="AD322" i="4"/>
  <c r="AF322" i="4" s="1"/>
  <c r="P322" i="4" s="1"/>
  <c r="AE322" i="4"/>
  <c r="AG322" i="4" s="1"/>
  <c r="O322" i="4" s="1"/>
  <c r="AD34" i="4"/>
  <c r="AF34" i="4" s="1"/>
  <c r="P34" i="4" s="1"/>
  <c r="AE34" i="4"/>
  <c r="AG34" i="4" s="1"/>
  <c r="O34" i="4" s="1"/>
  <c r="AE491" i="4"/>
  <c r="AG491" i="4" s="1"/>
  <c r="O491" i="4" s="1"/>
  <c r="AD491" i="4"/>
  <c r="AF491" i="4" s="1"/>
  <c r="P491" i="4" s="1"/>
  <c r="AE264" i="4"/>
  <c r="AG264" i="4" s="1"/>
  <c r="O264" i="4" s="1"/>
  <c r="AD264" i="4"/>
  <c r="AF264" i="4" s="1"/>
  <c r="P264" i="4" s="1"/>
  <c r="AD128" i="4"/>
  <c r="AF128" i="4" s="1"/>
  <c r="P128" i="4" s="1"/>
  <c r="AE128" i="4"/>
  <c r="AG128" i="4" s="1"/>
  <c r="O128" i="4" s="1"/>
  <c r="AD209" i="4"/>
  <c r="AF209" i="4" s="1"/>
  <c r="P209" i="4" s="1"/>
  <c r="AE209" i="4"/>
  <c r="AG209" i="4" s="1"/>
  <c r="O209" i="4" s="1"/>
  <c r="AD453" i="4"/>
  <c r="AF453" i="4" s="1"/>
  <c r="P453" i="4" s="1"/>
  <c r="AE453" i="4"/>
  <c r="AG453" i="4" s="1"/>
  <c r="O453" i="4" s="1"/>
  <c r="AE319" i="4"/>
  <c r="AG319" i="4" s="1"/>
  <c r="O319" i="4" s="1"/>
  <c r="AD319" i="4"/>
  <c r="AF319" i="4" s="1"/>
  <c r="P319" i="4" s="1"/>
  <c r="AE277" i="4"/>
  <c r="AG277" i="4" s="1"/>
  <c r="O277" i="4" s="1"/>
  <c r="AD277" i="4"/>
  <c r="AF277" i="4" s="1"/>
  <c r="P277" i="4" s="1"/>
  <c r="AE475" i="4"/>
  <c r="AG475" i="4" s="1"/>
  <c r="O475" i="4" s="1"/>
  <c r="AD475" i="4"/>
  <c r="AF475" i="4" s="1"/>
  <c r="P475" i="4" s="1"/>
  <c r="AE425" i="4"/>
  <c r="AG425" i="4" s="1"/>
  <c r="O425" i="4" s="1"/>
  <c r="AD425" i="4"/>
  <c r="AF425" i="4" s="1"/>
  <c r="P425" i="4" s="1"/>
  <c r="AD427" i="4"/>
  <c r="AF427" i="4" s="1"/>
  <c r="P427" i="4" s="1"/>
  <c r="AE427" i="4"/>
  <c r="AG427" i="4" s="1"/>
  <c r="O427" i="4" s="1"/>
  <c r="AE307" i="4"/>
  <c r="AG307" i="4" s="1"/>
  <c r="O307" i="4" s="1"/>
  <c r="AD307" i="4"/>
  <c r="AF307" i="4" s="1"/>
  <c r="P307" i="4" s="1"/>
  <c r="AD449" i="4"/>
  <c r="AF449" i="4" s="1"/>
  <c r="P449" i="4" s="1"/>
  <c r="AE449" i="4"/>
  <c r="AG449" i="4" s="1"/>
  <c r="O449" i="4" s="1"/>
  <c r="AE426" i="4"/>
  <c r="AG426" i="4" s="1"/>
  <c r="O426" i="4" s="1"/>
  <c r="AD426" i="4"/>
  <c r="AF426" i="4" s="1"/>
  <c r="P426" i="4" s="1"/>
  <c r="AE314" i="4"/>
  <c r="AG314" i="4" s="1"/>
  <c r="O314" i="4" s="1"/>
  <c r="AD314" i="4"/>
  <c r="AF314" i="4" s="1"/>
  <c r="P314" i="4" s="1"/>
  <c r="AE92" i="4"/>
  <c r="AG92" i="4" s="1"/>
  <c r="O92" i="4" s="1"/>
  <c r="AD92" i="4"/>
  <c r="AF92" i="4" s="1"/>
  <c r="P92" i="4" s="1"/>
  <c r="AE366" i="4"/>
  <c r="AG366" i="4" s="1"/>
  <c r="O366" i="4" s="1"/>
  <c r="AD366" i="4"/>
  <c r="AF366" i="4" s="1"/>
  <c r="P366" i="4" s="1"/>
  <c r="AD180" i="4"/>
  <c r="AF180" i="4" s="1"/>
  <c r="P180" i="4" s="1"/>
  <c r="AE180" i="4"/>
  <c r="AG180" i="4" s="1"/>
  <c r="O180" i="4" s="1"/>
  <c r="AE444" i="4"/>
  <c r="AG444" i="4" s="1"/>
  <c r="O444" i="4" s="1"/>
  <c r="AD444" i="4"/>
  <c r="AF444" i="4" s="1"/>
  <c r="P444" i="4" s="1"/>
  <c r="AE96" i="4"/>
  <c r="AG96" i="4" s="1"/>
  <c r="O96" i="4" s="1"/>
  <c r="AD96" i="4"/>
  <c r="AF96" i="4" s="1"/>
  <c r="P96" i="4" s="1"/>
  <c r="AE253" i="4"/>
  <c r="AG253" i="4" s="1"/>
  <c r="O253" i="4" s="1"/>
  <c r="AD253" i="4"/>
  <c r="AF253" i="4" s="1"/>
  <c r="P253" i="4" s="1"/>
  <c r="AD392" i="4"/>
  <c r="AF392" i="4" s="1"/>
  <c r="P392" i="4" s="1"/>
  <c r="AE392" i="4"/>
  <c r="AG392" i="4" s="1"/>
  <c r="O392" i="4" s="1"/>
  <c r="AD396" i="4"/>
  <c r="AF396" i="4" s="1"/>
  <c r="P396" i="4" s="1"/>
  <c r="AE396" i="4"/>
  <c r="AG396" i="4" s="1"/>
  <c r="O396" i="4" s="1"/>
  <c r="AE262" i="4"/>
  <c r="AG262" i="4" s="1"/>
  <c r="O262" i="4" s="1"/>
  <c r="AD262" i="4"/>
  <c r="AF262" i="4" s="1"/>
  <c r="P262" i="4" s="1"/>
  <c r="AD246" i="4"/>
  <c r="AF246" i="4" s="1"/>
  <c r="P246" i="4" s="1"/>
  <c r="AE246" i="4"/>
  <c r="AG246" i="4" s="1"/>
  <c r="O246" i="4" s="1"/>
  <c r="AD208" i="4"/>
  <c r="AF208" i="4" s="1"/>
  <c r="P208" i="4" s="1"/>
  <c r="AE208" i="4"/>
  <c r="AG208" i="4" s="1"/>
  <c r="O208" i="4" s="1"/>
  <c r="AE19" i="4"/>
  <c r="AG19" i="4" s="1"/>
  <c r="O19" i="4" s="1"/>
  <c r="AD19" i="4"/>
  <c r="AF19" i="4" s="1"/>
  <c r="P19" i="4" s="1"/>
  <c r="AD148" i="4"/>
  <c r="AF148" i="4" s="1"/>
  <c r="P148" i="4" s="1"/>
  <c r="AE148" i="4"/>
  <c r="AG148" i="4" s="1"/>
  <c r="O148" i="4" s="1"/>
  <c r="AE387" i="4"/>
  <c r="AG387" i="4" s="1"/>
  <c r="O387" i="4" s="1"/>
  <c r="AD387" i="4"/>
  <c r="AF387" i="4" s="1"/>
  <c r="P387" i="4" s="1"/>
  <c r="AE39" i="4"/>
  <c r="AG39" i="4" s="1"/>
  <c r="O39" i="4" s="1"/>
  <c r="AD39" i="4"/>
  <c r="AF39" i="4" s="1"/>
  <c r="P39" i="4" s="1"/>
  <c r="AE102" i="4"/>
  <c r="AG102" i="4" s="1"/>
  <c r="O102" i="4" s="1"/>
  <c r="AD102" i="4"/>
  <c r="AF102" i="4" s="1"/>
  <c r="P102" i="4" s="1"/>
  <c r="AD338" i="4"/>
  <c r="AF338" i="4" s="1"/>
  <c r="P338" i="4" s="1"/>
  <c r="AE338" i="4"/>
  <c r="AG338" i="4" s="1"/>
  <c r="O338" i="4" s="1"/>
  <c r="AE114" i="4"/>
  <c r="AG114" i="4" s="1"/>
  <c r="O114" i="4" s="1"/>
  <c r="AD114" i="4"/>
  <c r="AF114" i="4" s="1"/>
  <c r="P114" i="4" s="1"/>
  <c r="AE206" i="4"/>
  <c r="AG206" i="4" s="1"/>
  <c r="O206" i="4" s="1"/>
  <c r="AD206" i="4"/>
  <c r="AF206" i="4" s="1"/>
  <c r="P206" i="4" s="1"/>
  <c r="AE220" i="4"/>
  <c r="AG220" i="4" s="1"/>
  <c r="O220" i="4" s="1"/>
  <c r="AD220" i="4"/>
  <c r="AF220" i="4" s="1"/>
  <c r="P220" i="4" s="1"/>
  <c r="AD163" i="4"/>
  <c r="AF163" i="4" s="1"/>
  <c r="P163" i="4" s="1"/>
  <c r="AE163" i="4"/>
  <c r="AG163" i="4" s="1"/>
  <c r="O163" i="4" s="1"/>
  <c r="AE400" i="4"/>
  <c r="AG400" i="4" s="1"/>
  <c r="O400" i="4" s="1"/>
  <c r="AD400" i="4"/>
  <c r="AF400" i="4" s="1"/>
  <c r="P400" i="4" s="1"/>
  <c r="AD257" i="4"/>
  <c r="AF257" i="4" s="1"/>
  <c r="P257" i="4" s="1"/>
  <c r="AE257" i="4"/>
  <c r="AG257" i="4" s="1"/>
  <c r="O257" i="4" s="1"/>
  <c r="AE191" i="4"/>
  <c r="AG191" i="4" s="1"/>
  <c r="O191" i="4" s="1"/>
  <c r="AD191" i="4"/>
  <c r="AF191" i="4" s="1"/>
  <c r="P191" i="4" s="1"/>
  <c r="AD9" i="4"/>
  <c r="AF9" i="4" s="1"/>
  <c r="P9" i="4" s="1"/>
  <c r="AE9" i="4"/>
  <c r="AG9" i="4" s="1"/>
  <c r="O9" i="4" s="1"/>
  <c r="AE476" i="4"/>
  <c r="AG476" i="4" s="1"/>
  <c r="O476" i="4" s="1"/>
  <c r="AD476" i="4"/>
  <c r="AF476" i="4" s="1"/>
  <c r="P476" i="4" s="1"/>
  <c r="AD287" i="4"/>
  <c r="AF287" i="4" s="1"/>
  <c r="P287" i="4" s="1"/>
  <c r="AE287" i="4"/>
  <c r="AG287" i="4" s="1"/>
  <c r="O287" i="4" s="1"/>
  <c r="AE97" i="4"/>
  <c r="AG97" i="4" s="1"/>
  <c r="O97" i="4" s="1"/>
  <c r="AD97" i="4"/>
  <c r="AF97" i="4" s="1"/>
  <c r="P97" i="4" s="1"/>
  <c r="AE79" i="4"/>
  <c r="AG79" i="4" s="1"/>
  <c r="O79" i="4" s="1"/>
  <c r="AD79" i="4"/>
  <c r="AF79" i="4" s="1"/>
  <c r="P79" i="4" s="1"/>
  <c r="AD271" i="4"/>
  <c r="AF271" i="4" s="1"/>
  <c r="P271" i="4" s="1"/>
  <c r="AE271" i="4"/>
  <c r="AG271" i="4" s="1"/>
  <c r="O271" i="4" s="1"/>
  <c r="AE258" i="4"/>
  <c r="AG258" i="4" s="1"/>
  <c r="O258" i="4" s="1"/>
  <c r="AD258" i="4"/>
  <c r="AF258" i="4" s="1"/>
  <c r="P258" i="4" s="1"/>
  <c r="AE398" i="4"/>
  <c r="AG398" i="4" s="1"/>
  <c r="O398" i="4" s="1"/>
  <c r="AD398" i="4"/>
  <c r="AF398" i="4" s="1"/>
  <c r="P398" i="4" s="1"/>
  <c r="AE118" i="4"/>
  <c r="AG118" i="4" s="1"/>
  <c r="O118" i="4" s="1"/>
  <c r="AD118" i="4"/>
  <c r="AF118" i="4" s="1"/>
  <c r="P118" i="4" s="1"/>
  <c r="AD486" i="4"/>
  <c r="AF486" i="4" s="1"/>
  <c r="P486" i="4" s="1"/>
  <c r="AE486" i="4"/>
  <c r="AG486" i="4" s="1"/>
  <c r="O486" i="4" s="1"/>
  <c r="AD356" i="4"/>
  <c r="AF356" i="4" s="1"/>
  <c r="P356" i="4" s="1"/>
  <c r="AE356" i="4"/>
  <c r="AG356" i="4" s="1"/>
  <c r="O356" i="4" s="1"/>
  <c r="AD404" i="4"/>
  <c r="AF404" i="4" s="1"/>
  <c r="P404" i="4" s="1"/>
  <c r="AE404" i="4"/>
  <c r="AG404" i="4" s="1"/>
  <c r="O404" i="4" s="1"/>
  <c r="AE353" i="4"/>
  <c r="AG353" i="4" s="1"/>
  <c r="O353" i="4" s="1"/>
  <c r="AD353" i="4"/>
  <c r="AF353" i="4" s="1"/>
  <c r="P353" i="4" s="1"/>
  <c r="AE347" i="4"/>
  <c r="AG347" i="4" s="1"/>
  <c r="O347" i="4" s="1"/>
  <c r="AD347" i="4"/>
  <c r="AF347" i="4" s="1"/>
  <c r="P347" i="4" s="1"/>
  <c r="AD468" i="4"/>
  <c r="AF468" i="4" s="1"/>
  <c r="P468" i="4" s="1"/>
  <c r="AE468" i="4"/>
  <c r="AG468" i="4" s="1"/>
  <c r="O468" i="4" s="1"/>
  <c r="AE57" i="4"/>
  <c r="AG57" i="4" s="1"/>
  <c r="O57" i="4" s="1"/>
  <c r="AD57" i="4"/>
  <c r="AF57" i="4" s="1"/>
  <c r="P57" i="4" s="1"/>
  <c r="AD212" i="4"/>
  <c r="AF212" i="4" s="1"/>
  <c r="P212" i="4" s="1"/>
  <c r="AE212" i="4"/>
  <c r="AG212" i="4" s="1"/>
  <c r="O212" i="4" s="1"/>
  <c r="AE38" i="4"/>
  <c r="AG38" i="4" s="1"/>
  <c r="O38" i="4" s="1"/>
  <c r="AD38" i="4"/>
  <c r="AF38" i="4" s="1"/>
  <c r="P38" i="4" s="1"/>
  <c r="AE252" i="4"/>
  <c r="AG252" i="4" s="1"/>
  <c r="O252" i="4" s="1"/>
  <c r="AD252" i="4"/>
  <c r="AF252" i="4" s="1"/>
  <c r="P252" i="4" s="1"/>
  <c r="AD265" i="4"/>
  <c r="AF265" i="4" s="1"/>
  <c r="P265" i="4" s="1"/>
  <c r="AE265" i="4"/>
  <c r="AG265" i="4" s="1"/>
  <c r="O265" i="4" s="1"/>
  <c r="AD22" i="4"/>
  <c r="AF22" i="4" s="1"/>
  <c r="P22" i="4" s="1"/>
  <c r="AE22" i="4"/>
  <c r="AG22" i="4" s="1"/>
  <c r="O22" i="4" s="1"/>
  <c r="AE66" i="4"/>
  <c r="AG66" i="4" s="1"/>
  <c r="O66" i="4" s="1"/>
  <c r="AD66" i="4"/>
  <c r="AF66" i="4" s="1"/>
  <c r="P66" i="4" s="1"/>
  <c r="AE497" i="4"/>
  <c r="AG497" i="4" s="1"/>
  <c r="O497" i="4" s="1"/>
  <c r="AD497" i="4"/>
  <c r="AF497" i="4" s="1"/>
  <c r="P497" i="4" s="1"/>
  <c r="AE286" i="4"/>
  <c r="AG286" i="4" s="1"/>
  <c r="O286" i="4" s="1"/>
  <c r="AD286" i="4"/>
  <c r="AF286" i="4" s="1"/>
  <c r="P286" i="4" s="1"/>
  <c r="AD417" i="4"/>
  <c r="AF417" i="4" s="1"/>
  <c r="P417" i="4" s="1"/>
  <c r="AE417" i="4"/>
  <c r="AG417" i="4" s="1"/>
  <c r="O417" i="4" s="1"/>
  <c r="AD463" i="4"/>
  <c r="AF463" i="4" s="1"/>
  <c r="P463" i="4" s="1"/>
  <c r="AE463" i="4"/>
  <c r="AG463" i="4" s="1"/>
  <c r="O463" i="4" s="1"/>
  <c r="AE329" i="4"/>
  <c r="AG329" i="4" s="1"/>
  <c r="O329" i="4" s="1"/>
  <c r="AD329" i="4"/>
  <c r="AF329" i="4" s="1"/>
  <c r="P329" i="4" s="1"/>
  <c r="AD74" i="4"/>
  <c r="AF74" i="4" s="1"/>
  <c r="P74" i="4" s="1"/>
  <c r="AE74" i="4"/>
  <c r="AG74" i="4" s="1"/>
  <c r="O74" i="4" s="1"/>
  <c r="AD28" i="4"/>
  <c r="AF28" i="4" s="1"/>
  <c r="P28" i="4" s="1"/>
  <c r="AE28" i="4"/>
  <c r="AG28" i="4" s="1"/>
  <c r="O28" i="4" s="1"/>
  <c r="AD280" i="4"/>
  <c r="AF280" i="4" s="1"/>
  <c r="P280" i="4" s="1"/>
  <c r="AE280" i="4"/>
  <c r="AG280" i="4" s="1"/>
  <c r="O280" i="4" s="1"/>
  <c r="AD156" i="4"/>
  <c r="AF156" i="4" s="1"/>
  <c r="P156" i="4" s="1"/>
  <c r="AE156" i="4"/>
  <c r="AG156" i="4" s="1"/>
  <c r="O156" i="4" s="1"/>
  <c r="AE410" i="4"/>
  <c r="AG410" i="4" s="1"/>
  <c r="O410" i="4" s="1"/>
  <c r="AD410" i="4"/>
  <c r="AF410" i="4" s="1"/>
  <c r="P410" i="4" s="1"/>
  <c r="AE479" i="4"/>
  <c r="AG479" i="4" s="1"/>
  <c r="O479" i="4" s="1"/>
  <c r="AD479" i="4"/>
  <c r="AF479" i="4" s="1"/>
  <c r="P479" i="4" s="1"/>
  <c r="AD42" i="4"/>
  <c r="AF42" i="4" s="1"/>
  <c r="P42" i="4" s="1"/>
  <c r="AE42" i="4"/>
  <c r="AG42" i="4" s="1"/>
  <c r="O42" i="4" s="1"/>
  <c r="AD181" i="4"/>
  <c r="AF181" i="4" s="1"/>
  <c r="P181" i="4" s="1"/>
  <c r="AE181" i="4"/>
  <c r="AG181" i="4" s="1"/>
  <c r="O181" i="4" s="1"/>
  <c r="AE119" i="4"/>
  <c r="AG119" i="4" s="1"/>
  <c r="O119" i="4" s="1"/>
  <c r="AD119" i="4"/>
  <c r="AF119" i="4" s="1"/>
  <c r="P119" i="4" s="1"/>
  <c r="AD153" i="4"/>
  <c r="AF153" i="4" s="1"/>
  <c r="P153" i="4" s="1"/>
  <c r="AE153" i="4"/>
  <c r="AG153" i="4" s="1"/>
  <c r="O153" i="4" s="1"/>
  <c r="AE159" i="4"/>
  <c r="AG159" i="4" s="1"/>
  <c r="O159" i="4" s="1"/>
  <c r="AD159" i="4"/>
  <c r="AF159" i="4" s="1"/>
  <c r="P159" i="4" s="1"/>
  <c r="AD448" i="4"/>
  <c r="AF448" i="4" s="1"/>
  <c r="P448" i="4" s="1"/>
  <c r="AE448" i="4"/>
  <c r="AG448" i="4" s="1"/>
  <c r="O448" i="4" s="1"/>
  <c r="AE120" i="4"/>
  <c r="AG120" i="4" s="1"/>
  <c r="O120" i="4" s="1"/>
  <c r="AD120" i="4"/>
  <c r="AF120" i="4" s="1"/>
  <c r="P120" i="4" s="1"/>
  <c r="AD136" i="4"/>
  <c r="AF136" i="4" s="1"/>
  <c r="P136" i="4" s="1"/>
  <c r="AE136" i="4"/>
  <c r="AG136" i="4" s="1"/>
  <c r="O136" i="4" s="1"/>
  <c r="AE325" i="4"/>
  <c r="AG325" i="4" s="1"/>
  <c r="O325" i="4" s="1"/>
  <c r="AD325" i="4"/>
  <c r="AF325" i="4" s="1"/>
  <c r="P325" i="4" s="1"/>
  <c r="AD77" i="4"/>
  <c r="AF77" i="4" s="1"/>
  <c r="P77" i="4" s="1"/>
  <c r="AE77" i="4"/>
  <c r="AG77" i="4" s="1"/>
  <c r="O77" i="4" s="1"/>
  <c r="AD89" i="4"/>
  <c r="AF89" i="4" s="1"/>
  <c r="P89" i="4" s="1"/>
  <c r="AE89" i="4"/>
  <c r="AG89" i="4" s="1"/>
  <c r="O89" i="4" s="1"/>
  <c r="AD188" i="4"/>
  <c r="AF188" i="4" s="1"/>
  <c r="P188" i="4" s="1"/>
  <c r="AE188" i="4"/>
  <c r="AG188" i="4" s="1"/>
  <c r="O188" i="4" s="1"/>
  <c r="AD242" i="4"/>
  <c r="AF242" i="4" s="1"/>
  <c r="P242" i="4" s="1"/>
  <c r="AE242" i="4"/>
  <c r="AG242" i="4" s="1"/>
  <c r="O242" i="4" s="1"/>
  <c r="AE117" i="4"/>
  <c r="AG117" i="4" s="1"/>
  <c r="O117" i="4" s="1"/>
  <c r="AD117" i="4"/>
  <c r="AF117" i="4" s="1"/>
  <c r="P117" i="4" s="1"/>
  <c r="AE6" i="4"/>
  <c r="AG6" i="4" s="1"/>
  <c r="O6" i="4" s="1"/>
  <c r="AD6" i="4"/>
  <c r="AF6" i="4" s="1"/>
  <c r="P6" i="4" s="1"/>
  <c r="AD331" i="4"/>
  <c r="AF331" i="4" s="1"/>
  <c r="P331" i="4" s="1"/>
  <c r="AE331" i="4"/>
  <c r="AG331" i="4" s="1"/>
  <c r="O331" i="4" s="1"/>
  <c r="AD469" i="4"/>
  <c r="AF469" i="4" s="1"/>
  <c r="P469" i="4" s="1"/>
  <c r="AE469" i="4"/>
  <c r="AG469" i="4" s="1"/>
  <c r="O469" i="4" s="1"/>
  <c r="AD458" i="4"/>
  <c r="AF458" i="4" s="1"/>
  <c r="P458" i="4" s="1"/>
  <c r="AE458" i="4"/>
  <c r="AG458" i="4" s="1"/>
  <c r="O458" i="4" s="1"/>
  <c r="AE370" i="4"/>
  <c r="AG370" i="4" s="1"/>
  <c r="O370" i="4" s="1"/>
  <c r="AD370" i="4"/>
  <c r="AF370" i="4" s="1"/>
  <c r="P370" i="4" s="1"/>
  <c r="AD157" i="4"/>
  <c r="AF157" i="4" s="1"/>
  <c r="P157" i="4" s="1"/>
  <c r="AE157" i="4"/>
  <c r="AG157" i="4" s="1"/>
  <c r="O157" i="4" s="1"/>
  <c r="AD395" i="4"/>
  <c r="AF395" i="4" s="1"/>
  <c r="P395" i="4" s="1"/>
  <c r="AE395" i="4"/>
  <c r="AG395" i="4" s="1"/>
  <c r="O395" i="4" s="1"/>
  <c r="AE17" i="4"/>
  <c r="AG17" i="4" s="1"/>
  <c r="O17" i="4" s="1"/>
  <c r="AD17" i="4"/>
  <c r="AF17" i="4" s="1"/>
  <c r="P17" i="4" s="1"/>
  <c r="AE91" i="4"/>
  <c r="AG91" i="4" s="1"/>
  <c r="O91" i="4" s="1"/>
  <c r="AD91" i="4"/>
  <c r="AF91" i="4" s="1"/>
  <c r="P91" i="4" s="1"/>
  <c r="AE369" i="4"/>
  <c r="AG369" i="4" s="1"/>
  <c r="O369" i="4" s="1"/>
  <c r="AD369" i="4"/>
  <c r="AF369" i="4" s="1"/>
  <c r="P369" i="4" s="1"/>
  <c r="AD27" i="4"/>
  <c r="AF27" i="4" s="1"/>
  <c r="P27" i="4" s="1"/>
  <c r="AE27" i="4"/>
  <c r="AG27" i="4" s="1"/>
  <c r="O27" i="4" s="1"/>
  <c r="AE312" i="4"/>
  <c r="AG312" i="4" s="1"/>
  <c r="O312" i="4" s="1"/>
  <c r="AD312" i="4"/>
  <c r="AF312" i="4" s="1"/>
  <c r="P312" i="4" s="1"/>
  <c r="AE47" i="4"/>
  <c r="AG47" i="4" s="1"/>
  <c r="O47" i="4" s="1"/>
  <c r="AD47" i="4"/>
  <c r="AF47" i="4" s="1"/>
  <c r="P47" i="4" s="1"/>
  <c r="AD504" i="4"/>
  <c r="AF504" i="4" s="1"/>
  <c r="P504" i="4" s="1"/>
  <c r="AE504" i="4"/>
  <c r="AG504" i="4" s="1"/>
  <c r="O504" i="4" s="1"/>
  <c r="AD73" i="4"/>
  <c r="AF73" i="4" s="1"/>
  <c r="P73" i="4" s="1"/>
  <c r="AE73" i="4"/>
  <c r="AG73" i="4" s="1"/>
  <c r="O73" i="4" s="1"/>
  <c r="AD7" i="4"/>
  <c r="AF7" i="4" s="1"/>
  <c r="P7" i="4" s="1"/>
  <c r="AE7" i="4"/>
  <c r="AG7" i="4" s="1"/>
  <c r="O7" i="4" s="1"/>
  <c r="AE214" i="4"/>
  <c r="AG214" i="4" s="1"/>
  <c r="O214" i="4" s="1"/>
  <c r="AD214" i="4"/>
  <c r="AF214" i="4" s="1"/>
  <c r="P214" i="4" s="1"/>
  <c r="AD346" i="4"/>
  <c r="AF346" i="4" s="1"/>
  <c r="P346" i="4" s="1"/>
  <c r="AE346" i="4"/>
  <c r="AG346" i="4" s="1"/>
  <c r="O346" i="4" s="1"/>
  <c r="AD196" i="4"/>
  <c r="AF196" i="4" s="1"/>
  <c r="P196" i="4" s="1"/>
  <c r="AE196" i="4"/>
  <c r="AG196" i="4" s="1"/>
  <c r="O196" i="4" s="1"/>
  <c r="AE48" i="4"/>
  <c r="AG48" i="4" s="1"/>
  <c r="O48" i="4" s="1"/>
  <c r="AD48" i="4"/>
  <c r="AF48" i="4" s="1"/>
  <c r="P48" i="4" s="1"/>
  <c r="AD415" i="4"/>
  <c r="AF415" i="4" s="1"/>
  <c r="P415" i="4" s="1"/>
  <c r="AE415" i="4"/>
  <c r="AG415" i="4" s="1"/>
  <c r="O415" i="4" s="1"/>
  <c r="AE374" i="4"/>
  <c r="AG374" i="4" s="1"/>
  <c r="O374" i="4" s="1"/>
  <c r="AD374" i="4"/>
  <c r="AF374" i="4" s="1"/>
  <c r="P374" i="4" s="1"/>
  <c r="AE21" i="4"/>
  <c r="AG21" i="4" s="1"/>
  <c r="O21" i="4" s="1"/>
  <c r="AD21" i="4"/>
  <c r="AF21" i="4" s="1"/>
  <c r="P21" i="4" s="1"/>
  <c r="AE438" i="4"/>
  <c r="AG438" i="4" s="1"/>
  <c r="O438" i="4" s="1"/>
  <c r="AD438" i="4"/>
  <c r="AF438" i="4" s="1"/>
  <c r="P438" i="4" s="1"/>
  <c r="AD459" i="4"/>
  <c r="AF459" i="4" s="1"/>
  <c r="P459" i="4" s="1"/>
  <c r="AE459" i="4"/>
  <c r="AG459" i="4" s="1"/>
  <c r="O459" i="4" s="1"/>
  <c r="AD149" i="4"/>
  <c r="AF149" i="4" s="1"/>
  <c r="P149" i="4" s="1"/>
  <c r="AE149" i="4"/>
  <c r="AG149" i="4" s="1"/>
  <c r="O149" i="4" s="1"/>
  <c r="AD292" i="4"/>
  <c r="AF292" i="4" s="1"/>
  <c r="P292" i="4" s="1"/>
  <c r="AE292" i="4"/>
  <c r="AG292" i="4" s="1"/>
  <c r="O292" i="4" s="1"/>
  <c r="AD397" i="4"/>
  <c r="AF397" i="4" s="1"/>
  <c r="P397" i="4" s="1"/>
  <c r="AE397" i="4"/>
  <c r="AG397" i="4" s="1"/>
  <c r="O397" i="4" s="1"/>
  <c r="AE293" i="4"/>
  <c r="AG293" i="4" s="1"/>
  <c r="O293" i="4" s="1"/>
  <c r="AD293" i="4"/>
  <c r="AF293" i="4" s="1"/>
  <c r="P293" i="4" s="1"/>
  <c r="AE364" i="4"/>
  <c r="AG364" i="4" s="1"/>
  <c r="O364" i="4" s="1"/>
  <c r="AD364" i="4"/>
  <c r="AF364" i="4" s="1"/>
  <c r="P364" i="4" s="1"/>
  <c r="AE454" i="4"/>
  <c r="AG454" i="4" s="1"/>
  <c r="O454" i="4" s="1"/>
  <c r="AD454" i="4"/>
  <c r="AF454" i="4" s="1"/>
  <c r="P454" i="4" s="1"/>
  <c r="AD351" i="4"/>
  <c r="AF351" i="4" s="1"/>
  <c r="P351" i="4" s="1"/>
  <c r="AE351" i="4"/>
  <c r="AG351" i="4" s="1"/>
  <c r="O351" i="4" s="1"/>
  <c r="AD393" i="4"/>
  <c r="AF393" i="4" s="1"/>
  <c r="P393" i="4" s="1"/>
  <c r="AE393" i="4"/>
  <c r="AG393" i="4" s="1"/>
  <c r="O393" i="4" s="1"/>
  <c r="AD274" i="4"/>
  <c r="AF274" i="4" s="1"/>
  <c r="P274" i="4" s="1"/>
  <c r="AE274" i="4"/>
  <c r="AG274" i="4" s="1"/>
  <c r="O274" i="4" s="1"/>
  <c r="AD381" i="4"/>
  <c r="AF381" i="4" s="1"/>
  <c r="P381" i="4" s="1"/>
  <c r="AE381" i="4"/>
  <c r="AG381" i="4" s="1"/>
  <c r="O381" i="4" s="1"/>
  <c r="AE218" i="4"/>
  <c r="AG218" i="4" s="1"/>
  <c r="O218" i="4" s="1"/>
  <c r="AD218" i="4"/>
  <c r="AF218" i="4" s="1"/>
  <c r="P218" i="4" s="1"/>
  <c r="AD267" i="4"/>
  <c r="AF267" i="4" s="1"/>
  <c r="P267" i="4" s="1"/>
  <c r="AE267" i="4"/>
  <c r="AG267" i="4" s="1"/>
  <c r="O267" i="4" s="1"/>
  <c r="AE129" i="4"/>
  <c r="AG129" i="4" s="1"/>
  <c r="O129" i="4" s="1"/>
  <c r="AD129" i="4"/>
  <c r="AF129" i="4" s="1"/>
  <c r="P129" i="4" s="1"/>
  <c r="AE263" i="4"/>
  <c r="AG263" i="4" s="1"/>
  <c r="O263" i="4" s="1"/>
  <c r="AD263" i="4"/>
  <c r="AF263" i="4" s="1"/>
  <c r="P263" i="4" s="1"/>
  <c r="AD93" i="4"/>
  <c r="AF93" i="4" s="1"/>
  <c r="P93" i="4" s="1"/>
  <c r="AE93" i="4"/>
  <c r="AG93" i="4" s="1"/>
  <c r="O93" i="4" s="1"/>
  <c r="AD142" i="4"/>
  <c r="AF142" i="4" s="1"/>
  <c r="P142" i="4" s="1"/>
  <c r="AE142" i="4"/>
  <c r="AG142" i="4" s="1"/>
  <c r="O142" i="4" s="1"/>
  <c r="AD488" i="4"/>
  <c r="AF488" i="4" s="1"/>
  <c r="P488" i="4" s="1"/>
  <c r="AE488" i="4"/>
  <c r="AG488" i="4" s="1"/>
  <c r="O488" i="4" s="1"/>
  <c r="AE472" i="4"/>
  <c r="AG472" i="4" s="1"/>
  <c r="O472" i="4" s="1"/>
  <c r="AD472" i="4"/>
  <c r="AF472" i="4" s="1"/>
  <c r="P472" i="4" s="1"/>
  <c r="AE361" i="4"/>
  <c r="AG361" i="4" s="1"/>
  <c r="O361" i="4" s="1"/>
  <c r="AD361" i="4"/>
  <c r="AF361" i="4" s="1"/>
  <c r="P361" i="4" s="1"/>
  <c r="AE99" i="4"/>
  <c r="AG99" i="4" s="1"/>
  <c r="O99" i="4" s="1"/>
  <c r="AD99" i="4"/>
  <c r="AF99" i="4" s="1"/>
  <c r="P99" i="4" s="1"/>
  <c r="AD217" i="4"/>
  <c r="AF217" i="4" s="1"/>
  <c r="P217" i="4" s="1"/>
  <c r="AE217" i="4"/>
  <c r="AG217" i="4" s="1"/>
  <c r="O217" i="4" s="1"/>
  <c r="AD126" i="4"/>
  <c r="AF126" i="4" s="1"/>
  <c r="P126" i="4" s="1"/>
  <c r="AE126" i="4"/>
  <c r="AG126" i="4" s="1"/>
  <c r="O126" i="4" s="1"/>
  <c r="F22" i="4" l="1"/>
  <c r="F23" i="4"/>
  <c r="F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Fagnani</author>
  </authors>
  <commentList>
    <comment ref="C20" authorId="0" shapeId="0" xr:uid="{FD6FF304-82E1-456B-96DC-586C962400C6}">
      <text>
        <r>
          <rPr>
            <sz val="9"/>
            <color indexed="81"/>
            <rFont val="Tahoma"/>
            <family val="2"/>
          </rPr>
          <t xml:space="preserve">Reference designators taken from TPS43061EVM-198. Reference designator in parenthesis signifies a difference on TPS43060EVM-199.
</t>
        </r>
      </text>
    </comment>
  </commentList>
</comments>
</file>

<file path=xl/sharedStrings.xml><?xml version="1.0" encoding="utf-8"?>
<sst xmlns="http://schemas.openxmlformats.org/spreadsheetml/2006/main" count="688" uniqueCount="464">
  <si>
    <t>Output Voltage</t>
  </si>
  <si>
    <t>A/V</t>
  </si>
  <si>
    <t>A</t>
  </si>
  <si>
    <t>V</t>
  </si>
  <si>
    <t>Kind</t>
  </si>
  <si>
    <t>Hz</t>
  </si>
  <si>
    <t>H</t>
  </si>
  <si>
    <t>F</t>
  </si>
  <si>
    <t>Units</t>
  </si>
  <si>
    <t>Value</t>
  </si>
  <si>
    <t>Ro</t>
  </si>
  <si>
    <t>dB</t>
  </si>
  <si>
    <t>W</t>
  </si>
  <si>
    <t>Sn</t>
  </si>
  <si>
    <t>Se</t>
  </si>
  <si>
    <t>Frequency</t>
  </si>
  <si>
    <t>Transconductance of error amplifier</t>
  </si>
  <si>
    <t>Output resistance of error amplifier</t>
  </si>
  <si>
    <t>Reference voltage</t>
  </si>
  <si>
    <t>Fco_target</t>
  </si>
  <si>
    <t>frhpz_mod</t>
  </si>
  <si>
    <t>fp_mod</t>
  </si>
  <si>
    <t>PM</t>
  </si>
  <si>
    <t>Vout</t>
  </si>
  <si>
    <t>Power Stage Design</t>
  </si>
  <si>
    <t>ABS(Total Gain)</t>
  </si>
  <si>
    <t>GM</t>
  </si>
  <si>
    <t>DCR</t>
  </si>
  <si>
    <t>Fco</t>
  </si>
  <si>
    <t>Ω</t>
  </si>
  <si>
    <t>Icrit</t>
  </si>
  <si>
    <t>Compensation Design</t>
  </si>
  <si>
    <t>Minimum on time</t>
  </si>
  <si>
    <t>Fm</t>
  </si>
  <si>
    <t>Iout</t>
  </si>
  <si>
    <t>fsw</t>
  </si>
  <si>
    <t>Duty Cycle</t>
  </si>
  <si>
    <t>Power Stage</t>
  </si>
  <si>
    <t>FP</t>
  </si>
  <si>
    <t>FZ</t>
  </si>
  <si>
    <t>FP2</t>
  </si>
  <si>
    <t>Output voltage</t>
  </si>
  <si>
    <t>sec</t>
  </si>
  <si>
    <t>MIN</t>
  </si>
  <si>
    <t>TYP</t>
  </si>
  <si>
    <t>MAX</t>
  </si>
  <si>
    <t>Input voltage</t>
  </si>
  <si>
    <t>Switching frequency</t>
  </si>
  <si>
    <t>Device Constants</t>
  </si>
  <si>
    <t>Cell Color Key</t>
  </si>
  <si>
    <t>Calculated</t>
  </si>
  <si>
    <t>User Input</t>
  </si>
  <si>
    <t>Design Specifications</t>
  </si>
  <si>
    <t>Vin</t>
  </si>
  <si>
    <t>Rea</t>
  </si>
  <si>
    <t>Vref</t>
  </si>
  <si>
    <t>Rdson</t>
  </si>
  <si>
    <t>Feature Components</t>
  </si>
  <si>
    <t>KPS_fco</t>
  </si>
  <si>
    <t>L</t>
  </si>
  <si>
    <t>Vripple</t>
  </si>
  <si>
    <t>dItran</t>
  </si>
  <si>
    <t>dVtran</t>
  </si>
  <si>
    <t>Inductor RMS current (Vin_min)</t>
  </si>
  <si>
    <t>Equivalent output resistance</t>
  </si>
  <si>
    <t>Pole of power stage</t>
  </si>
  <si>
    <t>Right half plane zero (RHPZ) of power stage</t>
  </si>
  <si>
    <t>Irms_cin</t>
  </si>
  <si>
    <t>Irms_cout</t>
  </si>
  <si>
    <t>Target crossover frequency</t>
  </si>
  <si>
    <t>Std. Resistors</t>
  </si>
  <si>
    <t>Capacitors</t>
  </si>
  <si>
    <t>Enter resistor value</t>
  </si>
  <si>
    <t>E6</t>
  </si>
  <si>
    <t>E96</t>
  </si>
  <si>
    <t>Cap value</t>
  </si>
  <si>
    <t>Closest E6 Value</t>
  </si>
  <si>
    <t>Closest E12 Value</t>
  </si>
  <si>
    <t>C values up to 10nF</t>
  </si>
  <si>
    <t>Closest E24 Value</t>
  </si>
  <si>
    <t>Closest E48 Value</t>
  </si>
  <si>
    <t>Closest E96 Value</t>
  </si>
  <si>
    <t>E12</t>
  </si>
  <si>
    <t>C values greater than 10nF</t>
  </si>
  <si>
    <t>E24</t>
  </si>
  <si>
    <t>E48</t>
  </si>
  <si>
    <t>Chosen compensation resistor</t>
  </si>
  <si>
    <t>Calculated and nearest STD value compensation capacitor</t>
  </si>
  <si>
    <t>Chosen compensation capacitor</t>
  </si>
  <si>
    <t>Calculated and nearest STD value high frequency roll off cap based on fco_target</t>
  </si>
  <si>
    <t>Calculated and nearest STD value high frequency roll off cap based on ESR zero of output capacitor</t>
  </si>
  <si>
    <t>Input capacitors must be rated to handle RMS current</t>
  </si>
  <si>
    <t>fzesr_mod</t>
  </si>
  <si>
    <t>This worksheet is designed for use with Microsoft Excel 2002 or later.  It is intended to assist circuit designers in their</t>
  </si>
  <si>
    <t>routine, day-to-day calculations.  Additional worksheets may be added as they are completed.</t>
  </si>
  <si>
    <t>Important:  Analysis Toolpak is needed to run small signal worksheet.   Go to Tools&gt;Add-Ins&gt; select Analysis Toolpak</t>
  </si>
  <si>
    <t>Disclaimer:</t>
  </si>
  <si>
    <t>This product is designed as an aid for customers of Texas Instruments.  No warranties, either express</t>
  </si>
  <si>
    <t>or implied, with respect to this software or its fitness for any particular purpose is made by Texas</t>
  </si>
  <si>
    <t>Instruments or the author.  The software is licensed solely on an "as is" basis.  The entire risk as to its</t>
  </si>
  <si>
    <t>quality and performance is with the user.</t>
  </si>
  <si>
    <t>All worksheets contain yellow user-input cells, blue calculated cells, and grey constants cells.</t>
  </si>
  <si>
    <t>Hide Sheet</t>
  </si>
  <si>
    <t>© 2012</t>
  </si>
  <si>
    <t>Schematic and Final Component List</t>
  </si>
  <si>
    <t>Ref. Des.</t>
  </si>
  <si>
    <t>Chosen top resistor in feedback voltage divider</t>
  </si>
  <si>
    <t>Chosen fsw set resistor</t>
  </si>
  <si>
    <t>Load transient output current change (50% Iout default)</t>
  </si>
  <si>
    <t>Load transient output voltage change (4% Vout default)</t>
  </si>
  <si>
    <t>Inductor current ripple fraction (typical values 0.2 to 0.4)</t>
  </si>
  <si>
    <t>Inductor Selection (L)</t>
  </si>
  <si>
    <t>Input Capacitor (CI)</t>
  </si>
  <si>
    <t>Output Capacitor (CO)</t>
  </si>
  <si>
    <t>RCOMP calc</t>
  </si>
  <si>
    <t>CCOMP calc</t>
  </si>
  <si>
    <t>CHF calc</t>
  </si>
  <si>
    <t>CHF calc ESR</t>
  </si>
  <si>
    <t xml:space="preserve">Inductor ripple with selected inductance (Vin_min, Vin_nom, Vin_max) </t>
  </si>
  <si>
    <t>Peak current and +20% for recommended minimum inductor saturation current rating</t>
  </si>
  <si>
    <t>DS Equation #</t>
  </si>
  <si>
    <t>n/a</t>
  </si>
  <si>
    <t>D</t>
  </si>
  <si>
    <t>Values and Minimum Recommended Ratings</t>
  </si>
  <si>
    <t>Minimum Cout for output voltage ripple specification</t>
  </si>
  <si>
    <t>Minimum Cout for load transient output voltage change specification (uses fco_target from compensation section)</t>
  </si>
  <si>
    <t>Output capacitors must be rated to handle RMS current (Vin_min)</t>
  </si>
  <si>
    <t>Pole from Rea and CCOMP</t>
  </si>
  <si>
    <t>Zero from RCOMP and CCOMP</t>
  </si>
  <si>
    <t>Chosen CHF (1E-12 is open)</t>
  </si>
  <si>
    <t>Values from Calculations</t>
  </si>
  <si>
    <t>Calculations for Plotting</t>
  </si>
  <si>
    <r>
      <t>C</t>
    </r>
    <r>
      <rPr>
        <vertAlign val="subscript"/>
        <sz val="12"/>
        <rFont val="Arial"/>
        <family val="2"/>
      </rPr>
      <t>COMP</t>
    </r>
  </si>
  <si>
    <r>
      <t>C</t>
    </r>
    <r>
      <rPr>
        <vertAlign val="subscript"/>
        <sz val="12"/>
        <rFont val="Arial"/>
        <family val="2"/>
      </rPr>
      <t>HF</t>
    </r>
  </si>
  <si>
    <r>
      <t>R</t>
    </r>
    <r>
      <rPr>
        <vertAlign val="subscript"/>
        <sz val="12"/>
        <rFont val="Arial"/>
        <family val="2"/>
      </rPr>
      <t>SH</t>
    </r>
  </si>
  <si>
    <r>
      <t>R</t>
    </r>
    <r>
      <rPr>
        <vertAlign val="subscript"/>
        <sz val="12"/>
        <rFont val="Arial"/>
        <family val="2"/>
      </rPr>
      <t>SL</t>
    </r>
  </si>
  <si>
    <r>
      <t>R</t>
    </r>
    <r>
      <rPr>
        <vertAlign val="subscript"/>
        <sz val="12"/>
        <rFont val="Arial"/>
        <family val="2"/>
      </rPr>
      <t>COMP</t>
    </r>
  </si>
  <si>
    <t>Co</t>
  </si>
  <si>
    <t>kHz</t>
  </si>
  <si>
    <t>Values for Plotting</t>
  </si>
  <si>
    <t>Radians</t>
  </si>
  <si>
    <t>Ccer</t>
  </si>
  <si>
    <t>Rcer</t>
  </si>
  <si>
    <t>M</t>
  </si>
  <si>
    <t>Gain Gvd CCM</t>
  </si>
  <si>
    <t>Phase Gvd CCM</t>
  </si>
  <si>
    <t>Acs</t>
  </si>
  <si>
    <t>Vsl</t>
  </si>
  <si>
    <t>m</t>
  </si>
  <si>
    <t>q0</t>
  </si>
  <si>
    <t>wn</t>
  </si>
  <si>
    <t>Zon(s)</t>
  </si>
  <si>
    <t>Zc(s)</t>
  </si>
  <si>
    <t>Zoff(s)</t>
  </si>
  <si>
    <t>Gvd_CCM(s)</t>
  </si>
  <si>
    <t>He(s)</t>
  </si>
  <si>
    <t>Ti(s)</t>
  </si>
  <si>
    <t>Gid(s)</t>
  </si>
  <si>
    <t>Gvc(s)</t>
  </si>
  <si>
    <t>Gain Gvc CCM</t>
  </si>
  <si>
    <t>Phase Gvc CCM</t>
  </si>
  <si>
    <t>Gea(s)</t>
  </si>
  <si>
    <t>Gain Gea</t>
  </si>
  <si>
    <t>Phase Gea</t>
  </si>
  <si>
    <t>Total Gain</t>
  </si>
  <si>
    <t>Total Phase</t>
  </si>
  <si>
    <t>ABS(Total Phase)</t>
  </si>
  <si>
    <t>ABS(Gvc Phase)</t>
  </si>
  <si>
    <t>Target PM</t>
  </si>
  <si>
    <t>*Data gathered by the Venable 350 System</t>
  </si>
  <si>
    <t>*Frequency (Hz)</t>
  </si>
  <si>
    <t>Gain (dB)</t>
  </si>
  <si>
    <t>Phase (Deg)</t>
  </si>
  <si>
    <t>Gvc</t>
  </si>
  <si>
    <t>Gea</t>
  </si>
  <si>
    <t>Total</t>
  </si>
  <si>
    <t>Type 3</t>
  </si>
  <si>
    <t>Cff</t>
  </si>
  <si>
    <t>Rff</t>
  </si>
  <si>
    <t>Cff calc</t>
  </si>
  <si>
    <t>Rff Calc</t>
  </si>
  <si>
    <t>aol</t>
  </si>
  <si>
    <t>gbw</t>
  </si>
  <si>
    <t>Risense</t>
  </si>
  <si>
    <r>
      <t>C</t>
    </r>
    <r>
      <rPr>
        <vertAlign val="subscript"/>
        <sz val="12"/>
        <color indexed="8"/>
        <rFont val="Arial"/>
        <family val="2"/>
      </rPr>
      <t>I</t>
    </r>
  </si>
  <si>
    <r>
      <t>C</t>
    </r>
    <r>
      <rPr>
        <vertAlign val="subscript"/>
        <sz val="12"/>
        <color indexed="8"/>
        <rFont val="Arial"/>
        <family val="2"/>
      </rPr>
      <t>O</t>
    </r>
  </si>
  <si>
    <r>
      <t>C</t>
    </r>
    <r>
      <rPr>
        <vertAlign val="subscript"/>
        <sz val="12"/>
        <color indexed="8"/>
        <rFont val="Arial"/>
        <family val="2"/>
      </rPr>
      <t>SS</t>
    </r>
  </si>
  <si>
    <r>
      <t>C</t>
    </r>
    <r>
      <rPr>
        <vertAlign val="subscript"/>
        <sz val="12"/>
        <color indexed="8"/>
        <rFont val="Arial"/>
        <family val="2"/>
      </rPr>
      <t>HF</t>
    </r>
  </si>
  <si>
    <r>
      <t>R</t>
    </r>
    <r>
      <rPr>
        <vertAlign val="subscript"/>
        <sz val="12"/>
        <color indexed="8"/>
        <rFont val="Arial"/>
        <family val="2"/>
      </rPr>
      <t>SH</t>
    </r>
  </si>
  <si>
    <r>
      <t>R</t>
    </r>
    <r>
      <rPr>
        <vertAlign val="subscript"/>
        <sz val="12"/>
        <color indexed="8"/>
        <rFont val="Arial"/>
        <family val="2"/>
      </rPr>
      <t>SL</t>
    </r>
  </si>
  <si>
    <t>Vin nom</t>
  </si>
  <si>
    <t>Vin min</t>
  </si>
  <si>
    <t>Vin max</t>
  </si>
  <si>
    <t>Minimum off time</t>
  </si>
  <si>
    <t>Dnom</t>
  </si>
  <si>
    <t>Duty cycle at nominal input voltage</t>
  </si>
  <si>
    <t>Duty cycle at minimum input voltage</t>
  </si>
  <si>
    <t>Duty cycle at maximum input voltage</t>
  </si>
  <si>
    <t>Dmax off time, Dmin on time</t>
  </si>
  <si>
    <t>Vcs min</t>
  </si>
  <si>
    <t>Rsense max</t>
  </si>
  <si>
    <t>P Rsense</t>
  </si>
  <si>
    <t>Iripple</t>
  </si>
  <si>
    <t>IL rms</t>
  </si>
  <si>
    <t>IL peak, Isat</t>
  </si>
  <si>
    <t>PL cond</t>
  </si>
  <si>
    <t>Minimum power rating for current sense resistor in normal operating conditions</t>
  </si>
  <si>
    <t>Selected sense resistor</t>
  </si>
  <si>
    <t>Cout min ripple</t>
  </si>
  <si>
    <t>Cout min transient</t>
  </si>
  <si>
    <t>Cout ESR max</t>
  </si>
  <si>
    <t>Estimated maximum Cout ESR to meet ripple specification</t>
  </si>
  <si>
    <t>Viripple</t>
  </si>
  <si>
    <t>Rdson hs</t>
  </si>
  <si>
    <t>Qg ls</t>
  </si>
  <si>
    <t>Rdson ls</t>
  </si>
  <si>
    <t>Phs cond</t>
  </si>
  <si>
    <t>Pls sw</t>
  </si>
  <si>
    <t>Pls cond</t>
  </si>
  <si>
    <t>Qg hs</t>
  </si>
  <si>
    <t>C</t>
  </si>
  <si>
    <t>Rg ls</t>
  </si>
  <si>
    <t>Rgd ls</t>
  </si>
  <si>
    <t>Idrive</t>
  </si>
  <si>
    <t>Vfboot</t>
  </si>
  <si>
    <t>Rg hs</t>
  </si>
  <si>
    <t>Forward voltage of internal or external boot diode</t>
  </si>
  <si>
    <t>Minimum Cin for input voltage ripple specification</t>
  </si>
  <si>
    <t>Rgd hs</t>
  </si>
  <si>
    <t>Vcc</t>
  </si>
  <si>
    <t>Vf body</t>
  </si>
  <si>
    <t>Phs dt</t>
  </si>
  <si>
    <t>tonmin</t>
  </si>
  <si>
    <t>toffmin</t>
  </si>
  <si>
    <t>PIC Iq</t>
  </si>
  <si>
    <t>Forward voltage of body diode</t>
  </si>
  <si>
    <t>Ven on</t>
  </si>
  <si>
    <t>Ien pup</t>
  </si>
  <si>
    <t>Ien hys</t>
  </si>
  <si>
    <t>Ven dis</t>
  </si>
  <si>
    <t>Iq</t>
  </si>
  <si>
    <t>DC Gain</t>
  </si>
  <si>
    <t>PIC gate drive</t>
  </si>
  <si>
    <t>tss</t>
  </si>
  <si>
    <t>Soft-start time</t>
  </si>
  <si>
    <t>Iss</t>
  </si>
  <si>
    <t>Current sense threshold max duty cycle</t>
  </si>
  <si>
    <t>Current sense threshold 0% to 40% duty cycle</t>
  </si>
  <si>
    <t>Internal regulator voltage</t>
  </si>
  <si>
    <t>Internal boot diode forward voltage</t>
  </si>
  <si>
    <t>EN rising threshold</t>
  </si>
  <si>
    <t>EN falling threshold</t>
  </si>
  <si>
    <t>EN pull up current source</t>
  </si>
  <si>
    <t>EN hysteresis current source</t>
  </si>
  <si>
    <t>Operationg non switching quiescent current</t>
  </si>
  <si>
    <t>Soft-start current source</t>
  </si>
  <si>
    <t>fco1</t>
  </si>
  <si>
    <t>fco2</t>
  </si>
  <si>
    <t>Modelled power stage gain at targeted fco</t>
  </si>
  <si>
    <t>Input power stage gain at targeted fco to calculate compensation components</t>
  </si>
  <si>
    <t>Pole from RCOMP and CHF</t>
  </si>
  <si>
    <t>Css calc</t>
  </si>
  <si>
    <t>Calculated and nearest standard value soft-start capacitor</t>
  </si>
  <si>
    <t>Chosen soft-start capacitor</t>
  </si>
  <si>
    <t>Calculated and nearest 1% STD value fsw set resistor</t>
  </si>
  <si>
    <t>Calculated and nearest 1% STD value top resistor for feedback voltage divider</t>
  </si>
  <si>
    <t>Bottom resistor for feedback voltage divider</t>
  </si>
  <si>
    <t>Calculated and nearest 1% STD value top resistor for UVLO divider</t>
  </si>
  <si>
    <t>Chosen top UVLO resistor</t>
  </si>
  <si>
    <t>Chosen bottom UVLO resistor</t>
  </si>
  <si>
    <t>Calculated and nearest 1% STD value bottom resistor for UVLO divider</t>
  </si>
  <si>
    <t>Co ESR</t>
  </si>
  <si>
    <t>Loop Response Results</t>
  </si>
  <si>
    <t>LDRV pull-up resistance</t>
  </si>
  <si>
    <t>Rldrv pd</t>
  </si>
  <si>
    <t>Rldrv pu</t>
  </si>
  <si>
    <t>Rhdrv pu</t>
  </si>
  <si>
    <t>Rhdrv pd</t>
  </si>
  <si>
    <t>LDRV pull-down resistance</t>
  </si>
  <si>
    <t>HDRV pull-up resistance</t>
  </si>
  <si>
    <t>HDRV pull-down resistance</t>
  </si>
  <si>
    <t>Recommended maximum target crossover frequency (frhpz)</t>
  </si>
  <si>
    <t>RCOMP</t>
  </si>
  <si>
    <t>CCOMP</t>
  </si>
  <si>
    <t>CHF</t>
  </si>
  <si>
    <t>TPS4306x Boost Equation Set from Datasheet</t>
  </si>
  <si>
    <t>Gate charge of selected FET</t>
  </si>
  <si>
    <t>Rdson of selected FET</t>
  </si>
  <si>
    <t>Gate resistance of selected FET</t>
  </si>
  <si>
    <t>Nominal input voltage</t>
  </si>
  <si>
    <t>Minimum input voltage</t>
  </si>
  <si>
    <t>Maximum input voltage</t>
  </si>
  <si>
    <t>LDRV series resistance</t>
  </si>
  <si>
    <t>HDRV series resistance</t>
  </si>
  <si>
    <t>Quiescent current power loss in IC</t>
  </si>
  <si>
    <t>Calculated turn off voltage with selected resistors</t>
  </si>
  <si>
    <t>Calculated turn on voltage with selected resistors</t>
  </si>
  <si>
    <t>DC gain of power stage</t>
  </si>
  <si>
    <t>ESR zero of output capacitor</t>
  </si>
  <si>
    <t>TPS43060</t>
  </si>
  <si>
    <t>TPS43061</t>
  </si>
  <si>
    <t>Part #</t>
  </si>
  <si>
    <t>Dmax</t>
  </si>
  <si>
    <t>Dmin</t>
  </si>
  <si>
    <t>Cboot</t>
  </si>
  <si>
    <t>Minimum bootstrap capacitor</t>
  </si>
  <si>
    <t>L min1</t>
  </si>
  <si>
    <t>L min2</t>
  </si>
  <si>
    <t>L min3</t>
  </si>
  <si>
    <t>Inductor current ripple target based on Kind and average current with minimum input voltage</t>
  </si>
  <si>
    <t>Vth</t>
  </si>
  <si>
    <t>Threshold Voltage</t>
  </si>
  <si>
    <t>Iripple target</t>
  </si>
  <si>
    <t>See Small Signal sheet for gain and phase graphs</t>
  </si>
  <si>
    <t>TPS4306x Boost Design Calculator</t>
  </si>
  <si>
    <t>Estimated gate drive power loss in IC including gate drive series resistance and gate resistance of FETs</t>
  </si>
  <si>
    <t>Estimated total gate drive power loss (not including gate resistance of FETs or external series gate drive resistance)</t>
  </si>
  <si>
    <t>Iin max</t>
  </si>
  <si>
    <t>trise, tfall</t>
  </si>
  <si>
    <t>Coss</t>
  </si>
  <si>
    <t>Qgd</t>
  </si>
  <si>
    <t>Select Device</t>
  </si>
  <si>
    <t>Time delay between DRV signals</t>
  </si>
  <si>
    <t>tnonoverlap</t>
  </si>
  <si>
    <t>Ilim typ</t>
  </si>
  <si>
    <t>Typical current limit with selected sense resistor</t>
  </si>
  <si>
    <t>Iout max</t>
  </si>
  <si>
    <t>*05:53PM Monday, October 01, 2012</t>
  </si>
  <si>
    <t>Ilim min</t>
  </si>
  <si>
    <t>*Data gathered by the 3120 System</t>
  </si>
  <si>
    <t>*09:58PM Tuesday, October 02, 2012</t>
  </si>
  <si>
    <t>*10:55AM Wednesday, October 03, 2012</t>
  </si>
  <si>
    <t>Minimum current limit with selected sense resistor</t>
  </si>
  <si>
    <t>Estimated Efficiency</t>
  </si>
  <si>
    <t>fsw max</t>
  </si>
  <si>
    <t>Ptot ls</t>
  </si>
  <si>
    <t>Ptot hs</t>
  </si>
  <si>
    <t>Vcs typ</t>
  </si>
  <si>
    <t>Ipsm</t>
  </si>
  <si>
    <t>Recommended maximum target crossover frequency (fsw)</t>
  </si>
  <si>
    <t>The calculator provides the small signal gain and phase for the final design. The small signal model currently supports CCM only.</t>
  </si>
  <si>
    <t>Vcsmax (0% duty cycle)</t>
  </si>
  <si>
    <t>Vcsmax (max duty cycle)</t>
  </si>
  <si>
    <t>Maximum average input current (assumes 100% efficiency)</t>
  </si>
  <si>
    <t>12,13</t>
  </si>
  <si>
    <t>Estimated critical output current to remain in CCM (Vin_min, Vin_nom, Vin_max)</t>
  </si>
  <si>
    <t>Estimated output current when pulse skipping begins (Vin_min, Vin_nom, Vin_max)</t>
  </si>
  <si>
    <t>Full load conduction losses in inductor (Vin_min, Vin_nom, Vin_max)</t>
  </si>
  <si>
    <t>This tool supports the TPS4306x datasheet (SLVSBP4)</t>
  </si>
  <si>
    <t>Typical over-current current sense voltage based on Figure 19 in datasheet</t>
  </si>
  <si>
    <t>Minimum over-current current sense voltage (10 mV below typical)</t>
  </si>
  <si>
    <t>Maximum output current with typical over-current sense voltage</t>
  </si>
  <si>
    <t>Maximum output current using minimum over-current sense voltage</t>
  </si>
  <si>
    <t>Maximum current sense resistor using Vcs min and 20% tolerance to account for efficiency and transients</t>
  </si>
  <si>
    <t>Output Capacitance</t>
  </si>
  <si>
    <t>Gate to dran charge</t>
  </si>
  <si>
    <t>Estimated switching losses</t>
  </si>
  <si>
    <t>Selected bootstrap capacitor</t>
  </si>
  <si>
    <t>Estimated full load conduction losses in FET (Vin_min)</t>
  </si>
  <si>
    <t>Estimated losses in low-side FET (Vin_min)</t>
  </si>
  <si>
    <t>Estimated max load conduction losses in FET (Vin_min)</t>
  </si>
  <si>
    <t>Estimated max load dead time losses in FET (Vin_min)</t>
  </si>
  <si>
    <t>Estimated losses in high-side FET (Vin_min)</t>
  </si>
  <si>
    <t>PIC VCC</t>
  </si>
  <si>
    <t>Estimated power loss in internal VCC regulator</t>
  </si>
  <si>
    <t>Selected FET</t>
  </si>
  <si>
    <t>Selected Dboot</t>
  </si>
  <si>
    <t>RHS calc</t>
  </si>
  <si>
    <t>RHS chosen</t>
  </si>
  <si>
    <t>Vstart</t>
  </si>
  <si>
    <t>Vstop</t>
  </si>
  <si>
    <t>fco_target</t>
  </si>
  <si>
    <t>Calculated and nearest 1% STD value compensation resistor based on estimation in data sheet</t>
  </si>
  <si>
    <t>Calculated and nearest 1% STD value compensation resistor based on small signal model in excel</t>
  </si>
  <si>
    <r>
      <t>R</t>
    </r>
    <r>
      <rPr>
        <vertAlign val="subscript"/>
        <sz val="12"/>
        <color indexed="8"/>
        <rFont val="Arial"/>
        <family val="2"/>
      </rPr>
      <t>T</t>
    </r>
  </si>
  <si>
    <r>
      <t>R</t>
    </r>
    <r>
      <rPr>
        <vertAlign val="subscript"/>
        <sz val="12"/>
        <color indexed="8"/>
        <rFont val="Arial"/>
        <family val="2"/>
      </rPr>
      <t>SENSE</t>
    </r>
  </si>
  <si>
    <r>
      <t>C</t>
    </r>
    <r>
      <rPr>
        <vertAlign val="subscript"/>
        <sz val="12"/>
        <color indexed="8"/>
        <rFont val="Arial"/>
        <family val="2"/>
      </rPr>
      <t>C</t>
    </r>
  </si>
  <si>
    <r>
      <t>R</t>
    </r>
    <r>
      <rPr>
        <vertAlign val="subscript"/>
        <sz val="12"/>
        <color indexed="8"/>
        <rFont val="Arial"/>
        <family val="2"/>
      </rPr>
      <t>C</t>
    </r>
  </si>
  <si>
    <t>3.6V</t>
  </si>
  <si>
    <t>CVcc</t>
  </si>
  <si>
    <r>
      <t>C</t>
    </r>
    <r>
      <rPr>
        <vertAlign val="subscript"/>
        <sz val="12"/>
        <color indexed="8"/>
        <rFont val="Arial"/>
        <family val="2"/>
      </rPr>
      <t>BOOT</t>
    </r>
  </si>
  <si>
    <r>
      <t>C</t>
    </r>
    <r>
      <rPr>
        <vertAlign val="subscript"/>
        <sz val="12"/>
        <color indexed="8"/>
        <rFont val="Arial"/>
        <family val="2"/>
      </rPr>
      <t>VCC</t>
    </r>
  </si>
  <si>
    <r>
      <t>Q</t>
    </r>
    <r>
      <rPr>
        <vertAlign val="subscript"/>
        <sz val="12"/>
        <color indexed="8"/>
        <rFont val="Arial"/>
        <family val="2"/>
      </rPr>
      <t>H</t>
    </r>
  </si>
  <si>
    <r>
      <t>Q</t>
    </r>
    <r>
      <rPr>
        <vertAlign val="subscript"/>
        <sz val="12"/>
        <color indexed="8"/>
        <rFont val="Arial"/>
        <family val="2"/>
      </rPr>
      <t>L</t>
    </r>
  </si>
  <si>
    <r>
      <t>D</t>
    </r>
    <r>
      <rPr>
        <vertAlign val="subscript"/>
        <sz val="12"/>
        <color indexed="8"/>
        <rFont val="Arial"/>
        <family val="2"/>
      </rPr>
      <t>BOOT</t>
    </r>
  </si>
  <si>
    <t>Input part number for selected low-side FET</t>
  </si>
  <si>
    <t>Input part number for selected high-side FET</t>
  </si>
  <si>
    <t>Total required gate drive current (must be less than 50mA Vcc minimum current limit)</t>
  </si>
  <si>
    <t>Input part number for selected external boot diode (TPS43060 only)</t>
  </si>
  <si>
    <t>EVM Ref. Des.</t>
  </si>
  <si>
    <t>C9</t>
  </si>
  <si>
    <t>C7</t>
  </si>
  <si>
    <t>C8</t>
  </si>
  <si>
    <t>C1</t>
  </si>
  <si>
    <t>C6</t>
  </si>
  <si>
    <t>D1</t>
  </si>
  <si>
    <t>L1</t>
  </si>
  <si>
    <t>Q1</t>
  </si>
  <si>
    <t>C13-C15 (C16)</t>
  </si>
  <si>
    <t>C2-C5, C16 (C17)</t>
  </si>
  <si>
    <t>Q1 (Q2)</t>
  </si>
  <si>
    <t>R16-R17 (R18)</t>
  </si>
  <si>
    <t>R7</t>
  </si>
  <si>
    <t>R5</t>
  </si>
  <si>
    <t>R8</t>
  </si>
  <si>
    <t>R9</t>
  </si>
  <si>
    <t>Low-side Boost FET (QL)</t>
  </si>
  <si>
    <t>Sense Resistor (RSENSE)</t>
  </si>
  <si>
    <t>High-side Synchronous FET (QH, CBOOT)</t>
  </si>
  <si>
    <t>IC (CVCC, DBOOT)</t>
  </si>
  <si>
    <t>Output Voltage (RSL, RSH)</t>
  </si>
  <si>
    <t>Soft-start (CSS)</t>
  </si>
  <si>
    <t>Adjustable UVLO (RUVLO_H, RUVLO_L)</t>
  </si>
  <si>
    <t>Compensation (RC, CC, CHF)</t>
  </si>
  <si>
    <r>
      <t>R</t>
    </r>
    <r>
      <rPr>
        <vertAlign val="subscript"/>
        <sz val="12"/>
        <color indexed="8"/>
        <rFont val="Arial"/>
        <family val="2"/>
      </rPr>
      <t>UVLOH</t>
    </r>
  </si>
  <si>
    <r>
      <t>R</t>
    </r>
    <r>
      <rPr>
        <vertAlign val="subscript"/>
        <sz val="12"/>
        <color indexed="8"/>
        <rFont val="Arial"/>
        <family val="2"/>
      </rPr>
      <t>UVLOL</t>
    </r>
  </si>
  <si>
    <t>Ruvloh calc</t>
  </si>
  <si>
    <t>Ruvlol calc</t>
  </si>
  <si>
    <t xml:space="preserve">     Value</t>
  </si>
  <si>
    <t>Devices Supported</t>
  </si>
  <si>
    <t>Constants</t>
  </si>
  <si>
    <t>V p-p</t>
  </si>
  <si>
    <t xml:space="preserve">  Description/Comments</t>
  </si>
  <si>
    <t>Output voltage ripple (1% Vout)</t>
  </si>
  <si>
    <t>Effective Cin min</t>
  </si>
  <si>
    <t>Chosen Cin</t>
  </si>
  <si>
    <t>Maximum Average Output current</t>
  </si>
  <si>
    <t>Optional adjustable UVLO turn on voltage</t>
  </si>
  <si>
    <t>Optional adjustable UVLO turn off voltage</t>
  </si>
  <si>
    <t>Input voltage ripple (1% Vin nom)</t>
  </si>
  <si>
    <t>Output capacitance selected (remember to include derating for ceramics)</t>
  </si>
  <si>
    <t>Input capacitance selected (remember to include derating for ceramics)</t>
  </si>
  <si>
    <t>Estimated duty cycle limits based on minimum on time and off time (assumes 100% efficiency)</t>
  </si>
  <si>
    <t>Minimum and maximum switching frequency based on duty cycle estimations</t>
  </si>
  <si>
    <t>RT calc</t>
  </si>
  <si>
    <t>RT chosen</t>
  </si>
  <si>
    <t>L chosen</t>
  </si>
  <si>
    <t>DC resistance (DCR) of selected inductor</t>
  </si>
  <si>
    <t>Selected inductance</t>
  </si>
  <si>
    <t>Rsense chosen</t>
  </si>
  <si>
    <t>Cout chosen</t>
  </si>
  <si>
    <t>ESR chosen</t>
  </si>
  <si>
    <t>ESR selected (if mixed output capacitors are used, use equivalent ESR of the non ceramic capacitors)</t>
  </si>
  <si>
    <t>Average gate drive current required</t>
  </si>
  <si>
    <t>Input selected VCC capacitor (0.47 µF to 10 µF recommended)</t>
  </si>
  <si>
    <t>RLS chosen</t>
  </si>
  <si>
    <t>Css chosen</t>
  </si>
  <si>
    <t>Ruvloh chosen</t>
  </si>
  <si>
    <t>Ruvlol chosen</t>
  </si>
  <si>
    <t>Power Good Resistor (RPG)</t>
  </si>
  <si>
    <t>RPG chosen</t>
  </si>
  <si>
    <t>Input selected value for optional power good pull up resistor (between 10k and 100k recommended)</t>
  </si>
  <si>
    <r>
      <t>R</t>
    </r>
    <r>
      <rPr>
        <vertAlign val="subscript"/>
        <sz val="12"/>
        <color indexed="8"/>
        <rFont val="Arial"/>
        <family val="2"/>
      </rPr>
      <t>PG</t>
    </r>
  </si>
  <si>
    <t>R1</t>
  </si>
  <si>
    <t xml:space="preserve">Minimum inductance calculated based on Iripple target (Vin_max) </t>
  </si>
  <si>
    <t xml:space="preserve">Minimum inductance calculated based on Iripple target (Vin_min) </t>
  </si>
  <si>
    <t xml:space="preserve">Minimum inductance calculated based on Iripple target (50% duty cycle) </t>
  </si>
  <si>
    <t>The calculator includes boost power stage design in CCM using the TPS43061EVM-198 design requirements as the original input.</t>
  </si>
  <si>
    <t>Leave the password blank to unlock the individual sheets or workbook.</t>
  </si>
  <si>
    <t>TPS4306x Boost Design Calculator Tool - Rev. B</t>
  </si>
  <si>
    <t>Rev. B</t>
  </si>
  <si>
    <t>Revision notes</t>
  </si>
  <si>
    <t>fixed typos in equations on the Boost Calculations tab in row 68, 69 and 74</t>
  </si>
  <si>
    <t>BSC059N04LS6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</si>
</sst>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##0.00E+0"/>
    <numFmt numFmtId="167" formatCode="0.000000"/>
    <numFmt numFmtId="168" formatCode="##0E+0"/>
  </numFmts>
  <fonts count="3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10"/>
      <color indexed="10"/>
      <name val="Arial"/>
      <family val="2"/>
    </font>
    <font>
      <sz val="10"/>
      <color indexed="22"/>
      <name val="Arial"/>
      <family val="2"/>
    </font>
    <font>
      <b/>
      <sz val="2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vertAlign val="subscript"/>
      <sz val="12"/>
      <name val="Arial"/>
      <family val="2"/>
    </font>
    <font>
      <vertAlign val="subscript"/>
      <sz val="12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</borders>
  <cellStyleXfs count="9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9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79">
    <xf numFmtId="0" fontId="0" fillId="0" borderId="0" xfId="0"/>
    <xf numFmtId="0" fontId="0" fillId="2" borderId="0" xfId="0" applyFill="1"/>
    <xf numFmtId="0" fontId="6" fillId="2" borderId="0" xfId="3" applyFont="1" applyFill="1" applyProtection="1">
      <protection hidden="1"/>
    </xf>
    <xf numFmtId="0" fontId="1" fillId="2" borderId="0" xfId="3" applyFill="1" applyProtection="1">
      <protection hidden="1"/>
    </xf>
    <xf numFmtId="0" fontId="7" fillId="2" borderId="0" xfId="3" applyFont="1" applyFill="1" applyProtection="1">
      <protection hidden="1"/>
    </xf>
    <xf numFmtId="49" fontId="1" fillId="2" borderId="0" xfId="3" applyNumberFormat="1" applyFill="1" applyProtection="1">
      <protection hidden="1"/>
    </xf>
    <xf numFmtId="0" fontId="1" fillId="2" borderId="1" xfId="3" applyFill="1" applyBorder="1" applyProtection="1">
      <protection hidden="1"/>
    </xf>
    <xf numFmtId="0" fontId="9" fillId="3" borderId="2" xfId="3" applyFont="1" applyFill="1" applyBorder="1" applyProtection="1">
      <protection hidden="1"/>
    </xf>
    <xf numFmtId="1" fontId="8" fillId="2" borderId="0" xfId="3" applyNumberFormat="1" applyFont="1" applyFill="1" applyProtection="1">
      <protection hidden="1"/>
    </xf>
    <xf numFmtId="0" fontId="11" fillId="4" borderId="3" xfId="3" applyFont="1" applyFill="1" applyBorder="1" applyProtection="1">
      <protection hidden="1"/>
    </xf>
    <xf numFmtId="0" fontId="8" fillId="2" borderId="0" xfId="3" applyFont="1" applyFill="1" applyProtection="1">
      <protection hidden="1"/>
    </xf>
    <xf numFmtId="0" fontId="10" fillId="5" borderId="4" xfId="3" applyFont="1" applyFill="1" applyBorder="1" applyAlignment="1">
      <alignment horizontal="center" wrapText="1"/>
    </xf>
    <xf numFmtId="0" fontId="10" fillId="5" borderId="5" xfId="3" applyFont="1" applyFill="1" applyBorder="1" applyAlignment="1">
      <alignment horizontal="center" wrapText="1"/>
    </xf>
    <xf numFmtId="0" fontId="10" fillId="6" borderId="4" xfId="3" applyFont="1" applyFill="1" applyBorder="1" applyAlignment="1">
      <alignment horizontal="center" wrapText="1"/>
    </xf>
    <xf numFmtId="0" fontId="10" fillId="6" borderId="6" xfId="3" applyFont="1" applyFill="1" applyBorder="1" applyAlignment="1">
      <alignment horizontal="center" wrapText="1"/>
    </xf>
    <xf numFmtId="0" fontId="9" fillId="3" borderId="7" xfId="3" applyFont="1" applyFill="1" applyBorder="1" applyProtection="1">
      <protection hidden="1"/>
    </xf>
    <xf numFmtId="0" fontId="1" fillId="2" borderId="8" xfId="3" applyFill="1" applyBorder="1" applyProtection="1">
      <protection hidden="1"/>
    </xf>
    <xf numFmtId="0" fontId="11" fillId="4" borderId="9" xfId="3" applyFont="1" applyFill="1" applyBorder="1" applyProtection="1">
      <protection hidden="1"/>
    </xf>
    <xf numFmtId="1" fontId="12" fillId="2" borderId="0" xfId="3" applyNumberFormat="1" applyFont="1" applyFill="1" applyProtection="1">
      <protection hidden="1"/>
    </xf>
    <xf numFmtId="165" fontId="13" fillId="2" borderId="0" xfId="3" applyNumberFormat="1" applyFont="1" applyFill="1" applyAlignment="1" applyProtection="1">
      <alignment horizontal="center"/>
      <protection hidden="1"/>
    </xf>
    <xf numFmtId="2" fontId="12" fillId="2" borderId="0" xfId="3" applyNumberFormat="1" applyFont="1" applyFill="1" applyAlignment="1" applyProtection="1">
      <alignment horizontal="center"/>
      <protection hidden="1"/>
    </xf>
    <xf numFmtId="0" fontId="1" fillId="2" borderId="10" xfId="3" applyFill="1" applyBorder="1" applyProtection="1">
      <protection hidden="1"/>
    </xf>
    <xf numFmtId="0" fontId="11" fillId="4" borderId="11" xfId="3" applyFont="1" applyFill="1" applyBorder="1" applyProtection="1">
      <protection hidden="1"/>
    </xf>
    <xf numFmtId="0" fontId="14" fillId="2" borderId="0" xfId="3" applyFont="1" applyFill="1" applyProtection="1">
      <protection hidden="1"/>
    </xf>
    <xf numFmtId="0" fontId="15" fillId="2" borderId="0" xfId="3" applyFont="1" applyFill="1" applyAlignment="1" applyProtection="1">
      <alignment horizontal="center" wrapText="1"/>
      <protection hidden="1"/>
    </xf>
    <xf numFmtId="2" fontId="1" fillId="2" borderId="0" xfId="3" applyNumberFormat="1" applyFill="1" applyAlignment="1" applyProtection="1">
      <alignment horizontal="center"/>
      <protection hidden="1"/>
    </xf>
    <xf numFmtId="1" fontId="1" fillId="2" borderId="0" xfId="3" applyNumberFormat="1" applyFill="1"/>
    <xf numFmtId="0" fontId="1" fillId="2" borderId="12" xfId="3" applyFill="1" applyBorder="1" applyProtection="1">
      <protection hidden="1"/>
    </xf>
    <xf numFmtId="0" fontId="11" fillId="4" borderId="13" xfId="3" applyFont="1" applyFill="1" applyBorder="1" applyProtection="1">
      <protection hidden="1"/>
    </xf>
    <xf numFmtId="0" fontId="10" fillId="7" borderId="14" xfId="3" applyFont="1" applyFill="1" applyBorder="1" applyAlignment="1">
      <alignment horizontal="center" wrapText="1"/>
    </xf>
    <xf numFmtId="0" fontId="10" fillId="7" borderId="4" xfId="3" applyFont="1" applyFill="1" applyBorder="1" applyAlignment="1">
      <alignment horizontal="center" wrapText="1"/>
    </xf>
    <xf numFmtId="0" fontId="10" fillId="7" borderId="5" xfId="3" applyFont="1" applyFill="1" applyBorder="1" applyAlignment="1">
      <alignment horizontal="center" wrapText="1"/>
    </xf>
    <xf numFmtId="0" fontId="1" fillId="2" borderId="0" xfId="3" applyFill="1" applyAlignment="1" applyProtection="1">
      <alignment horizontal="center"/>
      <protection hidden="1"/>
    </xf>
    <xf numFmtId="0" fontId="1" fillId="2" borderId="0" xfId="3" applyFill="1" applyAlignment="1">
      <alignment wrapText="1"/>
    </xf>
    <xf numFmtId="0" fontId="1" fillId="2" borderId="0" xfId="3" applyFill="1" applyAlignment="1">
      <alignment horizontal="center"/>
    </xf>
    <xf numFmtId="0" fontId="11" fillId="2" borderId="0" xfId="3" applyFont="1" applyFill="1" applyProtection="1">
      <protection hidden="1"/>
    </xf>
    <xf numFmtId="0" fontId="1" fillId="2" borderId="0" xfId="3" applyFill="1"/>
    <xf numFmtId="49" fontId="16" fillId="4" borderId="4" xfId="3" applyNumberFormat="1" applyFont="1" applyFill="1" applyBorder="1" applyAlignment="1">
      <alignment horizontal="center" wrapText="1"/>
    </xf>
    <xf numFmtId="49" fontId="16" fillId="4" borderId="5" xfId="3" applyNumberFormat="1" applyFont="1" applyFill="1" applyBorder="1" applyAlignment="1">
      <alignment horizontal="center" wrapText="1"/>
    </xf>
    <xf numFmtId="0" fontId="17" fillId="2" borderId="0" xfId="3" applyFont="1" applyFill="1"/>
    <xf numFmtId="49" fontId="1" fillId="2" borderId="0" xfId="3" applyNumberFormat="1" applyFill="1"/>
    <xf numFmtId="49" fontId="16" fillId="4" borderId="6" xfId="3" applyNumberFormat="1" applyFont="1" applyFill="1" applyBorder="1" applyAlignment="1">
      <alignment horizontal="center" wrapText="1"/>
    </xf>
    <xf numFmtId="49" fontId="12" fillId="2" borderId="0" xfId="3" applyNumberFormat="1" applyFont="1" applyFill="1" applyProtection="1">
      <protection hidden="1"/>
    </xf>
    <xf numFmtId="0" fontId="12" fillId="2" borderId="0" xfId="3" applyFont="1" applyFill="1" applyProtection="1">
      <protection hidden="1"/>
    </xf>
    <xf numFmtId="0" fontId="16" fillId="2" borderId="0" xfId="3" applyFont="1" applyFill="1" applyAlignment="1" applyProtection="1">
      <alignment horizontal="center" wrapText="1"/>
      <protection hidden="1"/>
    </xf>
    <xf numFmtId="0" fontId="12" fillId="2" borderId="0" xfId="3" applyFont="1" applyFill="1"/>
    <xf numFmtId="48" fontId="9" fillId="3" borderId="15" xfId="3" applyNumberFormat="1" applyFont="1" applyFill="1" applyBorder="1" applyAlignment="1" applyProtection="1">
      <alignment horizontal="center"/>
      <protection hidden="1"/>
    </xf>
    <xf numFmtId="48" fontId="11" fillId="4" borderId="16" xfId="3" applyNumberFormat="1" applyFont="1" applyFill="1" applyBorder="1" applyAlignment="1" applyProtection="1">
      <alignment horizontal="center"/>
      <protection hidden="1"/>
    </xf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0" xfId="0" applyFill="1"/>
    <xf numFmtId="0" fontId="0" fillId="8" borderId="21" xfId="0" applyFill="1" applyBorder="1"/>
    <xf numFmtId="0" fontId="18" fillId="8" borderId="20" xfId="0" applyFont="1" applyFill="1" applyBorder="1"/>
    <xf numFmtId="0" fontId="18" fillId="8" borderId="0" xfId="0" applyFont="1" applyFill="1"/>
    <xf numFmtId="0" fontId="18" fillId="8" borderId="21" xfId="0" applyFont="1" applyFill="1" applyBorder="1"/>
    <xf numFmtId="0" fontId="19" fillId="8" borderId="20" xfId="0" applyFont="1" applyFill="1" applyBorder="1"/>
    <xf numFmtId="0" fontId="19" fillId="8" borderId="0" xfId="0" applyFont="1" applyFill="1"/>
    <xf numFmtId="0" fontId="19" fillId="8" borderId="21" xfId="0" applyFont="1" applyFill="1" applyBorder="1"/>
    <xf numFmtId="0" fontId="1" fillId="8" borderId="0" xfId="0" applyFont="1" applyFill="1"/>
    <xf numFmtId="0" fontId="0" fillId="9" borderId="0" xfId="0" applyFill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5" fillId="8" borderId="0" xfId="0" applyFont="1" applyFill="1"/>
    <xf numFmtId="0" fontId="0" fillId="8" borderId="26" xfId="0" applyFill="1" applyBorder="1"/>
    <xf numFmtId="0" fontId="0" fillId="8" borderId="15" xfId="0" applyFill="1" applyBorder="1"/>
    <xf numFmtId="0" fontId="0" fillId="8" borderId="27" xfId="0" applyFill="1" applyBorder="1"/>
    <xf numFmtId="0" fontId="0" fillId="8" borderId="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30" fillId="0" borderId="0" xfId="0" applyFont="1"/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49" fontId="30" fillId="0" borderId="0" xfId="0" applyNumberFormat="1" applyFont="1"/>
    <xf numFmtId="0" fontId="30" fillId="0" borderId="0" xfId="0" applyFont="1" applyAlignment="1">
      <alignment horizontal="right"/>
    </xf>
    <xf numFmtId="0" fontId="32" fillId="0" borderId="0" xfId="0" applyFont="1"/>
    <xf numFmtId="166" fontId="30" fillId="10" borderId="31" xfId="0" applyNumberFormat="1" applyFont="1" applyFill="1" applyBorder="1"/>
    <xf numFmtId="166" fontId="30" fillId="11" borderId="31" xfId="0" applyNumberFormat="1" applyFont="1" applyFill="1" applyBorder="1"/>
    <xf numFmtId="48" fontId="30" fillId="11" borderId="31" xfId="0" applyNumberFormat="1" applyFont="1" applyFill="1" applyBorder="1"/>
    <xf numFmtId="165" fontId="30" fillId="11" borderId="31" xfId="0" applyNumberFormat="1" applyFont="1" applyFill="1" applyBorder="1"/>
    <xf numFmtId="0" fontId="30" fillId="10" borderId="31" xfId="0" applyFont="1" applyFill="1" applyBorder="1" applyProtection="1">
      <protection locked="0"/>
    </xf>
    <xf numFmtId="164" fontId="30" fillId="10" borderId="31" xfId="0" applyNumberFormat="1" applyFont="1" applyFill="1" applyBorder="1" applyProtection="1">
      <protection locked="0"/>
    </xf>
    <xf numFmtId="1" fontId="30" fillId="10" borderId="31" xfId="0" applyNumberFormat="1" applyFont="1" applyFill="1" applyBorder="1" applyProtection="1">
      <protection locked="0"/>
    </xf>
    <xf numFmtId="165" fontId="30" fillId="10" borderId="31" xfId="0" applyNumberFormat="1" applyFont="1" applyFill="1" applyBorder="1" applyProtection="1">
      <protection locked="0"/>
    </xf>
    <xf numFmtId="0" fontId="31" fillId="12" borderId="31" xfId="0" applyFont="1" applyFill="1" applyBorder="1"/>
    <xf numFmtId="48" fontId="31" fillId="12" borderId="31" xfId="0" applyNumberFormat="1" applyFont="1" applyFill="1" applyBorder="1"/>
    <xf numFmtId="168" fontId="31" fillId="12" borderId="31" xfId="0" applyNumberFormat="1" applyFont="1" applyFill="1" applyBorder="1"/>
    <xf numFmtId="165" fontId="31" fillId="12" borderId="31" xfId="0" applyNumberFormat="1" applyFont="1" applyFill="1" applyBorder="1"/>
    <xf numFmtId="9" fontId="30" fillId="11" borderId="31" xfId="5" applyFont="1" applyFill="1" applyBorder="1" applyProtection="1"/>
    <xf numFmtId="48" fontId="30" fillId="10" borderId="31" xfId="0" applyNumberFormat="1" applyFont="1" applyFill="1" applyBorder="1" applyProtection="1">
      <protection locked="0"/>
    </xf>
    <xf numFmtId="0" fontId="30" fillId="11" borderId="31" xfId="3" applyFont="1" applyFill="1" applyBorder="1"/>
    <xf numFmtId="48" fontId="30" fillId="11" borderId="31" xfId="0" applyNumberFormat="1" applyFont="1" applyFill="1" applyBorder="1" applyAlignment="1">
      <alignment horizontal="right" readingOrder="1"/>
    </xf>
    <xf numFmtId="2" fontId="31" fillId="12" borderId="31" xfId="0" applyNumberFormat="1" applyFont="1" applyFill="1" applyBorder="1"/>
    <xf numFmtId="48" fontId="30" fillId="11" borderId="31" xfId="3" applyNumberFormat="1" applyFont="1" applyFill="1" applyBorder="1" applyAlignment="1">
      <alignment horizontal="center"/>
    </xf>
    <xf numFmtId="164" fontId="30" fillId="11" borderId="31" xfId="0" applyNumberFormat="1" applyFont="1" applyFill="1" applyBorder="1"/>
    <xf numFmtId="2" fontId="30" fillId="11" borderId="31" xfId="0" applyNumberFormat="1" applyFont="1" applyFill="1" applyBorder="1"/>
    <xf numFmtId="166" fontId="30" fillId="10" borderId="31" xfId="0" applyNumberFormat="1" applyFont="1" applyFill="1" applyBorder="1" applyProtection="1">
      <protection locked="0"/>
    </xf>
    <xf numFmtId="2" fontId="30" fillId="10" borderId="31" xfId="0" applyNumberFormat="1" applyFont="1" applyFill="1" applyBorder="1" applyProtection="1">
      <protection locked="0"/>
    </xf>
    <xf numFmtId="0" fontId="1" fillId="11" borderId="31" xfId="0" applyFont="1" applyFill="1" applyBorder="1" applyProtection="1">
      <protection hidden="1"/>
    </xf>
    <xf numFmtId="48" fontId="1" fillId="11" borderId="31" xfId="0" applyNumberFormat="1" applyFont="1" applyFill="1" applyBorder="1" applyProtection="1">
      <protection hidden="1"/>
    </xf>
    <xf numFmtId="165" fontId="1" fillId="11" borderId="31" xfId="0" applyNumberFormat="1" applyFont="1" applyFill="1" applyBorder="1" applyProtection="1">
      <protection hidden="1"/>
    </xf>
    <xf numFmtId="2" fontId="1" fillId="11" borderId="31" xfId="0" applyNumberFormat="1" applyFont="1" applyFill="1" applyBorder="1" applyProtection="1">
      <protection hidden="1"/>
    </xf>
    <xf numFmtId="164" fontId="31" fillId="12" borderId="31" xfId="0" applyNumberFormat="1" applyFont="1" applyFill="1" applyBorder="1"/>
    <xf numFmtId="0" fontId="1" fillId="0" borderId="0" xfId="2"/>
    <xf numFmtId="0" fontId="1" fillId="0" borderId="0" xfId="2" applyAlignment="1">
      <alignment horizontal="right"/>
    </xf>
    <xf numFmtId="0" fontId="23" fillId="0" borderId="0" xfId="2" applyFont="1" applyAlignment="1">
      <alignment horizontal="left"/>
    </xf>
    <xf numFmtId="0" fontId="1" fillId="0" borderId="0" xfId="2" applyAlignment="1">
      <alignment horizontal="left"/>
    </xf>
    <xf numFmtId="0" fontId="25" fillId="0" borderId="0" xfId="2" applyFont="1" applyAlignment="1">
      <alignment horizontal="center"/>
    </xf>
    <xf numFmtId="165" fontId="25" fillId="0" borderId="0" xfId="2" applyNumberFormat="1" applyFont="1" applyAlignment="1">
      <alignment horizontal="center"/>
    </xf>
    <xf numFmtId="11" fontId="1" fillId="0" borderId="0" xfId="2" applyNumberFormat="1" applyAlignment="1">
      <alignment horizontal="left"/>
    </xf>
    <xf numFmtId="2" fontId="1" fillId="0" borderId="0" xfId="2" applyNumberFormat="1" applyAlignment="1">
      <alignment horizontal="left"/>
    </xf>
    <xf numFmtId="0" fontId="30" fillId="11" borderId="31" xfId="0" applyFont="1" applyFill="1" applyBorder="1"/>
    <xf numFmtId="48" fontId="30" fillId="11" borderId="31" xfId="5" applyNumberFormat="1" applyFont="1" applyFill="1" applyBorder="1" applyProtection="1"/>
    <xf numFmtId="0" fontId="24" fillId="8" borderId="0" xfId="1" applyFill="1" applyAlignment="1" applyProtection="1"/>
    <xf numFmtId="0" fontId="33" fillId="13" borderId="31" xfId="0" applyFont="1" applyFill="1" applyBorder="1" applyAlignment="1">
      <alignment horizontal="center"/>
    </xf>
    <xf numFmtId="0" fontId="33" fillId="13" borderId="32" xfId="0" applyFont="1" applyFill="1" applyBorder="1" applyAlignment="1">
      <alignment horizontal="center"/>
    </xf>
    <xf numFmtId="9" fontId="30" fillId="10" borderId="31" xfId="5" applyFont="1" applyFill="1" applyBorder="1" applyProtection="1">
      <protection locked="0"/>
    </xf>
    <xf numFmtId="48" fontId="30" fillId="10" borderId="31" xfId="0" applyNumberFormat="1" applyFont="1" applyFill="1" applyBorder="1" applyAlignment="1" applyProtection="1">
      <alignment horizontal="right"/>
      <protection locked="0"/>
    </xf>
    <xf numFmtId="48" fontId="30" fillId="11" borderId="31" xfId="0" applyNumberFormat="1" applyFont="1" applyFill="1" applyBorder="1" applyAlignment="1">
      <alignment horizontal="right"/>
    </xf>
    <xf numFmtId="0" fontId="30" fillId="11" borderId="31" xfId="0" applyFont="1" applyFill="1" applyBorder="1" applyAlignment="1">
      <alignment horizontal="right"/>
    </xf>
    <xf numFmtId="165" fontId="30" fillId="11" borderId="31" xfId="0" applyNumberFormat="1" applyFont="1" applyFill="1" applyBorder="1" applyAlignment="1">
      <alignment horizontal="right"/>
    </xf>
    <xf numFmtId="0" fontId="33" fillId="13" borderId="33" xfId="0" applyFont="1" applyFill="1" applyBorder="1"/>
    <xf numFmtId="11" fontId="33" fillId="13" borderId="33" xfId="0" applyNumberFormat="1" applyFont="1" applyFill="1" applyBorder="1" applyAlignment="1">
      <alignment horizontal="left"/>
    </xf>
    <xf numFmtId="0" fontId="31" fillId="10" borderId="31" xfId="0" applyFont="1" applyFill="1" applyBorder="1" applyAlignment="1">
      <alignment horizontal="center"/>
    </xf>
    <xf numFmtId="0" fontId="31" fillId="12" borderId="31" xfId="0" applyFont="1" applyFill="1" applyBorder="1" applyAlignment="1">
      <alignment horizontal="center"/>
    </xf>
    <xf numFmtId="0" fontId="31" fillId="11" borderId="31" xfId="0" applyFont="1" applyFill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0" fillId="0" borderId="31" xfId="0" applyFont="1" applyBorder="1" applyAlignment="1">
      <alignment horizontal="right"/>
    </xf>
    <xf numFmtId="48" fontId="30" fillId="0" borderId="31" xfId="0" applyNumberFormat="1" applyFont="1" applyBorder="1" applyAlignment="1">
      <alignment horizontal="right" readingOrder="1"/>
    </xf>
    <xf numFmtId="0" fontId="30" fillId="0" borderId="31" xfId="0" applyFont="1" applyBorder="1"/>
    <xf numFmtId="166" fontId="30" fillId="0" borderId="31" xfId="0" applyNumberFormat="1" applyFont="1" applyBorder="1"/>
    <xf numFmtId="165" fontId="30" fillId="0" borderId="31" xfId="0" applyNumberFormat="1" applyFont="1" applyBorder="1"/>
    <xf numFmtId="48" fontId="30" fillId="0" borderId="31" xfId="0" applyNumberFormat="1" applyFont="1" applyBorder="1"/>
    <xf numFmtId="2" fontId="30" fillId="0" borderId="31" xfId="0" applyNumberFormat="1" applyFont="1" applyBorder="1"/>
    <xf numFmtId="0" fontId="31" fillId="0" borderId="31" xfId="0" applyFont="1" applyBorder="1"/>
    <xf numFmtId="48" fontId="31" fillId="0" borderId="31" xfId="0" applyNumberFormat="1" applyFont="1" applyBorder="1"/>
    <xf numFmtId="0" fontId="34" fillId="14" borderId="0" xfId="0" applyFont="1" applyFill="1"/>
    <xf numFmtId="0" fontId="30" fillId="14" borderId="0" xfId="0" applyFont="1" applyFill="1"/>
    <xf numFmtId="0" fontId="33" fillId="14" borderId="0" xfId="0" applyFont="1" applyFill="1"/>
    <xf numFmtId="0" fontId="32" fillId="14" borderId="0" xfId="0" applyFont="1" applyFill="1" applyAlignment="1">
      <alignment horizontal="right"/>
    </xf>
    <xf numFmtId="0" fontId="33" fillId="14" borderId="0" xfId="0" applyFont="1" applyFill="1" applyAlignment="1">
      <alignment horizontal="right"/>
    </xf>
    <xf numFmtId="0" fontId="30" fillId="14" borderId="0" xfId="0" applyFont="1" applyFill="1" applyAlignment="1">
      <alignment horizontal="center"/>
    </xf>
    <xf numFmtId="49" fontId="30" fillId="14" borderId="0" xfId="0" applyNumberFormat="1" applyFont="1" applyFill="1"/>
    <xf numFmtId="11" fontId="30" fillId="14" borderId="0" xfId="0" applyNumberFormat="1" applyFont="1" applyFill="1"/>
    <xf numFmtId="0" fontId="31" fillId="14" borderId="0" xfId="0" applyFont="1" applyFill="1" applyAlignment="1">
      <alignment horizontal="right"/>
    </xf>
    <xf numFmtId="0" fontId="30" fillId="14" borderId="0" xfId="0" applyFont="1" applyFill="1" applyAlignment="1">
      <alignment horizontal="right"/>
    </xf>
    <xf numFmtId="0" fontId="32" fillId="14" borderId="0" xfId="0" applyFont="1" applyFill="1"/>
    <xf numFmtId="49" fontId="32" fillId="14" borderId="0" xfId="0" applyNumberFormat="1" applyFont="1" applyFill="1"/>
    <xf numFmtId="0" fontId="35" fillId="14" borderId="34" xfId="0" applyFont="1" applyFill="1" applyBorder="1" applyAlignment="1">
      <alignment horizontal="right"/>
    </xf>
    <xf numFmtId="0" fontId="30" fillId="14" borderId="31" xfId="0" applyFont="1" applyFill="1" applyBorder="1" applyAlignment="1">
      <alignment horizontal="right"/>
    </xf>
    <xf numFmtId="165" fontId="30" fillId="14" borderId="0" xfId="0" applyNumberFormat="1" applyFont="1" applyFill="1" applyAlignment="1">
      <alignment horizontal="right"/>
    </xf>
    <xf numFmtId="11" fontId="31" fillId="14" borderId="0" xfId="0" applyNumberFormat="1" applyFont="1" applyFill="1"/>
    <xf numFmtId="0" fontId="31" fillId="14" borderId="0" xfId="0" applyFont="1" applyFill="1" applyAlignment="1">
      <alignment horizontal="center"/>
    </xf>
    <xf numFmtId="0" fontId="31" fillId="14" borderId="0" xfId="0" applyFont="1" applyFill="1"/>
    <xf numFmtId="0" fontId="31" fillId="14" borderId="34" xfId="0" applyFont="1" applyFill="1" applyBorder="1"/>
    <xf numFmtId="0" fontId="30" fillId="14" borderId="34" xfId="0" applyFont="1" applyFill="1" applyBorder="1"/>
    <xf numFmtId="0" fontId="31" fillId="14" borderId="34" xfId="0" applyFont="1" applyFill="1" applyBorder="1" applyAlignment="1">
      <alignment horizontal="center"/>
    </xf>
    <xf numFmtId="11" fontId="31" fillId="14" borderId="34" xfId="0" applyNumberFormat="1" applyFont="1" applyFill="1" applyBorder="1"/>
    <xf numFmtId="165" fontId="30" fillId="14" borderId="0" xfId="0" applyNumberFormat="1" applyFont="1" applyFill="1"/>
    <xf numFmtId="48" fontId="30" fillId="14" borderId="0" xfId="0" applyNumberFormat="1" applyFont="1" applyFill="1"/>
    <xf numFmtId="0" fontId="30" fillId="14" borderId="34" xfId="0" applyFont="1" applyFill="1" applyBorder="1" applyAlignment="1">
      <alignment horizontal="center"/>
    </xf>
    <xf numFmtId="167" fontId="30" fillId="14" borderId="0" xfId="0" applyNumberFormat="1" applyFont="1" applyFill="1"/>
    <xf numFmtId="11" fontId="30" fillId="14" borderId="34" xfId="0" applyNumberFormat="1" applyFont="1" applyFill="1" applyBorder="1"/>
    <xf numFmtId="48" fontId="30" fillId="14" borderId="34" xfId="0" applyNumberFormat="1" applyFont="1" applyFill="1" applyBorder="1"/>
    <xf numFmtId="49" fontId="31" fillId="14" borderId="0" xfId="0" applyNumberFormat="1" applyFont="1" applyFill="1"/>
    <xf numFmtId="0" fontId="33" fillId="14" borderId="0" xfId="0" applyFont="1" applyFill="1" applyAlignment="1">
      <alignment horizontal="left"/>
    </xf>
    <xf numFmtId="0" fontId="33" fillId="14" borderId="0" xfId="0" applyFont="1" applyFill="1" applyAlignment="1">
      <alignment horizontal="center"/>
    </xf>
    <xf numFmtId="0" fontId="33" fillId="14" borderId="35" xfId="0" applyFont="1" applyFill="1" applyBorder="1"/>
    <xf numFmtId="0" fontId="33" fillId="14" borderId="36" xfId="0" applyFont="1" applyFill="1" applyBorder="1" applyAlignment="1">
      <alignment horizontal="center"/>
    </xf>
    <xf numFmtId="11" fontId="33" fillId="14" borderId="0" xfId="0" applyNumberFormat="1" applyFont="1" applyFill="1"/>
    <xf numFmtId="0" fontId="30" fillId="14" borderId="31" xfId="0" applyFont="1" applyFill="1" applyBorder="1" applyAlignment="1">
      <alignment horizontal="center"/>
    </xf>
    <xf numFmtId="0" fontId="35" fillId="0" borderId="31" xfId="0" applyFont="1" applyBorder="1" applyAlignment="1">
      <alignment horizontal="center"/>
    </xf>
    <xf numFmtId="11" fontId="30" fillId="0" borderId="31" xfId="0" applyNumberFormat="1" applyFont="1" applyBorder="1"/>
    <xf numFmtId="0" fontId="31" fillId="0" borderId="31" xfId="0" applyFont="1" applyBorder="1" applyAlignment="1">
      <alignment horizontal="right"/>
    </xf>
    <xf numFmtId="0" fontId="30" fillId="0" borderId="31" xfId="0" applyFont="1" applyBorder="1" applyAlignment="1">
      <alignment horizontal="center"/>
    </xf>
    <xf numFmtId="0" fontId="30" fillId="0" borderId="31" xfId="2" applyFont="1" applyBorder="1" applyAlignment="1">
      <alignment horizontal="right"/>
    </xf>
    <xf numFmtId="166" fontId="31" fillId="0" borderId="31" xfId="0" applyNumberFormat="1" applyFont="1" applyBorder="1"/>
    <xf numFmtId="0" fontId="30" fillId="0" borderId="31" xfId="2" applyFont="1" applyBorder="1"/>
    <xf numFmtId="166" fontId="30" fillId="0" borderId="31" xfId="0" applyNumberFormat="1" applyFont="1" applyBorder="1" applyAlignment="1">
      <alignment horizontal="center"/>
    </xf>
    <xf numFmtId="0" fontId="30" fillId="0" borderId="31" xfId="0" applyFont="1" applyBorder="1" applyAlignment="1">
      <alignment wrapText="1"/>
    </xf>
    <xf numFmtId="0" fontId="33" fillId="12" borderId="37" xfId="0" applyFont="1" applyFill="1" applyBorder="1" applyAlignment="1">
      <alignment horizontal="center"/>
    </xf>
    <xf numFmtId="0" fontId="33" fillId="12" borderId="38" xfId="0" applyFont="1" applyFill="1" applyBorder="1" applyAlignment="1">
      <alignment horizontal="center"/>
    </xf>
    <xf numFmtId="0" fontId="33" fillId="12" borderId="39" xfId="0" applyFont="1" applyFill="1" applyBorder="1" applyAlignment="1">
      <alignment horizontal="center"/>
    </xf>
    <xf numFmtId="0" fontId="31" fillId="12" borderId="31" xfId="0" applyFont="1" applyFill="1" applyBorder="1" applyAlignment="1">
      <alignment horizontal="right"/>
    </xf>
    <xf numFmtId="0" fontId="30" fillId="12" borderId="31" xfId="0" applyFont="1" applyFill="1" applyBorder="1"/>
    <xf numFmtId="0" fontId="30" fillId="15" borderId="39" xfId="0" applyFont="1" applyFill="1" applyBorder="1"/>
    <xf numFmtId="0" fontId="31" fillId="15" borderId="40" xfId="0" applyFont="1" applyFill="1" applyBorder="1" applyAlignment="1">
      <alignment horizontal="center"/>
    </xf>
    <xf numFmtId="0" fontId="30" fillId="15" borderId="40" xfId="0" applyFont="1" applyFill="1" applyBorder="1"/>
    <xf numFmtId="0" fontId="30" fillId="15" borderId="40" xfId="0" applyFont="1" applyFill="1" applyBorder="1" applyAlignment="1">
      <alignment horizontal="center"/>
    </xf>
    <xf numFmtId="0" fontId="30" fillId="15" borderId="41" xfId="0" applyFont="1" applyFill="1" applyBorder="1"/>
    <xf numFmtId="49" fontId="30" fillId="15" borderId="37" xfId="0" applyNumberFormat="1" applyFont="1" applyFill="1" applyBorder="1"/>
    <xf numFmtId="0" fontId="30" fillId="15" borderId="42" xfId="0" applyFont="1" applyFill="1" applyBorder="1"/>
    <xf numFmtId="0" fontId="32" fillId="15" borderId="36" xfId="0" applyFont="1" applyFill="1" applyBorder="1"/>
    <xf numFmtId="0" fontId="32" fillId="15" borderId="42" xfId="0" applyFont="1" applyFill="1" applyBorder="1"/>
    <xf numFmtId="0" fontId="30" fillId="15" borderId="36" xfId="0" applyFont="1" applyFill="1" applyBorder="1"/>
    <xf numFmtId="0" fontId="31" fillId="15" borderId="41" xfId="0" applyFont="1" applyFill="1" applyBorder="1" applyAlignment="1">
      <alignment horizontal="center"/>
    </xf>
    <xf numFmtId="0" fontId="30" fillId="15" borderId="41" xfId="0" applyFont="1" applyFill="1" applyBorder="1" applyAlignment="1">
      <alignment horizontal="center"/>
    </xf>
    <xf numFmtId="0" fontId="30" fillId="15" borderId="0" xfId="0" applyFont="1" applyFill="1"/>
    <xf numFmtId="49" fontId="30" fillId="15" borderId="35" xfId="0" applyNumberFormat="1" applyFont="1" applyFill="1" applyBorder="1"/>
    <xf numFmtId="0" fontId="31" fillId="15" borderId="34" xfId="0" applyFont="1" applyFill="1" applyBorder="1" applyAlignment="1">
      <alignment horizontal="center"/>
    </xf>
    <xf numFmtId="0" fontId="30" fillId="15" borderId="34" xfId="0" applyFont="1" applyFill="1" applyBorder="1"/>
    <xf numFmtId="0" fontId="30" fillId="15" borderId="34" xfId="0" applyFont="1" applyFill="1" applyBorder="1" applyAlignment="1">
      <alignment horizontal="center"/>
    </xf>
    <xf numFmtId="49" fontId="33" fillId="15" borderId="0" xfId="0" applyNumberFormat="1" applyFont="1" applyFill="1"/>
    <xf numFmtId="49" fontId="32" fillId="15" borderId="35" xfId="0" applyNumberFormat="1" applyFont="1" applyFill="1" applyBorder="1"/>
    <xf numFmtId="49" fontId="30" fillId="15" borderId="36" xfId="0" applyNumberFormat="1" applyFont="1" applyFill="1" applyBorder="1"/>
    <xf numFmtId="0" fontId="30" fillId="15" borderId="35" xfId="0" applyFont="1" applyFill="1" applyBorder="1"/>
    <xf numFmtId="11" fontId="31" fillId="15" borderId="0" xfId="0" applyNumberFormat="1" applyFont="1" applyFill="1"/>
    <xf numFmtId="11" fontId="31" fillId="15" borderId="36" xfId="0" applyNumberFormat="1" applyFont="1" applyFill="1" applyBorder="1"/>
    <xf numFmtId="0" fontId="31" fillId="15" borderId="36" xfId="0" applyFont="1" applyFill="1" applyBorder="1"/>
    <xf numFmtId="49" fontId="31" fillId="15" borderId="35" xfId="0" applyNumberFormat="1" applyFont="1" applyFill="1" applyBorder="1"/>
    <xf numFmtId="11" fontId="30" fillId="15" borderId="36" xfId="0" applyNumberFormat="1" applyFont="1" applyFill="1" applyBorder="1"/>
    <xf numFmtId="165" fontId="30" fillId="15" borderId="36" xfId="0" applyNumberFormat="1" applyFont="1" applyFill="1" applyBorder="1"/>
    <xf numFmtId="0" fontId="31" fillId="15" borderId="0" xfId="0" applyFont="1" applyFill="1"/>
    <xf numFmtId="0" fontId="33" fillId="15" borderId="0" xfId="0" applyFont="1" applyFill="1"/>
    <xf numFmtId="0" fontId="33" fillId="15" borderId="36" xfId="0" applyFont="1" applyFill="1" applyBorder="1"/>
    <xf numFmtId="9" fontId="30" fillId="0" borderId="31" xfId="5" applyFont="1" applyFill="1" applyBorder="1" applyAlignment="1" applyProtection="1">
      <alignment horizontal="right" readingOrder="1"/>
    </xf>
    <xf numFmtId="0" fontId="1" fillId="14" borderId="0" xfId="0" applyFont="1" applyFill="1" applyProtection="1">
      <protection hidden="1"/>
    </xf>
    <xf numFmtId="0" fontId="1" fillId="14" borderId="0" xfId="0" applyFont="1" applyFill="1" applyAlignment="1" applyProtection="1">
      <alignment horizontal="right"/>
      <protection hidden="1"/>
    </xf>
    <xf numFmtId="48" fontId="1" fillId="14" borderId="0" xfId="0" applyNumberFormat="1" applyFont="1" applyFill="1" applyProtection="1">
      <protection hidden="1"/>
    </xf>
    <xf numFmtId="0" fontId="1" fillId="14" borderId="0" xfId="0" applyFont="1" applyFill="1" applyAlignment="1">
      <alignment horizontal="right"/>
    </xf>
    <xf numFmtId="0" fontId="4" fillId="14" borderId="0" xfId="0" applyFont="1" applyFill="1" applyAlignment="1" applyProtection="1">
      <alignment horizontal="center"/>
      <protection hidden="1"/>
    </xf>
    <xf numFmtId="165" fontId="1" fillId="14" borderId="0" xfId="0" applyNumberFormat="1" applyFont="1" applyFill="1" applyProtection="1">
      <protection hidden="1"/>
    </xf>
    <xf numFmtId="11" fontId="1" fillId="11" borderId="31" xfId="0" applyNumberFormat="1" applyFont="1" applyFill="1" applyBorder="1" applyProtection="1">
      <protection hidden="1"/>
    </xf>
    <xf numFmtId="0" fontId="36" fillId="14" borderId="0" xfId="0" applyFont="1" applyFill="1" applyProtection="1">
      <protection hidden="1"/>
    </xf>
    <xf numFmtId="0" fontId="37" fillId="14" borderId="0" xfId="0" applyFont="1" applyFill="1" applyProtection="1">
      <protection hidden="1"/>
    </xf>
    <xf numFmtId="48" fontId="36" fillId="14" borderId="0" xfId="0" applyNumberFormat="1" applyFont="1" applyFill="1" applyProtection="1">
      <protection hidden="1"/>
    </xf>
    <xf numFmtId="166" fontId="36" fillId="14" borderId="0" xfId="0" applyNumberFormat="1" applyFont="1" applyFill="1" applyProtection="1">
      <protection hidden="1"/>
    </xf>
    <xf numFmtId="0" fontId="36" fillId="14" borderId="0" xfId="0" quotePrefix="1" applyFont="1" applyFill="1" applyProtection="1">
      <protection hidden="1"/>
    </xf>
    <xf numFmtId="0" fontId="38" fillId="14" borderId="0" xfId="4" applyFont="1" applyFill="1" applyProtection="1">
      <protection hidden="1"/>
    </xf>
    <xf numFmtId="11" fontId="36" fillId="14" borderId="0" xfId="0" applyNumberFormat="1" applyFont="1" applyFill="1" applyProtection="1">
      <protection hidden="1"/>
    </xf>
    <xf numFmtId="11" fontId="38" fillId="14" borderId="0" xfId="4" applyNumberFormat="1" applyFont="1" applyFill="1" applyProtection="1">
      <protection hidden="1"/>
    </xf>
    <xf numFmtId="0" fontId="36" fillId="14" borderId="0" xfId="0" applyFont="1" applyFill="1" applyAlignment="1" applyProtection="1">
      <alignment horizontal="right"/>
      <protection hidden="1"/>
    </xf>
    <xf numFmtId="1" fontId="36" fillId="14" borderId="0" xfId="0" applyNumberFormat="1" applyFont="1" applyFill="1" applyProtection="1">
      <protection hidden="1"/>
    </xf>
    <xf numFmtId="48" fontId="36" fillId="14" borderId="0" xfId="3" applyNumberFormat="1" applyFont="1" applyFill="1" applyAlignment="1">
      <alignment horizontal="center"/>
    </xf>
    <xf numFmtId="0" fontId="36" fillId="14" borderId="0" xfId="3" applyFont="1" applyFill="1"/>
    <xf numFmtId="165" fontId="36" fillId="14" borderId="0" xfId="0" applyNumberFormat="1" applyFont="1" applyFill="1" applyProtection="1">
      <protection hidden="1"/>
    </xf>
    <xf numFmtId="0" fontId="36" fillId="14" borderId="0" xfId="0" applyFont="1" applyFill="1" applyAlignment="1">
      <alignment horizontal="right"/>
    </xf>
    <xf numFmtId="1" fontId="36" fillId="14" borderId="0" xfId="0" applyNumberFormat="1" applyFont="1" applyFill="1"/>
    <xf numFmtId="166" fontId="36" fillId="14" borderId="0" xfId="0" applyNumberFormat="1" applyFont="1" applyFill="1"/>
    <xf numFmtId="0" fontId="27" fillId="2" borderId="0" xfId="0" applyFont="1" applyFill="1"/>
    <xf numFmtId="0" fontId="1" fillId="2" borderId="0" xfId="0" applyFont="1" applyFill="1"/>
    <xf numFmtId="0" fontId="28" fillId="2" borderId="0" xfId="0" applyFont="1" applyFill="1"/>
    <xf numFmtId="0" fontId="31" fillId="10" borderId="31" xfId="0" applyFont="1" applyFill="1" applyBorder="1" applyAlignment="1" applyProtection="1">
      <alignment horizontal="center"/>
      <protection locked="0"/>
    </xf>
    <xf numFmtId="0" fontId="1" fillId="10" borderId="31" xfId="0" applyFont="1" applyFill="1" applyBorder="1" applyProtection="1">
      <protection locked="0"/>
    </xf>
    <xf numFmtId="11" fontId="1" fillId="10" borderId="31" xfId="0" applyNumberFormat="1" applyFont="1" applyFill="1" applyBorder="1" applyProtection="1">
      <protection locked="0"/>
    </xf>
    <xf numFmtId="48" fontId="1" fillId="10" borderId="31" xfId="0" applyNumberFormat="1" applyFont="1" applyFill="1" applyBorder="1" applyProtection="1">
      <protection locked="0"/>
    </xf>
    <xf numFmtId="165" fontId="1" fillId="10" borderId="31" xfId="0" applyNumberFormat="1" applyFont="1" applyFill="1" applyBorder="1" applyProtection="1">
      <protection locked="0"/>
    </xf>
    <xf numFmtId="166" fontId="1" fillId="11" borderId="31" xfId="0" applyNumberFormat="1" applyFont="1" applyFill="1" applyBorder="1" applyProtection="1">
      <protection hidden="1"/>
    </xf>
    <xf numFmtId="164" fontId="1" fillId="11" borderId="31" xfId="0" applyNumberFormat="1" applyFont="1" applyFill="1" applyBorder="1" applyProtection="1">
      <protection hidden="1"/>
    </xf>
    <xf numFmtId="48" fontId="1" fillId="11" borderId="38" xfId="0" applyNumberFormat="1" applyFont="1" applyFill="1" applyBorder="1" applyProtection="1">
      <protection hidden="1"/>
    </xf>
    <xf numFmtId="48" fontId="0" fillId="10" borderId="31" xfId="0" applyNumberFormat="1" applyFill="1" applyBorder="1" applyAlignment="1" applyProtection="1">
      <alignment horizontal="right"/>
      <protection locked="0"/>
    </xf>
    <xf numFmtId="11" fontId="33" fillId="13" borderId="33" xfId="0" applyNumberFormat="1" applyFont="1" applyFill="1" applyBorder="1" applyAlignment="1">
      <alignment horizontal="left"/>
    </xf>
    <xf numFmtId="11" fontId="33" fillId="13" borderId="40" xfId="0" applyNumberFormat="1" applyFont="1" applyFill="1" applyBorder="1" applyAlignment="1">
      <alignment horizontal="left"/>
    </xf>
    <xf numFmtId="0" fontId="35" fillId="14" borderId="34" xfId="0" applyFont="1" applyFill="1" applyBorder="1" applyAlignment="1">
      <alignment horizontal="center"/>
    </xf>
    <xf numFmtId="0" fontId="30" fillId="14" borderId="33" xfId="0" applyFont="1" applyFill="1" applyBorder="1" applyAlignment="1">
      <alignment horizontal="left"/>
    </xf>
    <xf numFmtId="0" fontId="30" fillId="14" borderId="40" xfId="0" applyFont="1" applyFill="1" applyBorder="1" applyAlignment="1">
      <alignment horizontal="left"/>
    </xf>
    <xf numFmtId="0" fontId="30" fillId="14" borderId="32" xfId="0" applyFont="1" applyFill="1" applyBorder="1" applyAlignment="1">
      <alignment horizontal="left"/>
    </xf>
    <xf numFmtId="0" fontId="33" fillId="13" borderId="40" xfId="0" applyFont="1" applyFill="1" applyBorder="1" applyAlignment="1">
      <alignment horizontal="left"/>
    </xf>
    <xf numFmtId="0" fontId="35" fillId="14" borderId="41" xfId="0" applyFont="1" applyFill="1" applyBorder="1" applyAlignment="1">
      <alignment horizontal="left"/>
    </xf>
    <xf numFmtId="0" fontId="35" fillId="14" borderId="37" xfId="0" applyFont="1" applyFill="1" applyBorder="1" applyAlignment="1">
      <alignment horizontal="left"/>
    </xf>
    <xf numFmtId="0" fontId="33" fillId="13" borderId="33" xfId="0" applyFont="1" applyFill="1" applyBorder="1" applyAlignment="1">
      <alignment horizontal="center"/>
    </xf>
    <xf numFmtId="0" fontId="33" fillId="13" borderId="40" xfId="0" applyFont="1" applyFill="1" applyBorder="1" applyAlignment="1">
      <alignment horizontal="center"/>
    </xf>
    <xf numFmtId="0" fontId="33" fillId="13" borderId="32" xfId="0" applyFont="1" applyFill="1" applyBorder="1" applyAlignment="1">
      <alignment horizontal="center"/>
    </xf>
    <xf numFmtId="0" fontId="4" fillId="14" borderId="0" xfId="0" applyFont="1" applyFill="1" applyAlignment="1" applyProtection="1">
      <alignment horizontal="left"/>
      <protection hidden="1"/>
    </xf>
    <xf numFmtId="0" fontId="4" fillId="14" borderId="0" xfId="0" applyFont="1" applyFill="1" applyAlignment="1" applyProtection="1">
      <alignment horizontal="center" wrapText="1"/>
      <protection hidden="1"/>
    </xf>
    <xf numFmtId="0" fontId="4" fillId="14" borderId="0" xfId="0" applyFont="1" applyFill="1" applyAlignment="1" applyProtection="1">
      <alignment horizontal="center"/>
      <protection hidden="1"/>
    </xf>
    <xf numFmtId="0" fontId="16" fillId="2" borderId="0" xfId="3" applyFont="1" applyFill="1" applyAlignment="1" applyProtection="1">
      <alignment horizontal="center" wrapText="1"/>
      <protection hidden="1"/>
    </xf>
    <xf numFmtId="0" fontId="10" fillId="5" borderId="43" xfId="3" applyFont="1" applyFill="1" applyBorder="1" applyAlignment="1">
      <alignment horizontal="center" wrapText="1"/>
    </xf>
    <xf numFmtId="0" fontId="10" fillId="5" borderId="14" xfId="3" applyFont="1" applyFill="1" applyBorder="1" applyAlignment="1">
      <alignment horizontal="center" wrapText="1"/>
    </xf>
    <xf numFmtId="0" fontId="10" fillId="6" borderId="44" xfId="3" applyFont="1" applyFill="1" applyBorder="1" applyAlignment="1">
      <alignment horizontal="center" wrapText="1"/>
    </xf>
    <xf numFmtId="0" fontId="10" fillId="6" borderId="45" xfId="3" applyFont="1" applyFill="1" applyBorder="1" applyAlignment="1">
      <alignment horizontal="center" wrapText="1"/>
    </xf>
    <xf numFmtId="0" fontId="10" fillId="7" borderId="43" xfId="3" applyFont="1" applyFill="1" applyBorder="1" applyAlignment="1">
      <alignment horizontal="center" wrapText="1"/>
    </xf>
    <xf numFmtId="0" fontId="10" fillId="7" borderId="14" xfId="3" applyFont="1" applyFill="1" applyBorder="1" applyAlignment="1">
      <alignment horizontal="center" wrapText="1"/>
    </xf>
    <xf numFmtId="49" fontId="16" fillId="4" borderId="43" xfId="3" applyNumberFormat="1" applyFont="1" applyFill="1" applyBorder="1" applyAlignment="1">
      <alignment horizontal="center" wrapText="1"/>
    </xf>
    <xf numFmtId="49" fontId="16" fillId="4" borderId="0" xfId="3" applyNumberFormat="1" applyFont="1" applyFill="1" applyAlignment="1">
      <alignment horizontal="center" wrapText="1"/>
    </xf>
  </cellXfs>
  <cellStyles count="9">
    <cellStyle name="Hyperlink" xfId="1" builtinId="8"/>
    <cellStyle name="Normal" xfId="0" builtinId="0"/>
    <cellStyle name="Normal 2" xfId="2" xr:uid="{D200BB36-5171-46C9-B4B7-82691AD91247}"/>
    <cellStyle name="Normal 3" xfId="3" xr:uid="{A233A991-EB55-4A28-875E-F46ED4381263}"/>
    <cellStyle name="Normal 4" xfId="4" xr:uid="{8666F8F2-8FCB-41CC-AA8C-C8F96EF5C951}"/>
    <cellStyle name="Percent" xfId="5" builtinId="5"/>
    <cellStyle name="Percent 2" xfId="6" xr:uid="{FB8BB9EA-9DC2-40A9-9C3E-17DC19BA32C1}"/>
    <cellStyle name="Percent 3" xfId="7" xr:uid="{7107731C-9CCA-4A0F-97CC-B58794DDCE00}"/>
    <cellStyle name="Percent 4" xfId="8" xr:uid="{65A707E2-B8F1-4D74-8B21-AA86610B6A86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CCM 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25.490243213562124</c:v>
                </c:pt>
                <c:pt idx="1">
                  <c:v>25.490221303317444</c:v>
                </c:pt>
                <c:pt idx="2">
                  <c:v>25.490198386979401</c:v>
                </c:pt>
                <c:pt idx="3">
                  <c:v>25.490174418354986</c:v>
                </c:pt>
                <c:pt idx="4">
                  <c:v>25.49014934913086</c:v>
                </c:pt>
                <c:pt idx="5">
                  <c:v>25.490123128776254</c:v>
                </c:pt>
                <c:pt idx="6">
                  <c:v>25.49009570444078</c:v>
                </c:pt>
                <c:pt idx="7">
                  <c:v>25.490067020848613</c:v>
                </c:pt>
                <c:pt idx="8">
                  <c:v>25.490037020186698</c:v>
                </c:pt>
                <c:pt idx="9">
                  <c:v>25.49000564198872</c:v>
                </c:pt>
                <c:pt idx="10">
                  <c:v>25.489972823013236</c:v>
                </c:pt>
                <c:pt idx="11">
                  <c:v>25.489938497116555</c:v>
                </c:pt>
                <c:pt idx="12">
                  <c:v>25.489902595119254</c:v>
                </c:pt>
                <c:pt idx="13">
                  <c:v>25.489865044667525</c:v>
                </c:pt>
                <c:pt idx="14">
                  <c:v>25.48982577008735</c:v>
                </c:pt>
                <c:pt idx="15">
                  <c:v>25.489784692232092</c:v>
                </c:pt>
                <c:pt idx="16">
                  <c:v>25.489741728323338</c:v>
                </c:pt>
                <c:pt idx="17">
                  <c:v>25.489696791784809</c:v>
                </c:pt>
                <c:pt idx="18">
                  <c:v>25.489649792067897</c:v>
                </c:pt>
                <c:pt idx="19">
                  <c:v>25.489600634469415</c:v>
                </c:pt>
                <c:pt idx="20">
                  <c:v>25.489549219941683</c:v>
                </c:pt>
                <c:pt idx="21">
                  <c:v>25.489495444892913</c:v>
                </c:pt>
                <c:pt idx="22">
                  <c:v>25.489439200979362</c:v>
                </c:pt>
                <c:pt idx="23">
                  <c:v>25.489380374887478</c:v>
                </c:pt>
                <c:pt idx="24">
                  <c:v>25.489318848105938</c:v>
                </c:pt>
                <c:pt idx="25">
                  <c:v>25.489254496688126</c:v>
                </c:pt>
                <c:pt idx="26">
                  <c:v>25.489187191002483</c:v>
                </c:pt>
                <c:pt idx="27">
                  <c:v>25.489116795472825</c:v>
                </c:pt>
                <c:pt idx="28">
                  <c:v>25.489043168305443</c:v>
                </c:pt>
                <c:pt idx="29">
                  <c:v>25.488966161204978</c:v>
                </c:pt>
                <c:pt idx="30">
                  <c:v>25.488885619076257</c:v>
                </c:pt>
                <c:pt idx="31">
                  <c:v>25.488801379713774</c:v>
                </c:pt>
                <c:pt idx="32">
                  <c:v>25.488713273475216</c:v>
                </c:pt>
                <c:pt idx="33">
                  <c:v>25.488621122942131</c:v>
                </c:pt>
                <c:pt idx="34">
                  <c:v>25.488524742563673</c:v>
                </c:pt>
                <c:pt idx="35">
                  <c:v>25.488423938284516</c:v>
                </c:pt>
                <c:pt idx="36">
                  <c:v>25.488318507156112</c:v>
                </c:pt>
                <c:pt idx="37">
                  <c:v>25.488208236929772</c:v>
                </c:pt>
                <c:pt idx="38">
                  <c:v>25.488092905631817</c:v>
                </c:pt>
                <c:pt idx="39">
                  <c:v>25.487972281118701</c:v>
                </c:pt>
                <c:pt idx="40">
                  <c:v>25.487846120612517</c:v>
                </c:pt>
                <c:pt idx="41">
                  <c:v>25.487714170214591</c:v>
                </c:pt>
                <c:pt idx="42">
                  <c:v>25.487576164398451</c:v>
                </c:pt>
                <c:pt idx="43">
                  <c:v>25.487431825477763</c:v>
                </c:pt>
                <c:pt idx="44">
                  <c:v>25.487280863051783</c:v>
                </c:pt>
                <c:pt idx="45">
                  <c:v>25.487122973424832</c:v>
                </c:pt>
                <c:pt idx="46">
                  <c:v>25.486957838999658</c:v>
                </c:pt>
                <c:pt idx="47">
                  <c:v>25.486785127643088</c:v>
                </c:pt>
                <c:pt idx="48">
                  <c:v>25.486604492023819</c:v>
                </c:pt>
                <c:pt idx="49">
                  <c:v>25.486415568918321</c:v>
                </c:pt>
                <c:pt idx="50">
                  <c:v>25.486217978487975</c:v>
                </c:pt>
                <c:pt idx="51">
                  <c:v>25.486011323520938</c:v>
                </c:pt>
                <c:pt idx="52">
                  <c:v>25.485795188641823</c:v>
                </c:pt>
                <c:pt idx="53">
                  <c:v>25.48556913948417</c:v>
                </c:pt>
                <c:pt idx="54">
                  <c:v>25.48533272182685</c:v>
                </c:pt>
                <c:pt idx="55">
                  <c:v>25.485085460690602</c:v>
                </c:pt>
                <c:pt idx="56">
                  <c:v>25.484826859394207</c:v>
                </c:pt>
                <c:pt idx="57">
                  <c:v>25.484556398568692</c:v>
                </c:pt>
                <c:pt idx="58">
                  <c:v>25.484273535126274</c:v>
                </c:pt>
                <c:pt idx="59">
                  <c:v>25.483977701184017</c:v>
                </c:pt>
                <c:pt idx="60">
                  <c:v>25.483668302938401</c:v>
                </c:pt>
                <c:pt idx="61">
                  <c:v>25.483344719490066</c:v>
                </c:pt>
                <c:pt idx="62">
                  <c:v>25.483006301615735</c:v>
                </c:pt>
                <c:pt idx="63">
                  <c:v>25.482652370485074</c:v>
                </c:pt>
                <c:pt idx="64">
                  <c:v>25.482282216320897</c:v>
                </c:pt>
                <c:pt idx="65">
                  <c:v>25.481895096998883</c:v>
                </c:pt>
                <c:pt idx="66">
                  <c:v>25.481490236585202</c:v>
                </c:pt>
                <c:pt idx="67">
                  <c:v>25.481066823809936</c:v>
                </c:pt>
                <c:pt idx="68">
                  <c:v>25.480624010471644</c:v>
                </c:pt>
                <c:pt idx="69">
                  <c:v>25.48016090977185</c:v>
                </c:pt>
                <c:pt idx="70">
                  <c:v>25.479676594575725</c:v>
                </c:pt>
                <c:pt idx="71">
                  <c:v>25.479170095596089</c:v>
                </c:pt>
                <c:pt idx="72">
                  <c:v>25.478640399497582</c:v>
                </c:pt>
                <c:pt idx="73">
                  <c:v>25.478086446916798</c:v>
                </c:pt>
                <c:pt idx="74">
                  <c:v>25.477507130396173</c:v>
                </c:pt>
                <c:pt idx="75">
                  <c:v>25.476901292227527</c:v>
                </c:pt>
                <c:pt idx="76">
                  <c:v>25.476267722200653</c:v>
                </c:pt>
                <c:pt idx="77">
                  <c:v>25.475605155254307</c:v>
                </c:pt>
                <c:pt idx="78">
                  <c:v>25.474912269025261</c:v>
                </c:pt>
                <c:pt idx="79">
                  <c:v>25.47418768129079</c:v>
                </c:pt>
                <c:pt idx="80">
                  <c:v>25.473429947300296</c:v>
                </c:pt>
                <c:pt idx="81">
                  <c:v>25.472637556992485</c:v>
                </c:pt>
                <c:pt idx="82">
                  <c:v>25.471808932092614</c:v>
                </c:pt>
                <c:pt idx="83">
                  <c:v>25.47094242308582</c:v>
                </c:pt>
                <c:pt idx="84">
                  <c:v>25.470036306060223</c:v>
                </c:pt>
                <c:pt idx="85">
                  <c:v>25.469088779416815</c:v>
                </c:pt>
                <c:pt idx="86">
                  <c:v>25.468097960439366</c:v>
                </c:pt>
                <c:pt idx="87">
                  <c:v>25.467061881719761</c:v>
                </c:pt>
                <c:pt idx="88">
                  <c:v>25.465978487432572</c:v>
                </c:pt>
                <c:pt idx="89">
                  <c:v>25.464845629454413</c:v>
                </c:pt>
                <c:pt idx="90">
                  <c:v>25.46366106332124</c:v>
                </c:pt>
                <c:pt idx="91">
                  <c:v>25.462422444017704</c:v>
                </c:pt>
                <c:pt idx="92">
                  <c:v>25.461127321593562</c:v>
                </c:pt>
                <c:pt idx="93">
                  <c:v>25.459773136599708</c:v>
                </c:pt>
                <c:pt idx="94">
                  <c:v>25.458357215338381</c:v>
                </c:pt>
                <c:pt idx="95">
                  <c:v>25.456876764920402</c:v>
                </c:pt>
                <c:pt idx="96">
                  <c:v>25.455328868123374</c:v>
                </c:pt>
                <c:pt idx="97">
                  <c:v>25.453710478044744</c:v>
                </c:pt>
                <c:pt idx="98">
                  <c:v>25.452018412541587</c:v>
                </c:pt>
                <c:pt idx="99">
                  <c:v>25.450249348451376</c:v>
                </c:pt>
                <c:pt idx="100">
                  <c:v>25.448399815587198</c:v>
                </c:pt>
                <c:pt idx="101">
                  <c:v>25.446466190499166</c:v>
                </c:pt>
                <c:pt idx="102">
                  <c:v>25.444444689996875</c:v>
                </c:pt>
                <c:pt idx="103">
                  <c:v>25.442331364424774</c:v>
                </c:pt>
                <c:pt idx="104">
                  <c:v>25.44012209068423</c:v>
                </c:pt>
                <c:pt idx="105">
                  <c:v>25.437812564995241</c:v>
                </c:pt>
                <c:pt idx="106">
                  <c:v>25.435398295391479</c:v>
                </c:pt>
                <c:pt idx="107">
                  <c:v>25.432874593942302</c:v>
                </c:pt>
                <c:pt idx="108">
                  <c:v>25.430236568694816</c:v>
                </c:pt>
                <c:pt idx="109">
                  <c:v>25.42747911533074</c:v>
                </c:pt>
                <c:pt idx="110">
                  <c:v>25.424596908531747</c:v>
                </c:pt>
                <c:pt idx="111">
                  <c:v>25.421584393048381</c:v>
                </c:pt>
                <c:pt idx="112">
                  <c:v>25.41843577446711</c:v>
                </c:pt>
                <c:pt idx="113">
                  <c:v>25.415145009671431</c:v>
                </c:pt>
                <c:pt idx="114">
                  <c:v>25.411705796993157</c:v>
                </c:pt>
                <c:pt idx="115">
                  <c:v>25.408111566049598</c:v>
                </c:pt>
                <c:pt idx="116">
                  <c:v>25.404355467266392</c:v>
                </c:pt>
                <c:pt idx="117">
                  <c:v>25.400430361081689</c:v>
                </c:pt>
                <c:pt idx="118">
                  <c:v>25.396328806832081</c:v>
                </c:pt>
                <c:pt idx="119">
                  <c:v>25.392043051321721</c:v>
                </c:pt>
                <c:pt idx="120">
                  <c:v>25.387565017073612</c:v>
                </c:pt>
                <c:pt idx="121">
                  <c:v>25.382886290268431</c:v>
                </c:pt>
                <c:pt idx="122">
                  <c:v>25.377998108373063</c:v>
                </c:pt>
                <c:pt idx="123">
                  <c:v>25.372891347466396</c:v>
                </c:pt>
                <c:pt idx="124">
                  <c:v>25.367556509268706</c:v>
                </c:pt>
                <c:pt idx="125">
                  <c:v>25.361983707884512</c:v>
                </c:pt>
                <c:pt idx="126">
                  <c:v>25.356162656271955</c:v>
                </c:pt>
                <c:pt idx="127">
                  <c:v>25.350082652449988</c:v>
                </c:pt>
                <c:pt idx="128">
                  <c:v>25.343732565463188</c:v>
                </c:pt>
                <c:pt idx="129">
                  <c:v>25.337100821119826</c:v>
                </c:pt>
                <c:pt idx="130">
                  <c:v>25.3301753875297</c:v>
                </c:pt>
                <c:pt idx="131">
                  <c:v>25.32294376046282</c:v>
                </c:pt>
                <c:pt idx="132">
                  <c:v>25.315392948561446</c:v>
                </c:pt>
                <c:pt idx="133">
                  <c:v>25.307509458435305</c:v>
                </c:pt>
                <c:pt idx="134">
                  <c:v>25.299279279678743</c:v>
                </c:pt>
                <c:pt idx="135">
                  <c:v>25.290687869849037</c:v>
                </c:pt>
                <c:pt idx="136">
                  <c:v>25.281720139451814</c:v>
                </c:pt>
                <c:pt idx="137">
                  <c:v>25.272360436983146</c:v>
                </c:pt>
                <c:pt idx="138">
                  <c:v>25.262592534084575</c:v>
                </c:pt>
                <c:pt idx="139">
                  <c:v>25.25239961086897</c:v>
                </c:pt>
                <c:pt idx="140">
                  <c:v>25.241764241486479</c:v>
                </c:pt>
                <c:pt idx="141">
                  <c:v>25.230668379998669</c:v>
                </c:pt>
                <c:pt idx="142">
                  <c:v>25.219093346641912</c:v>
                </c:pt>
                <c:pt idx="143">
                  <c:v>25.207019814561981</c:v>
                </c:pt>
                <c:pt idx="144">
                  <c:v>25.194427797110567</c:v>
                </c:pt>
                <c:pt idx="145">
                  <c:v>25.181296635802557</c:v>
                </c:pt>
                <c:pt idx="146">
                  <c:v>25.167604989035667</c:v>
                </c:pt>
                <c:pt idx="147">
                  <c:v>25.153330821685088</c:v>
                </c:pt>
                <c:pt idx="148">
                  <c:v>25.13845139568997</c:v>
                </c:pt>
                <c:pt idx="149">
                  <c:v>25.12294326175666</c:v>
                </c:pt>
                <c:pt idx="150">
                  <c:v>25.106782252310129</c:v>
                </c:pt>
                <c:pt idx="151">
                  <c:v>25.089943475831689</c:v>
                </c:pt>
                <c:pt idx="152">
                  <c:v>25.072401312727173</c:v>
                </c:pt>
                <c:pt idx="153">
                  <c:v>25.054129412876666</c:v>
                </c:pt>
                <c:pt idx="154">
                  <c:v>25.035100695022127</c:v>
                </c:pt>
                <c:pt idx="155">
                  <c:v>25.015287348152782</c:v>
                </c:pt>
                <c:pt idx="156">
                  <c:v>24.994660835056031</c:v>
                </c:pt>
                <c:pt idx="157">
                  <c:v>24.973191898201812</c:v>
                </c:pt>
                <c:pt idx="158">
                  <c:v>24.950850568132093</c:v>
                </c:pt>
                <c:pt idx="159">
                  <c:v>24.927606174530602</c:v>
                </c:pt>
                <c:pt idx="160">
                  <c:v>24.903427360144185</c:v>
                </c:pt>
                <c:pt idx="161">
                  <c:v>24.878282097730491</c:v>
                </c:pt>
                <c:pt idx="162">
                  <c:v>24.852137710200534</c:v>
                </c:pt>
                <c:pt idx="163">
                  <c:v>24.824960894121567</c:v>
                </c:pt>
                <c:pt idx="164">
                  <c:v>24.79671774674026</c:v>
                </c:pt>
                <c:pt idx="165">
                  <c:v>24.767373796675059</c:v>
                </c:pt>
                <c:pt idx="166">
                  <c:v>24.736894038418956</c:v>
                </c:pt>
                <c:pt idx="167">
                  <c:v>24.705242970778265</c:v>
                </c:pt>
                <c:pt idx="168">
                  <c:v>24.672384639358931</c:v>
                </c:pt>
                <c:pt idx="169">
                  <c:v>24.638282683194209</c:v>
                </c:pt>
                <c:pt idx="170">
                  <c:v>24.602900385583347</c:v>
                </c:pt>
                <c:pt idx="171">
                  <c:v>24.566200729192957</c:v>
                </c:pt>
                <c:pt idx="172">
                  <c:v>24.528146455440446</c:v>
                </c:pt>
                <c:pt idx="173">
                  <c:v>24.488700128155145</c:v>
                </c:pt>
                <c:pt idx="174">
                  <c:v>24.447824201476781</c:v>
                </c:pt>
                <c:pt idx="175">
                  <c:v>24.405481091920109</c:v>
                </c:pt>
                <c:pt idx="176">
                  <c:v>24.361633254496088</c:v>
                </c:pt>
                <c:pt idx="177">
                  <c:v>24.316243262742823</c:v>
                </c:pt>
                <c:pt idx="178">
                  <c:v>24.269273892477507</c:v>
                </c:pt>
                <c:pt idx="179">
                  <c:v>24.220688209041164</c:v>
                </c:pt>
                <c:pt idx="180">
                  <c:v>24.170449657762695</c:v>
                </c:pt>
                <c:pt idx="181">
                  <c:v>24.118522157327856</c:v>
                </c:pt>
                <c:pt idx="182">
                  <c:v>24.064870195694329</c:v>
                </c:pt>
                <c:pt idx="183">
                  <c:v>24.009458928150679</c:v>
                </c:pt>
                <c:pt idx="184">
                  <c:v>23.952254277078019</c:v>
                </c:pt>
                <c:pt idx="185">
                  <c:v>23.893223032930994</c:v>
                </c:pt>
                <c:pt idx="186">
                  <c:v>23.832332955919849</c:v>
                </c:pt>
                <c:pt idx="187">
                  <c:v>23.769552877839551</c:v>
                </c:pt>
                <c:pt idx="188">
                  <c:v>23.704852803466014</c:v>
                </c:pt>
                <c:pt idx="189">
                  <c:v>23.638204010910179</c:v>
                </c:pt>
                <c:pt idx="190">
                  <c:v>23.56957915030344</c:v>
                </c:pt>
                <c:pt idx="191">
                  <c:v>23.498952340175041</c:v>
                </c:pt>
                <c:pt idx="192">
                  <c:v>23.42629926087282</c:v>
                </c:pt>
                <c:pt idx="193">
                  <c:v>23.351597244379722</c:v>
                </c:pt>
                <c:pt idx="194">
                  <c:v>23.274825359885625</c:v>
                </c:pt>
                <c:pt idx="195">
                  <c:v>23.195964494487839</c:v>
                </c:pt>
                <c:pt idx="196">
                  <c:v>23.114997428416054</c:v>
                </c:pt>
                <c:pt idx="197">
                  <c:v>23.031908904208439</c:v>
                </c:pt>
                <c:pt idx="198">
                  <c:v>22.946685689300644</c:v>
                </c:pt>
                <c:pt idx="199">
                  <c:v>22.859316631536718</c:v>
                </c:pt>
                <c:pt idx="200">
                  <c:v>22.76979270715966</c:v>
                </c:pt>
                <c:pt idx="201">
                  <c:v>22.678107060898178</c:v>
                </c:pt>
                <c:pt idx="202">
                  <c:v>22.58425503782837</c:v>
                </c:pt>
                <c:pt idx="203">
                  <c:v>22.48823420675717</c:v>
                </c:pt>
                <c:pt idx="204">
                  <c:v>22.390044374943855</c:v>
                </c:pt>
                <c:pt idx="205">
                  <c:v>22.289687594052531</c:v>
                </c:pt>
                <c:pt idx="206">
                  <c:v>22.187168157300476</c:v>
                </c:pt>
                <c:pt idx="207">
                  <c:v>22.082492587846609</c:v>
                </c:pt>
                <c:pt idx="208">
                  <c:v>21.97566961853714</c:v>
                </c:pt>
                <c:pt idx="209">
                  <c:v>21.866710163200448</c:v>
                </c:pt>
                <c:pt idx="210">
                  <c:v>21.755627279754567</c:v>
                </c:pt>
                <c:pt idx="211">
                  <c:v>21.642436125456207</c:v>
                </c:pt>
                <c:pt idx="212">
                  <c:v>21.527153904685488</c:v>
                </c:pt>
                <c:pt idx="213">
                  <c:v>21.409799809714904</c:v>
                </c:pt>
                <c:pt idx="214">
                  <c:v>21.290394954964089</c:v>
                </c:pt>
                <c:pt idx="215">
                  <c:v>21.168962305285064</c:v>
                </c:pt>
                <c:pt idx="216">
                  <c:v>21.045526598860601</c:v>
                </c:pt>
                <c:pt idx="217">
                  <c:v>20.920114265326841</c:v>
                </c:pt>
                <c:pt idx="218">
                  <c:v>20.79275333975361</c:v>
                </c:pt>
                <c:pt idx="219">
                  <c:v>20.663473373131648</c:v>
                </c:pt>
                <c:pt idx="220">
                  <c:v>20.532305340019988</c:v>
                </c:pt>
                <c:pt idx="221">
                  <c:v>20.399281544008719</c:v>
                </c:pt>
                <c:pt idx="222">
                  <c:v>20.264435521643946</c:v>
                </c:pt>
                <c:pt idx="223">
                  <c:v>20.127801945447871</c:v>
                </c:pt>
                <c:pt idx="224">
                  <c:v>19.989416526647844</c:v>
                </c:pt>
                <c:pt idx="225">
                  <c:v>19.849315918201839</c:v>
                </c:pt>
                <c:pt idx="226">
                  <c:v>19.707537618680483</c:v>
                </c:pt>
                <c:pt idx="227">
                  <c:v>19.564119877528643</c:v>
                </c:pt>
                <c:pt idx="228">
                  <c:v>19.419101602196658</c:v>
                </c:pt>
                <c:pt idx="229">
                  <c:v>19.27252226758845</c:v>
                </c:pt>
                <c:pt idx="230">
                  <c:v>19.124421828233992</c:v>
                </c:pt>
                <c:pt idx="231">
                  <c:v>18.974840633550343</c:v>
                </c:pt>
                <c:pt idx="232">
                  <c:v>18.823819346514117</c:v>
                </c:pt>
                <c:pt idx="233">
                  <c:v>18.671398866020841</c:v>
                </c:pt>
                <c:pt idx="234">
                  <c:v>18.517620253169934</c:v>
                </c:pt>
                <c:pt idx="235">
                  <c:v>18.362524661666406</c:v>
                </c:pt>
                <c:pt idx="236">
                  <c:v>18.206153272494948</c:v>
                </c:pt>
                <c:pt idx="237">
                  <c:v>18.048547232980333</c:v>
                </c:pt>
                <c:pt idx="238">
                  <c:v>17.889747600313953</c:v>
                </c:pt>
                <c:pt idx="239">
                  <c:v>17.729795289590584</c:v>
                </c:pt>
                <c:pt idx="240">
                  <c:v>17.568731026368958</c:v>
                </c:pt>
                <c:pt idx="241">
                  <c:v>17.406595303740193</c:v>
                </c:pt>
                <c:pt idx="242">
                  <c:v>17.24342834386206</c:v>
                </c:pt>
                <c:pt idx="243">
                  <c:v>17.079270063893141</c:v>
                </c:pt>
                <c:pt idx="244">
                  <c:v>16.914160046240355</c:v>
                </c:pt>
                <c:pt idx="245">
                  <c:v>16.748137513014598</c:v>
                </c:pt>
                <c:pt idx="246">
                  <c:v>16.581241304574121</c:v>
                </c:pt>
                <c:pt idx="247">
                  <c:v>16.413509862020327</c:v>
                </c:pt>
                <c:pt idx="248">
                  <c:v>16.244981213502495</c:v>
                </c:pt>
                <c:pt idx="249">
                  <c:v>16.075692964175122</c:v>
                </c:pt>
                <c:pt idx="250">
                  <c:v>15.905682289648608</c:v>
                </c:pt>
                <c:pt idx="251">
                  <c:v>15.734985932765662</c:v>
                </c:pt>
                <c:pt idx="252">
                  <c:v>15.563640203535412</c:v>
                </c:pt>
                <c:pt idx="253">
                  <c:v>15.391680982051206</c:v>
                </c:pt>
                <c:pt idx="254">
                  <c:v>15.219143724222629</c:v>
                </c:pt>
                <c:pt idx="255">
                  <c:v>15.046063470148287</c:v>
                </c:pt>
                <c:pt idx="256">
                  <c:v>14.872474854958471</c:v>
                </c:pt>
                <c:pt idx="257">
                  <c:v>14.698412121962443</c:v>
                </c:pt>
                <c:pt idx="258">
                  <c:v>14.523909137931653</c:v>
                </c:pt>
                <c:pt idx="259">
                  <c:v>14.348999410360339</c:v>
                </c:pt>
                <c:pt idx="260">
                  <c:v>14.173716106543846</c:v>
                </c:pt>
                <c:pt idx="261">
                  <c:v>13.99809207432174</c:v>
                </c:pt>
                <c:pt idx="262">
                  <c:v>13.822159864336385</c:v>
                </c:pt>
                <c:pt idx="263">
                  <c:v>13.645951753660945</c:v>
                </c:pt>
                <c:pt idx="264">
                  <c:v>13.469499770657531</c:v>
                </c:pt>
                <c:pt idx="265">
                  <c:v>13.292835720927016</c:v>
                </c:pt>
                <c:pt idx="266">
                  <c:v>13.11599121421853</c:v>
                </c:pt>
                <c:pt idx="267">
                  <c:v>12.938997692169682</c:v>
                </c:pt>
                <c:pt idx="268">
                  <c:v>12.761886456750172</c:v>
                </c:pt>
                <c:pt idx="269">
                  <c:v>12.584688699287801</c:v>
                </c:pt>
                <c:pt idx="270">
                  <c:v>12.407435529953506</c:v>
                </c:pt>
                <c:pt idx="271">
                  <c:v>12.230158007589559</c:v>
                </c:pt>
                <c:pt idx="272">
                  <c:v>12.052887169761565</c:v>
                </c:pt>
                <c:pt idx="273">
                  <c:v>11.875654062919676</c:v>
                </c:pt>
                <c:pt idx="274">
                  <c:v>11.698489772552609</c:v>
                </c:pt>
                <c:pt idx="275">
                  <c:v>11.521425453217994</c:v>
                </c:pt>
                <c:pt idx="276">
                  <c:v>11.344492358335154</c:v>
                </c:pt>
                <c:pt idx="277">
                  <c:v>11.167721869619553</c:v>
                </c:pt>
                <c:pt idx="278">
                  <c:v>10.991145526043127</c:v>
                </c:pt>
                <c:pt idx="279">
                  <c:v>10.814795052197248</c:v>
                </c:pt>
                <c:pt idx="280">
                  <c:v>10.63870238593484</c:v>
                </c:pt>
                <c:pt idx="281">
                  <c:v>10.462899705166684</c:v>
                </c:pt>
                <c:pt idx="282">
                  <c:v>10.287419453679515</c:v>
                </c:pt>
                <c:pt idx="283">
                  <c:v>10.112294365844228</c:v>
                </c:pt>
                <c:pt idx="284">
                  <c:v>9.9375574900758892</c:v>
                </c:pt>
                <c:pt idx="285">
                  <c:v>9.7632422109033268</c:v>
                </c:pt>
                <c:pt idx="286">
                  <c:v>9.5893822695035968</c:v>
                </c:pt>
                <c:pt idx="287">
                  <c:v>9.416011782550429</c:v>
                </c:pt>
                <c:pt idx="288">
                  <c:v>9.2431652592219944</c:v>
                </c:pt>
                <c:pt idx="289">
                  <c:v>9.0708776162114457</c:v>
                </c:pt>
                <c:pt idx="290">
                  <c:v>8.8991841905748679</c:v>
                </c:pt>
                <c:pt idx="291">
                  <c:v>8.7281207502556484</c:v>
                </c:pt>
                <c:pt idx="292">
                  <c:v>8.5577235021136886</c:v>
                </c:pt>
                <c:pt idx="293">
                  <c:v>8.3880290972908345</c:v>
                </c:pt>
                <c:pt idx="294">
                  <c:v>8.2190746337425065</c:v>
                </c:pt>
                <c:pt idx="295">
                  <c:v>8.0508976557612293</c:v>
                </c:pt>
                <c:pt idx="296">
                  <c:v>7.8835361503255363</c:v>
                </c:pt>
                <c:pt idx="297">
                  <c:v>7.7170285401029783</c:v>
                </c:pt>
                <c:pt idx="298">
                  <c:v>7.5514136729465777</c:v>
                </c:pt>
                <c:pt idx="299">
                  <c:v>7.386730807723648</c:v>
                </c:pt>
                <c:pt idx="300">
                  <c:v>7.2230195963276476</c:v>
                </c:pt>
                <c:pt idx="301">
                  <c:v>7.0603200617331012</c:v>
                </c:pt>
                <c:pt idx="302">
                  <c:v>6.898672571961618</c:v>
                </c:pt>
                <c:pt idx="303">
                  <c:v>6.7381178098454706</c:v>
                </c:pt>
                <c:pt idx="304">
                  <c:v>6.5786967384909936</c:v>
                </c:pt>
                <c:pt idx="305">
                  <c:v>6.4204505623598385</c:v>
                </c:pt>
                <c:pt idx="306">
                  <c:v>6.263420683912547</c:v>
                </c:pt>
                <c:pt idx="307">
                  <c:v>6.1076486557792347</c:v>
                </c:pt>
                <c:pt idx="308">
                  <c:v>5.9531761284548734</c:v>
                </c:pt>
                <c:pt idx="309">
                  <c:v>5.8000447935375945</c:v>
                </c:pt>
                <c:pt idx="310">
                  <c:v>5.6482963225726586</c:v>
                </c:pt>
                <c:pt idx="311">
                  <c:v>5.4979723015866959</c:v>
                </c:pt>
                <c:pt idx="312">
                  <c:v>5.3491141614452911</c:v>
                </c:pt>
                <c:pt idx="313">
                  <c:v>5.2017631041994425</c:v>
                </c:pt>
                <c:pt idx="314">
                  <c:v>5.055960025627436</c:v>
                </c:pt>
                <c:pt idx="315">
                  <c:v>4.9117454342251419</c:v>
                </c:pt>
                <c:pt idx="316">
                  <c:v>4.7691593669357033</c:v>
                </c:pt>
                <c:pt idx="317">
                  <c:v>4.6282413019551836</c:v>
                </c:pt>
                <c:pt idx="318">
                  <c:v>4.4890300689957821</c:v>
                </c:pt>
                <c:pt idx="319">
                  <c:v>4.3515637574258452</c:v>
                </c:pt>
                <c:pt idx="320">
                  <c:v>4.2158796227524284</c:v>
                </c:pt>
                <c:pt idx="321">
                  <c:v>4.0820139919470213</c:v>
                </c:pt>
                <c:pt idx="322">
                  <c:v>3.9500021681542208</c:v>
                </c:pt>
                <c:pt idx="323">
                  <c:v>3.8198783353530081</c:v>
                </c:pt>
                <c:pt idx="324">
                  <c:v>3.6916754635719498</c:v>
                </c:pt>
                <c:pt idx="325">
                  <c:v>3.5654252152814356</c:v>
                </c:pt>
                <c:pt idx="326">
                  <c:v>3.4411578536050507</c:v>
                </c:pt>
                <c:pt idx="327">
                  <c:v>3.3189021530038572</c:v>
                </c:pt>
                <c:pt idx="328">
                  <c:v>3.1986853130944874</c:v>
                </c:pt>
                <c:pt idx="329">
                  <c:v>3.0805328762587569</c:v>
                </c:pt>
                <c:pt idx="330">
                  <c:v>2.9644686496948083</c:v>
                </c:pt>
                <c:pt idx="331">
                  <c:v>2.850514632544352</c:v>
                </c:pt>
                <c:pt idx="332">
                  <c:v>2.7386909487040123</c:v>
                </c:pt>
                <c:pt idx="333">
                  <c:v>2.6290157859014762</c:v>
                </c:pt>
                <c:pt idx="334">
                  <c:v>2.5215053415732811</c:v>
                </c:pt>
                <c:pt idx="335">
                  <c:v>2.416173776040516</c:v>
                </c:pt>
                <c:pt idx="336">
                  <c:v>2.3130331734216152</c:v>
                </c:pt>
                <c:pt idx="337">
                  <c:v>2.2120935106661439</c:v>
                </c:pt>
                <c:pt idx="338">
                  <c:v>2.1133626350276371</c:v>
                </c:pt>
                <c:pt idx="339">
                  <c:v>2.016846250227244</c:v>
                </c:pt>
                <c:pt idx="340">
                  <c:v>1.9225479114881663</c:v>
                </c:pt>
                <c:pt idx="341">
                  <c:v>1.8304690295440997</c:v>
                </c:pt>
                <c:pt idx="342">
                  <c:v>1.740608883655439</c:v>
                </c:pt>
                <c:pt idx="343">
                  <c:v>1.6529646435850185</c:v>
                </c:pt>
                <c:pt idx="344">
                  <c:v>1.5675314004156184</c:v>
                </c:pt>
                <c:pt idx="345">
                  <c:v>1.484302206015665</c:v>
                </c:pt>
                <c:pt idx="346">
                  <c:v>1.4032681208916287</c:v>
                </c:pt>
                <c:pt idx="347">
                  <c:v>1.3244182700990146</c:v>
                </c:pt>
                <c:pt idx="348">
                  <c:v>1.2477399068242545</c:v>
                </c:pt>
                <c:pt idx="349">
                  <c:v>1.1732184831920018</c:v>
                </c:pt>
                <c:pt idx="350">
                  <c:v>1.1008377278087551</c:v>
                </c:pt>
                <c:pt idx="351">
                  <c:v>1.0305797295051422</c:v>
                </c:pt>
                <c:pt idx="352">
                  <c:v>0.96242502671160057</c:v>
                </c:pt>
                <c:pt idx="353">
                  <c:v>0.89635270186911242</c:v>
                </c:pt>
                <c:pt idx="354">
                  <c:v>0.83234048026270324</c:v>
                </c:pt>
                <c:pt idx="355">
                  <c:v>0.77036483264927003</c:v>
                </c:pt>
                <c:pt idx="356">
                  <c:v>0.71040108105087185</c:v>
                </c:pt>
                <c:pt idx="357">
                  <c:v>0.65242350708535213</c:v>
                </c:pt>
                <c:pt idx="358">
                  <c:v>0.59640546221740132</c:v>
                </c:pt>
                <c:pt idx="359">
                  <c:v>0.54231947932873237</c:v>
                </c:pt>
                <c:pt idx="360">
                  <c:v>0.49013738502999549</c:v>
                </c:pt>
                <c:pt idx="361">
                  <c:v>0.43983041216077856</c:v>
                </c:pt>
                <c:pt idx="362">
                  <c:v>0.39136931196232067</c:v>
                </c:pt>
                <c:pt idx="363">
                  <c:v>0.34472446543538543</c:v>
                </c:pt>
                <c:pt idx="364">
                  <c:v>0.29986599344277809</c:v>
                </c:pt>
                <c:pt idx="365">
                  <c:v>0.25676386515065008</c:v>
                </c:pt>
                <c:pt idx="366">
                  <c:v>0.21538800445144118</c:v>
                </c:pt>
                <c:pt idx="367">
                  <c:v>0.17570839405257982</c:v>
                </c:pt>
                <c:pt idx="368">
                  <c:v>0.13769517695990835</c:v>
                </c:pt>
                <c:pt idx="369">
                  <c:v>0.10131875513210442</c:v>
                </c:pt>
                <c:pt idx="370">
                  <c:v>6.6549885124225355E-2</c:v>
                </c:pt>
                <c:pt idx="371">
                  <c:v>3.335977058306059E-2</c:v>
                </c:pt>
                <c:pt idx="372">
                  <c:v>1.7201514978573865E-3</c:v>
                </c:pt>
                <c:pt idx="373">
                  <c:v>-2.8396609847393992E-2</c:v>
                </c:pt>
                <c:pt idx="374">
                  <c:v>-5.701744624063855E-2</c:v>
                </c:pt>
                <c:pt idx="375">
                  <c:v>-8.4168506206138222E-2</c:v>
                </c:pt>
                <c:pt idx="376">
                  <c:v>-0.10987507791675578</c:v>
                </c:pt>
                <c:pt idx="377">
                  <c:v>-0.1341615162712019</c:v>
                </c:pt>
                <c:pt idx="378">
                  <c:v>-0.15705117302443436</c:v>
                </c:pt>
                <c:pt idx="379">
                  <c:v>-0.17856632983612386</c:v>
                </c:pt>
                <c:pt idx="380">
                  <c:v>-0.19872813407524376</c:v>
                </c:pt>
                <c:pt idx="381">
                  <c:v>-0.21755653720121201</c:v>
                </c:pt>
                <c:pt idx="382">
                  <c:v>-0.2350702355228238</c:v>
                </c:pt>
                <c:pt idx="383">
                  <c:v>-0.25128661311889211</c:v>
                </c:pt>
                <c:pt idx="384">
                  <c:v>-0.26622168669105567</c:v>
                </c:pt>
                <c:pt idx="385">
                  <c:v>-0.27989005210981244</c:v>
                </c:pt>
                <c:pt idx="386">
                  <c:v>-0.29230483239925803</c:v>
                </c:pt>
                <c:pt idx="387">
                  <c:v>-0.30347762690413249</c:v>
                </c:pt>
                <c:pt idx="388">
                  <c:v>-0.31341846136933443</c:v>
                </c:pt>
                <c:pt idx="389">
                  <c:v>-0.32213573866192058</c:v>
                </c:pt>
                <c:pt idx="390">
                  <c:v>-0.32963618985666787</c:v>
                </c:pt>
                <c:pt idx="391">
                  <c:v>-0.33592482540615176</c:v>
                </c:pt>
                <c:pt idx="392">
                  <c:v>-0.34100488611129903</c:v>
                </c:pt>
                <c:pt idx="393">
                  <c:v>-0.34487779360764242</c:v>
                </c:pt>
                <c:pt idx="394">
                  <c:v>-0.3475431000804855</c:v>
                </c:pt>
                <c:pt idx="395">
                  <c:v>-0.34899843692326704</c:v>
                </c:pt>
                <c:pt idx="396">
                  <c:v>-0.34923946204830436</c:v>
                </c:pt>
                <c:pt idx="397">
                  <c:v>-0.34825980556650471</c:v>
                </c:pt>
                <c:pt idx="398">
                  <c:v>-0.34605101354465073</c:v>
                </c:pt>
                <c:pt idx="399">
                  <c:v>-0.34260248955654116</c:v>
                </c:pt>
                <c:pt idx="400">
                  <c:v>-0.33790143374048742</c:v>
                </c:pt>
                <c:pt idx="401">
                  <c:v>-0.331932779080369</c:v>
                </c:pt>
                <c:pt idx="402">
                  <c:v>-0.32467912462603665</c:v>
                </c:pt>
                <c:pt idx="403">
                  <c:v>-0.3161206653756235</c:v>
                </c:pt>
                <c:pt idx="404">
                  <c:v>-0.30623511854259056</c:v>
                </c:pt>
                <c:pt idx="405">
                  <c:v>-0.29499764593669131</c:v>
                </c:pt>
                <c:pt idx="406">
                  <c:v>-0.28238077219415914</c:v>
                </c:pt>
                <c:pt idx="407">
                  <c:v>-0.26835429860218313</c:v>
                </c:pt>
                <c:pt idx="408">
                  <c:v>-0.2528852122715754</c:v>
                </c:pt>
                <c:pt idx="409">
                  <c:v>-0.23593759043070064</c:v>
                </c:pt>
                <c:pt idx="410">
                  <c:v>-0.21747249962796028</c:v>
                </c:pt>
                <c:pt idx="411">
                  <c:v>-0.19744788966068574</c:v>
                </c:pt>
                <c:pt idx="412">
                  <c:v>-0.17581848207754586</c:v>
                </c:pt>
                <c:pt idx="413">
                  <c:v>-0.15253565314285639</c:v>
                </c:pt>
                <c:pt idx="414">
                  <c:v>-0.12754731120889773</c:v>
                </c:pt>
                <c:pt idx="415">
                  <c:v>-0.10079776850083766</c:v>
                </c:pt>
                <c:pt idx="416">
                  <c:v>-7.2227607414678763E-2</c:v>
                </c:pt>
                <c:pt idx="417">
                  <c:v>-4.1773541525139665E-2</c:v>
                </c:pt>
                <c:pt idx="418">
                  <c:v>-9.3682716413154912E-3</c:v>
                </c:pt>
                <c:pt idx="419">
                  <c:v>2.5059662587686771E-2</c:v>
                </c:pt>
                <c:pt idx="420">
                  <c:v>6.1586034804210973E-2</c:v>
                </c:pt>
                <c:pt idx="421">
                  <c:v>0.10029108683698437</c:v>
                </c:pt>
                <c:pt idx="422">
                  <c:v>0.1412596850616388</c:v>
                </c:pt>
                <c:pt idx="423">
                  <c:v>0.18458147652213081</c:v>
                </c:pt>
                <c:pt idx="424">
                  <c:v>0.23035104260811387</c:v>
                </c:pt>
                <c:pt idx="425">
                  <c:v>0.27866804745763352</c:v>
                </c:pt>
                <c:pt idx="426">
                  <c:v>0.3296373774783013</c:v>
                </c:pt>
                <c:pt idx="427">
                  <c:v>0.3833692674205621</c:v>
                </c:pt>
                <c:pt idx="428">
                  <c:v>0.4399794072349581</c:v>
                </c:pt>
                <c:pt idx="429">
                  <c:v>0.49958902246602754</c:v>
                </c:pt>
                <c:pt idx="430">
                  <c:v>0.56232491908997384</c:v>
                </c:pt>
                <c:pt idx="431">
                  <c:v>0.62831948140421567</c:v>
                </c:pt>
                <c:pt idx="432">
                  <c:v>0.69771060873971613</c:v>
                </c:pt>
                <c:pt idx="433">
                  <c:v>0.77064157321078985</c:v>
                </c:pt>
                <c:pt idx="434">
                  <c:v>0.84726077631772301</c:v>
                </c:pt>
                <c:pt idx="435">
                  <c:v>0.92772137672931287</c:v>
                </c:pt>
                <c:pt idx="436">
                  <c:v>1.0121807547501358</c:v>
                </c:pt>
                <c:pt idx="437">
                  <c:v>1.1007997704860559</c:v>
                </c:pt>
                <c:pt idx="438">
                  <c:v>1.1937417621675601</c:v>
                </c:pt>
                <c:pt idx="439">
                  <c:v>1.2911712179729782</c:v>
                </c:pt>
                <c:pt idx="440">
                  <c:v>1.3932520384268496</c:v>
                </c:pt>
                <c:pt idx="441">
                  <c:v>1.5001452863101126</c:v>
                </c:pt>
                <c:pt idx="442">
                  <c:v>1.6120062961735393</c:v>
                </c:pt>
                <c:pt idx="443">
                  <c:v>1.7289809850269222</c:v>
                </c:pt>
                <c:pt idx="444">
                  <c:v>1.851201168531337</c:v>
                </c:pt>
                <c:pt idx="445">
                  <c:v>1.9787786419452258</c:v>
                </c:pt>
                <c:pt idx="446">
                  <c:v>2.1117977311953404</c:v>
                </c:pt>
                <c:pt idx="447">
                  <c:v>2.2503059561113297</c:v>
                </c:pt>
                <c:pt idx="448">
                  <c:v>2.394302375231701</c:v>
                </c:pt>
                <c:pt idx="449">
                  <c:v>2.5437231013118344</c:v>
                </c:pt>
                <c:pt idx="450">
                  <c:v>2.6984233930389419</c:v>
                </c:pt>
                <c:pt idx="451">
                  <c:v>2.8581556502275069</c:v>
                </c:pt>
                <c:pt idx="452">
                  <c:v>3.0225425827467616</c:v>
                </c:pt>
                <c:pt idx="453">
                  <c:v>3.1910448142970544</c:v>
                </c:pt>
                <c:pt idx="454">
                  <c:v>3.3629222634373139</c:v>
                </c:pt>
                <c:pt idx="455">
                  <c:v>3.5371888804451093</c:v>
                </c:pt>
                <c:pt idx="456">
                  <c:v>3.7125608019578236</c:v>
                </c:pt>
                <c:pt idx="457">
                  <c:v>3.8873988391180774</c:v>
                </c:pt>
                <c:pt idx="458">
                  <c:v>4.0596475873175732</c:v>
                </c:pt>
                <c:pt idx="459">
                  <c:v>4.2267754847236061</c:v>
                </c:pt>
                <c:pt idx="460">
                  <c:v>4.3857229407422054</c:v>
                </c:pt>
                <c:pt idx="461">
                  <c:v>4.5328691207843805</c:v>
                </c:pt>
                <c:pt idx="462">
                  <c:v>4.6640316832254189</c:v>
                </c:pt>
                <c:pt idx="463">
                  <c:v>4.7745167450456156</c:v>
                </c:pt>
                <c:pt idx="464">
                  <c:v>4.8592369523569356</c:v>
                </c:pt>
                <c:pt idx="465">
                  <c:v>4.91291156405702</c:v>
                </c:pt>
                <c:pt idx="466">
                  <c:v>4.9303518843757166</c:v>
                </c:pt>
                <c:pt idx="467">
                  <c:v>4.9068176656123077</c:v>
                </c:pt>
                <c:pt idx="468">
                  <c:v>4.8384078466776721</c:v>
                </c:pt>
                <c:pt idx="469">
                  <c:v>4.7224287430522818</c:v>
                </c:pt>
                <c:pt idx="470">
                  <c:v>4.5576735735762588</c:v>
                </c:pt>
                <c:pt idx="471">
                  <c:v>4.3445562663973512</c:v>
                </c:pt>
                <c:pt idx="472">
                  <c:v>4.0850703294147976</c:v>
                </c:pt>
                <c:pt idx="473">
                  <c:v>3.7825818672918969</c:v>
                </c:pt>
                <c:pt idx="474">
                  <c:v>3.4415008195707641</c:v>
                </c:pt>
                <c:pt idx="475">
                  <c:v>3.0668941724346195</c:v>
                </c:pt>
                <c:pt idx="476">
                  <c:v>2.6641049320616976</c:v>
                </c:pt>
                <c:pt idx="477">
                  <c:v>2.2384251938131023</c:v>
                </c:pt>
                <c:pt idx="478">
                  <c:v>1.7948494246172262</c:v>
                </c:pt>
                <c:pt idx="479">
                  <c:v>1.3379133417376914</c:v>
                </c:pt>
                <c:pt idx="480">
                  <c:v>0.87160925849970983</c:v>
                </c:pt>
                <c:pt idx="481">
                  <c:v>0.39936144223054515</c:v>
                </c:pt>
                <c:pt idx="482">
                  <c:v>-7.5956541897769625E-2</c:v>
                </c:pt>
                <c:pt idx="483">
                  <c:v>-0.55197857995335331</c:v>
                </c:pt>
                <c:pt idx="484">
                  <c:v>-1.0267894495919989</c:v>
                </c:pt>
                <c:pt idx="485">
                  <c:v>-1.4988638701126622</c:v>
                </c:pt>
                <c:pt idx="486">
                  <c:v>-1.9670068979144069</c:v>
                </c:pt>
                <c:pt idx="487">
                  <c:v>-2.430298961148821</c:v>
                </c:pt>
                <c:pt idx="488">
                  <c:v>-2.8880471128019671</c:v>
                </c:pt>
                <c:pt idx="489">
                  <c:v>-3.3397429679815325</c:v>
                </c:pt>
                <c:pt idx="490">
                  <c:v>-3.7850271257468493</c:v>
                </c:pt>
                <c:pt idx="491">
                  <c:v>-4.2236595201099538</c:v>
                </c:pt>
                <c:pt idx="492">
                  <c:v>-4.6554949899007783</c:v>
                </c:pt>
                <c:pt idx="493">
                  <c:v>-5.0804633242493189</c:v>
                </c:pt>
                <c:pt idx="494">
                  <c:v>-5.498553075928637</c:v>
                </c:pt>
                <c:pt idx="495">
                  <c:v>-5.9097985042252024</c:v>
                </c:pt>
                <c:pt idx="496">
                  <c:v>-6.3142690912430011</c:v>
                </c:pt>
                <c:pt idx="497">
                  <c:v>-6.7120611584496785</c:v>
                </c:pt>
                <c:pt idx="498">
                  <c:v>-7.1032911874195754</c:v>
                </c:pt>
                <c:pt idx="499">
                  <c:v>-7.4880905172238945</c:v>
                </c:pt>
                <c:pt idx="500">
                  <c:v>-7.8782877045820427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2-463D-81A0-68F554CF810C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51.047286756675057</c:v>
                </c:pt>
                <c:pt idx="1">
                  <c:v>50.852524105498397</c:v>
                </c:pt>
                <c:pt idx="2">
                  <c:v>50.657752856102611</c:v>
                </c:pt>
                <c:pt idx="3">
                  <c:v>50.462973473289523</c:v>
                </c:pt>
                <c:pt idx="4">
                  <c:v>50.268186405572294</c:v>
                </c:pt>
                <c:pt idx="5">
                  <c:v>50.073392086069092</c:v>
                </c:pt>
                <c:pt idx="6">
                  <c:v>49.878590933366908</c:v>
                </c:pt>
                <c:pt idx="7">
                  <c:v>49.683783352357196</c:v>
                </c:pt>
                <c:pt idx="8">
                  <c:v>49.488969735043696</c:v>
                </c:pt>
                <c:pt idx="9">
                  <c:v>49.294150461325387</c:v>
                </c:pt>
                <c:pt idx="10">
                  <c:v>49.099325899755954</c:v>
                </c:pt>
                <c:pt idx="11">
                  <c:v>48.904496408279897</c:v>
                </c:pt>
                <c:pt idx="12">
                  <c:v>48.70966233494832</c:v>
                </c:pt>
                <c:pt idx="13">
                  <c:v>48.514824018615343</c:v>
                </c:pt>
                <c:pt idx="14">
                  <c:v>48.319981789615838</c:v>
                </c:pt>
                <c:pt idx="15">
                  <c:v>48.1251359704262</c:v>
                </c:pt>
                <c:pt idx="16">
                  <c:v>47.930286876310056</c:v>
                </c:pt>
                <c:pt idx="17">
                  <c:v>47.735434815949304</c:v>
                </c:pt>
                <c:pt idx="18">
                  <c:v>47.540580092062129</c:v>
                </c:pt>
                <c:pt idx="19">
                  <c:v>47.345723002008938</c:v>
                </c:pt>
                <c:pt idx="20">
                  <c:v>47.150863838388076</c:v>
                </c:pt>
                <c:pt idx="21">
                  <c:v>46.956002889621246</c:v>
                </c:pt>
                <c:pt idx="22">
                  <c:v>46.76114044053142</c:v>
                </c:pt>
                <c:pt idx="23">
                  <c:v>46.566276772913199</c:v>
                </c:pt>
                <c:pt idx="24">
                  <c:v>46.371412166096135</c:v>
                </c:pt>
                <c:pt idx="25">
                  <c:v>46.176546897505048</c:v>
                </c:pt>
                <c:pt idx="26">
                  <c:v>45.98168124321387</c:v>
                </c:pt>
                <c:pt idx="27">
                  <c:v>45.786815478499008</c:v>
                </c:pt>
                <c:pt idx="28">
                  <c:v>45.591949878389244</c:v>
                </c:pt>
                <c:pt idx="29">
                  <c:v>45.397084718215936</c:v>
                </c:pt>
                <c:pt idx="30">
                  <c:v>45.202220274162684</c:v>
                </c:pt>
                <c:pt idx="31">
                  <c:v>45.007356823817922</c:v>
                </c:pt>
                <c:pt idx="32">
                  <c:v>44.812494646727913</c:v>
                </c:pt>
                <c:pt idx="33">
                  <c:v>44.617634024955493</c:v>
                </c:pt>
                <c:pt idx="34">
                  <c:v>44.422775243641993</c:v>
                </c:pt>
                <c:pt idx="35">
                  <c:v>44.227918591575396</c:v>
                </c:pt>
                <c:pt idx="36">
                  <c:v>44.033064361765454</c:v>
                </c:pt>
                <c:pt idx="37">
                  <c:v>43.838212852026444</c:v>
                </c:pt>
                <c:pt idx="38">
                  <c:v>43.643364365569518</c:v>
                </c:pt>
                <c:pt idx="39">
                  <c:v>43.448519211604406</c:v>
                </c:pt>
                <c:pt idx="40">
                  <c:v>43.253677705953315</c:v>
                </c:pt>
                <c:pt idx="41">
                  <c:v>43.058840171676181</c:v>
                </c:pt>
                <c:pt idx="42">
                  <c:v>42.864006939711345</c:v>
                </c:pt>
                <c:pt idx="43">
                  <c:v>42.669178349528899</c:v>
                </c:pt>
                <c:pt idx="44">
                  <c:v>42.474354749801734</c:v>
                </c:pt>
                <c:pt idx="45">
                  <c:v>42.279536499093311</c:v>
                </c:pt>
                <c:pt idx="46">
                  <c:v>42.0847239665638</c:v>
                </c:pt>
                <c:pt idx="47">
                  <c:v>41.889917532696352</c:v>
                </c:pt>
                <c:pt idx="48">
                  <c:v>41.695117590044958</c:v>
                </c:pt>
                <c:pt idx="49">
                  <c:v>41.500324544003263</c:v>
                </c:pt>
                <c:pt idx="50">
                  <c:v>41.305538813599689</c:v>
                </c:pt>
                <c:pt idx="51">
                  <c:v>41.110760832315457</c:v>
                </c:pt>
                <c:pt idx="52">
                  <c:v>40.915991048931325</c:v>
                </c:pt>
                <c:pt idx="53">
                  <c:v>40.721229928400994</c:v>
                </c:pt>
                <c:pt idx="54">
                  <c:v>40.526477952755698</c:v>
                </c:pt>
                <c:pt idx="55">
                  <c:v>40.33173562203902</c:v>
                </c:pt>
                <c:pt idx="56">
                  <c:v>40.137003455274943</c:v>
                </c:pt>
                <c:pt idx="57">
                  <c:v>39.94228199147112</c:v>
                </c:pt>
                <c:pt idx="58">
                  <c:v>39.747571790657041</c:v>
                </c:pt>
                <c:pt idx="59">
                  <c:v>39.552873434961612</c:v>
                </c:pt>
                <c:pt idx="60">
                  <c:v>39.358187529729186</c:v>
                </c:pt>
                <c:pt idx="61">
                  <c:v>39.163514704678107</c:v>
                </c:pt>
                <c:pt idx="62">
                  <c:v>38.968855615101653</c:v>
                </c:pt>
                <c:pt idx="63">
                  <c:v>38.774210943115136</c:v>
                </c:pt>
                <c:pt idx="64">
                  <c:v>38.579581398949543</c:v>
                </c:pt>
                <c:pt idx="65">
                  <c:v>38.384967722294647</c:v>
                </c:pt>
                <c:pt idx="66">
                  <c:v>38.190370683692564</c:v>
                </c:pt>
                <c:pt idx="67">
                  <c:v>37.995791085985758</c:v>
                </c:pt>
                <c:pt idx="68">
                  <c:v>37.801229765819443</c:v>
                </c:pt>
                <c:pt idx="69">
                  <c:v>37.606687595201379</c:v>
                </c:pt>
                <c:pt idx="70">
                  <c:v>37.412165483121321</c:v>
                </c:pt>
                <c:pt idx="71">
                  <c:v>37.21766437723285</c:v>
                </c:pt>
                <c:pt idx="72">
                  <c:v>37.0231852655984</c:v>
                </c:pt>
                <c:pt idx="73">
                  <c:v>36.828729178500453</c:v>
                </c:pt>
                <c:pt idx="74">
                  <c:v>36.634297190321973</c:v>
                </c:pt>
                <c:pt idx="75">
                  <c:v>36.439890421497168</c:v>
                </c:pt>
                <c:pt idx="76">
                  <c:v>36.245510040534967</c:v>
                </c:pt>
                <c:pt idx="77">
                  <c:v>36.051157266117926</c:v>
                </c:pt>
                <c:pt idx="78">
                  <c:v>35.856833369279386</c:v>
                </c:pt>
                <c:pt idx="79">
                  <c:v>35.662539675659907</c:v>
                </c:pt>
                <c:pt idx="80">
                  <c:v>35.468277567845213</c:v>
                </c:pt>
                <c:pt idx="81">
                  <c:v>35.274048487789202</c:v>
                </c:pt>
                <c:pt idx="82">
                  <c:v>35.079853939323158</c:v>
                </c:pt>
                <c:pt idx="83">
                  <c:v>34.885695490753463</c:v>
                </c:pt>
                <c:pt idx="84">
                  <c:v>34.691574777548908</c:v>
                </c:pt>
                <c:pt idx="85">
                  <c:v>34.497493505121071</c:v>
                </c:pt>
                <c:pt idx="86">
                  <c:v>34.303453451698587</c:v>
                </c:pt>
                <c:pt idx="87">
                  <c:v>34.10945647129715</c:v>
                </c:pt>
                <c:pt idx="88">
                  <c:v>33.915504496785488</c:v>
                </c:pt>
                <c:pt idx="89">
                  <c:v>33.721599543051276</c:v>
                </c:pt>
                <c:pt idx="90">
                  <c:v>33.52774371026544</c:v>
                </c:pt>
                <c:pt idx="91">
                  <c:v>33.33393918724591</c:v>
                </c:pt>
                <c:pt idx="92">
                  <c:v>33.140188254923316</c:v>
                </c:pt>
                <c:pt idx="93">
                  <c:v>32.946493289906371</c:v>
                </c:pt>
                <c:pt idx="94">
                  <c:v>32.752856768147772</c:v>
                </c:pt>
                <c:pt idx="95">
                  <c:v>32.559281268709952</c:v>
                </c:pt>
                <c:pt idx="96">
                  <c:v>32.365769477629399</c:v>
                </c:pt>
                <c:pt idx="97">
                  <c:v>32.172324191878182</c:v>
                </c:pt>
                <c:pt idx="98">
                  <c:v>31.978948323419949</c:v>
                </c:pt>
                <c:pt idx="99">
                  <c:v>31.785644903357614</c:v>
                </c:pt>
                <c:pt idx="100">
                  <c:v>31.592417086169952</c:v>
                </c:pt>
                <c:pt idx="101">
                  <c:v>31.399268154031386</c:v>
                </c:pt>
                <c:pt idx="102">
                  <c:v>31.206201521211433</c:v>
                </c:pt>
                <c:pt idx="103">
                  <c:v>31.01322073854594</c:v>
                </c:pt>
                <c:pt idx="104">
                  <c:v>30.820329497974171</c:v>
                </c:pt>
                <c:pt idx="105">
                  <c:v>30.627531637133092</c:v>
                </c:pt>
                <c:pt idx="106">
                  <c:v>30.434831143998963</c:v>
                </c:pt>
                <c:pt idx="107">
                  <c:v>30.242232161566402</c:v>
                </c:pt>
                <c:pt idx="108">
                  <c:v>30.04973899255144</c:v>
                </c:pt>
                <c:pt idx="109">
                  <c:v>29.8573561041059</c:v>
                </c:pt>
                <c:pt idx="110">
                  <c:v>29.665088132526726</c:v>
                </c:pt>
                <c:pt idx="111">
                  <c:v>29.472939887943806</c:v>
                </c:pt>
                <c:pt idx="112">
                  <c:v>29.280916358966692</c:v>
                </c:pt>
                <c:pt idx="113">
                  <c:v>29.089022717268751</c:v>
                </c:pt>
                <c:pt idx="114">
                  <c:v>28.897264322086222</c:v>
                </c:pt>
                <c:pt idx="115">
                  <c:v>28.705646724604744</c:v>
                </c:pt>
                <c:pt idx="116">
                  <c:v>28.514175672207735</c:v>
                </c:pt>
                <c:pt idx="117">
                  <c:v>28.322857112552967</c:v>
                </c:pt>
                <c:pt idx="118">
                  <c:v>28.13169719744463</c:v>
                </c:pt>
                <c:pt idx="119">
                  <c:v>27.94070228646607</c:v>
                </c:pt>
                <c:pt idx="120">
                  <c:v>27.749878950330327</c:v>
                </c:pt>
                <c:pt idx="121">
                  <c:v>27.559233973908164</c:v>
                </c:pt>
                <c:pt idx="122">
                  <c:v>27.368774358886245</c:v>
                </c:pt>
                <c:pt idx="123">
                  <c:v>27.178507326005946</c:v>
                </c:pt>
                <c:pt idx="124">
                  <c:v>26.988440316830193</c:v>
                </c:pt>
                <c:pt idx="125">
                  <c:v>26.798580994979751</c:v>
                </c:pt>
                <c:pt idx="126">
                  <c:v>26.608937246781306</c:v>
                </c:pt>
                <c:pt idx="127">
                  <c:v>26.419517181259518</c:v>
                </c:pt>
                <c:pt idx="128">
                  <c:v>26.230329129408677</c:v>
                </c:pt>
                <c:pt idx="129">
                  <c:v>26.041381642667464</c:v>
                </c:pt>
                <c:pt idx="130">
                  <c:v>25.852683490527117</c:v>
                </c:pt>
                <c:pt idx="131">
                  <c:v>25.664243657188123</c:v>
                </c:pt>
                <c:pt idx="132">
                  <c:v>25.476071337186994</c:v>
                </c:pt>
                <c:pt idx="133">
                  <c:v>25.288175929905279</c:v>
                </c:pt>
                <c:pt idx="134">
                  <c:v>25.100567032872817</c:v>
                </c:pt>
                <c:pt idx="135">
                  <c:v>24.913254433774082</c:v>
                </c:pt>
                <c:pt idx="136">
                  <c:v>24.726248101064055</c:v>
                </c:pt>
                <c:pt idx="137">
                  <c:v>24.539558173098179</c:v>
                </c:pt>
                <c:pt idx="138">
                  <c:v>24.353194945682393</c:v>
                </c:pt>
                <c:pt idx="139">
                  <c:v>24.167168857943587</c:v>
                </c:pt>
                <c:pt idx="140">
                  <c:v>23.98149047642918</c:v>
                </c:pt>
                <c:pt idx="141">
                  <c:v>23.796170477337363</c:v>
                </c:pt>
                <c:pt idx="142">
                  <c:v>23.611219626790284</c:v>
                </c:pt>
                <c:pt idx="143">
                  <c:v>23.426648759059958</c:v>
                </c:pt>
                <c:pt idx="144">
                  <c:v>23.242468752664848</c:v>
                </c:pt>
                <c:pt idx="145">
                  <c:v>23.058690504262408</c:v>
                </c:pt>
                <c:pt idx="146">
                  <c:v>22.875324900267426</c:v>
                </c:pt>
                <c:pt idx="147">
                  <c:v>22.692382786139962</c:v>
                </c:pt>
                <c:pt idx="148">
                  <c:v>22.509874933295368</c:v>
                </c:pt>
                <c:pt idx="149">
                  <c:v>22.327812003603945</c:v>
                </c:pt>
                <c:pt idx="150">
                  <c:v>22.146204511462685</c:v>
                </c:pt>
                <c:pt idx="151">
                  <c:v>21.96506278343983</c:v>
                </c:pt>
                <c:pt idx="152">
                  <c:v>21.784396915511646</c:v>
                </c:pt>
                <c:pt idx="153">
                  <c:v>21.604216727934489</c:v>
                </c:pt>
                <c:pt idx="154">
                  <c:v>21.424531717818329</c:v>
                </c:pt>
                <c:pt idx="155">
                  <c:v>21.245351009492939</c:v>
                </c:pt>
                <c:pt idx="156">
                  <c:v>21.066683302790072</c:v>
                </c:pt>
                <c:pt idx="157">
                  <c:v>20.888536819390762</c:v>
                </c:pt>
                <c:pt idx="158">
                  <c:v>20.7109192474216</c:v>
                </c:pt>
                <c:pt idx="159">
                  <c:v>20.533837684517103</c:v>
                </c:pt>
                <c:pt idx="160">
                  <c:v>20.357298579598613</c:v>
                </c:pt>
                <c:pt idx="161">
                  <c:v>20.181307673657606</c:v>
                </c:pt>
                <c:pt idx="162">
                  <c:v>20.005869939865967</c:v>
                </c:pt>
                <c:pt idx="163">
                  <c:v>19.830989523371848</c:v>
                </c:pt>
                <c:pt idx="164">
                  <c:v>19.656669681176968</c:v>
                </c:pt>
                <c:pt idx="165">
                  <c:v>19.482912722522705</c:v>
                </c:pt>
                <c:pt idx="166">
                  <c:v>19.309719950248095</c:v>
                </c:pt>
                <c:pt idx="167">
                  <c:v>19.137091603610148</c:v>
                </c:pt>
                <c:pt idx="168">
                  <c:v>18.965026803085408</c:v>
                </c:pt>
                <c:pt idx="169">
                  <c:v>18.793523497696068</c:v>
                </c:pt>
                <c:pt idx="170">
                  <c:v>18.622578415417735</c:v>
                </c:pt>
                <c:pt idx="171">
                  <c:v>18.452187017245532</c:v>
                </c:pt>
                <c:pt idx="172">
                  <c:v>18.282343455495571</c:v>
                </c:pt>
                <c:pt idx="173">
                  <c:v>18.113040536924629</c:v>
                </c:pt>
                <c:pt idx="174">
                  <c:v>17.944269691239342</c:v>
                </c:pt>
                <c:pt idx="175">
                  <c:v>17.776020945552855</c:v>
                </c:pt>
                <c:pt idx="176">
                  <c:v>17.608282905324206</c:v>
                </c:pt>
                <c:pt idx="177">
                  <c:v>17.441042742281944</c:v>
                </c:pt>
                <c:pt idx="178">
                  <c:v>17.274286189793393</c:v>
                </c:pt>
                <c:pt idx="179">
                  <c:v>17.107997546091831</c:v>
                </c:pt>
                <c:pt idx="180">
                  <c:v>16.942159685713914</c:v>
                </c:pt>
                <c:pt idx="181">
                  <c:v>16.776754079435957</c:v>
                </c:pt>
                <c:pt idx="182">
                  <c:v>16.61176082292253</c:v>
                </c:pt>
                <c:pt idx="183">
                  <c:v>16.447158674218233</c:v>
                </c:pt>
                <c:pt idx="184">
                  <c:v>16.282925100130644</c:v>
                </c:pt>
                <c:pt idx="185">
                  <c:v>16.119036331457963</c:v>
                </c:pt>
                <c:pt idx="186">
                  <c:v>15.955467426921757</c:v>
                </c:pt>
                <c:pt idx="187">
                  <c:v>15.79219234556569</c:v>
                </c:pt>
                <c:pt idx="188">
                  <c:v>15.629184027289044</c:v>
                </c:pt>
                <c:pt idx="189">
                  <c:v>15.466414481080921</c:v>
                </c:pt>
                <c:pt idx="190">
                  <c:v>15.303854880431976</c:v>
                </c:pt>
                <c:pt idx="191">
                  <c:v>15.141475665309825</c:v>
                </c:pt>
                <c:pt idx="192">
                  <c:v>14.979246650001862</c:v>
                </c:pt>
                <c:pt idx="193">
                  <c:v>14.817137136052684</c:v>
                </c:pt>
                <c:pt idx="194">
                  <c:v>14.6551160294583</c:v>
                </c:pt>
                <c:pt idx="195">
                  <c:v>14.49315196122323</c:v>
                </c:pt>
                <c:pt idx="196">
                  <c:v>14.331213410340624</c:v>
                </c:pt>
                <c:pt idx="197">
                  <c:v>14.169268828226077</c:v>
                </c:pt>
                <c:pt idx="198">
                  <c:v>14.007286763614092</c:v>
                </c:pt>
                <c:pt idx="199">
                  <c:v>13.845235986923635</c:v>
                </c:pt>
                <c:pt idx="200">
                  <c:v>13.683085613103572</c:v>
                </c:pt>
                <c:pt idx="201">
                  <c:v>13.520805221993433</c:v>
                </c:pt>
                <c:pt idx="202">
                  <c:v>13.358364975267031</c:v>
                </c:pt>
                <c:pt idx="203">
                  <c:v>13.195735729074448</c:v>
                </c:pt>
                <c:pt idx="204">
                  <c:v>13.03288914155357</c:v>
                </c:pt>
                <c:pt idx="205">
                  <c:v>12.869797774454419</c:v>
                </c:pt>
                <c:pt idx="206">
                  <c:v>12.706435188191286</c:v>
                </c:pt>
                <c:pt idx="207">
                  <c:v>12.542776029726197</c:v>
                </c:pt>
                <c:pt idx="208">
                  <c:v>12.37879611277538</c:v>
                </c:pt>
                <c:pt idx="209">
                  <c:v>12.21447248992491</c:v>
                </c:pt>
                <c:pt idx="210">
                  <c:v>12.049783516338811</c:v>
                </c:pt>
                <c:pt idx="211">
                  <c:v>11.884708904839824</c:v>
                </c:pt>
                <c:pt idx="212">
                  <c:v>11.719229772241965</c:v>
                </c:pt>
                <c:pt idx="213">
                  <c:v>11.553328676904561</c:v>
                </c:pt>
                <c:pt idx="214">
                  <c:v>11.386989647573225</c:v>
                </c:pt>
                <c:pt idx="215">
                  <c:v>11.22019820365473</c:v>
                </c:pt>
                <c:pt idx="216">
                  <c:v>11.052941367155981</c:v>
                </c:pt>
                <c:pt idx="217">
                  <c:v>10.885207666587435</c:v>
                </c:pt>
                <c:pt idx="218">
                  <c:v>10.716987133198657</c:v>
                </c:pt>
                <c:pt idx="219">
                  <c:v>10.548271289969431</c:v>
                </c:pt>
                <c:pt idx="220">
                  <c:v>10.379053133828156</c:v>
                </c:pt>
                <c:pt idx="221">
                  <c:v>10.209327111609262</c:v>
                </c:pt>
                <c:pt idx="222">
                  <c:v>10.039089090292599</c:v>
                </c:pt>
                <c:pt idx="223">
                  <c:v>9.8683363220884619</c:v>
                </c:pt>
                <c:pt idx="224">
                  <c:v>9.6970674049478873</c:v>
                </c:pt>
                <c:pt idx="225">
                  <c:v>9.5252822390822924</c:v>
                </c:pt>
                <c:pt idx="226">
                  <c:v>9.3529819800766525</c:v>
                </c:pt>
                <c:pt idx="227">
                  <c:v>9.1801689891711078</c:v>
                </c:pt>
                <c:pt idx="228">
                  <c:v>9.0068467812746</c:v>
                </c:pt>
                <c:pt idx="229">
                  <c:v>8.8330199712511828</c:v>
                </c:pt>
                <c:pt idx="230">
                  <c:v>8.6586942190003615</c:v>
                </c:pt>
                <c:pt idx="231">
                  <c:v>8.4838761738207964</c:v>
                </c:pt>
                <c:pt idx="232">
                  <c:v>8.3085734185214992</c:v>
                </c:pt>
                <c:pt idx="233">
                  <c:v>8.132794413705021</c:v>
                </c:pt>
                <c:pt idx="234">
                  <c:v>7.9565484426206687</c:v>
                </c:pt>
                <c:pt idx="235">
                  <c:v>7.7798455569413338</c:v>
                </c:pt>
                <c:pt idx="236">
                  <c:v>7.6026965237901099</c:v>
                </c:pt>
                <c:pt idx="237">
                  <c:v>7.4251127742995884</c:v>
                </c:pt>
                <c:pt idx="238">
                  <c:v>7.2471063539561644</c:v>
                </c:pt>
                <c:pt idx="239">
                  <c:v>7.0686898749442513</c:v>
                </c:pt>
                <c:pt idx="240">
                  <c:v>6.889876470673574</c:v>
                </c:pt>
                <c:pt idx="241">
                  <c:v>6.710679752639324</c:v>
                </c:pt>
                <c:pt idx="242">
                  <c:v>6.5311137697368302</c:v>
                </c:pt>
                <c:pt idx="243">
                  <c:v>6.3511929701218364</c:v>
                </c:pt>
                <c:pt idx="244">
                  <c:v>6.1709321656831584</c:v>
                </c:pt>
                <c:pt idx="245">
                  <c:v>5.9903464991697621</c:v>
                </c:pt>
                <c:pt idx="246">
                  <c:v>5.8094514139916242</c:v>
                </c:pt>
                <c:pt idx="247">
                  <c:v>5.6282626266947879</c:v>
                </c:pt>
                <c:pt idx="248">
                  <c:v>5.446796102093348</c:v>
                </c:pt>
                <c:pt idx="249">
                  <c:v>5.2650680310231373</c:v>
                </c:pt>
                <c:pt idx="250">
                  <c:v>5.0830948106716658</c:v>
                </c:pt>
                <c:pt idx="251">
                  <c:v>4.9008930274226579</c:v>
                </c:pt>
                <c:pt idx="252">
                  <c:v>4.7184794421471743</c:v>
                </c:pt>
                <c:pt idx="253">
                  <c:v>4.5358709778603323</c:v>
                </c:pt>
                <c:pt idx="254">
                  <c:v>4.353084709659079</c:v>
                </c:pt>
                <c:pt idx="255">
                  <c:v>4.1701378568486795</c:v>
                </c:pt>
                <c:pt idx="256">
                  <c:v>3.9870477771585406</c:v>
                </c:pt>
                <c:pt idx="257">
                  <c:v>3.8038319629498805</c:v>
                </c:pt>
                <c:pt idx="258">
                  <c:v>3.6205080393078966</c:v>
                </c:pt>
                <c:pt idx="259">
                  <c:v>3.4370937639145254</c:v>
                </c:pt>
                <c:pt idx="260">
                  <c:v>3.2536070285926151</c:v>
                </c:pt>
                <c:pt idx="261">
                  <c:v>3.0700658624137631</c:v>
                </c:pt>
                <c:pt idx="262">
                  <c:v>2.8864884362596612</c:v>
                </c:pt>
                <c:pt idx="263">
                  <c:v>2.7028930687274073</c:v>
                </c:pt>
                <c:pt idx="264">
                  <c:v>2.5192982332700424</c:v>
                </c:pt>
                <c:pt idx="265">
                  <c:v>2.3357225664612837</c:v>
                </c:pt>
                <c:pt idx="266">
                  <c:v>2.1521848772751415</c:v>
                </c:pt>
                <c:pt idx="267">
                  <c:v>1.9687041572720698</c:v>
                </c:pt>
                <c:pt idx="268">
                  <c:v>1.7852995915805927</c:v>
                </c:pt>
                <c:pt idx="269">
                  <c:v>1.6019905705657838</c:v>
                </c:pt>
                <c:pt idx="270">
                  <c:v>1.4187967020735019</c:v>
                </c:pt>
                <c:pt idx="271">
                  <c:v>1.2357378241407595</c:v>
                </c:pt>
                <c:pt idx="272">
                  <c:v>1.0528340180594853</c:v>
                </c:pt>
                <c:pt idx="273">
                  <c:v>0.87010562168187811</c:v>
                </c:pt>
                <c:pt idx="274">
                  <c:v>0.68757324285149224</c:v>
                </c:pt>
                <c:pt idx="275">
                  <c:v>0.5052577728451304</c:v>
                </c:pt>
                <c:pt idx="276">
                  <c:v>0.32318039970546941</c:v>
                </c:pt>
                <c:pt idx="277">
                  <c:v>0.14136262134426936</c:v>
                </c:pt>
                <c:pt idx="278">
                  <c:v>-4.0173741709224942E-2</c:v>
                </c:pt>
                <c:pt idx="279">
                  <c:v>-0.22140653404093591</c:v>
                </c:pt>
                <c:pt idx="280">
                  <c:v>-0.40231325369981974</c:v>
                </c:pt>
                <c:pt idx="281">
                  <c:v>-0.58287104129237122</c:v>
                </c:pt>
                <c:pt idx="282">
                  <c:v>-0.76305666996702826</c:v>
                </c:pt>
                <c:pt idx="283">
                  <c:v>-0.94284653642968408</c:v>
                </c:pt>
                <c:pt idx="284">
                  <c:v>-1.1222166531402813</c:v>
                </c:pt>
                <c:pt idx="285">
                  <c:v>-1.3011426418440646</c:v>
                </c:pt>
                <c:pt idx="286">
                  <c:v>-1.4795997285932856</c:v>
                </c:pt>
                <c:pt idx="287">
                  <c:v>-1.657562740423657</c:v>
                </c:pt>
                <c:pt idx="288">
                  <c:v>-1.8350061038522796</c:v>
                </c:pt>
                <c:pt idx="289">
                  <c:v>-2.0119038453662004</c:v>
                </c:pt>
                <c:pt idx="290">
                  <c:v>-2.1882295940793099</c:v>
                </c:pt>
                <c:pt idx="291">
                  <c:v>-2.3639565867322432</c:v>
                </c:pt>
                <c:pt idx="292">
                  <c:v>-2.5390576752183112</c:v>
                </c:pt>
                <c:pt idx="293">
                  <c:v>-2.7135053368168247</c:v>
                </c:pt>
                <c:pt idx="294">
                  <c:v>-2.8872716873161881</c:v>
                </c:pt>
                <c:pt idx="295">
                  <c:v>-3.0603284972113478</c:v>
                </c:pt>
                <c:pt idx="296">
                  <c:v>-3.2326472111549265</c:v>
                </c:pt>
                <c:pt idx="297">
                  <c:v>-3.4041989708415148</c:v>
                </c:pt>
                <c:pt idx="298">
                  <c:v>-3.5749546414978015</c:v>
                </c:pt>
                <c:pt idx="299">
                  <c:v>-3.7448848421457761</c:v>
                </c:pt>
                <c:pt idx="300">
                  <c:v>-3.9139599797980971</c:v>
                </c:pt>
                <c:pt idx="301">
                  <c:v>-4.0821502877312632</c:v>
                </c:pt>
                <c:pt idx="302">
                  <c:v>-4.2494258679742787</c:v>
                </c:pt>
                <c:pt idx="303">
                  <c:v>-4.4157567381298053</c:v>
                </c:pt>
                <c:pt idx="304">
                  <c:v>-4.5811128826286236</c:v>
                </c:pt>
                <c:pt idx="305">
                  <c:v>-4.7454643085000017</c:v>
                </c:pt>
                <c:pt idx="306">
                  <c:v>-4.9087811057117543</c:v>
                </c:pt>
                <c:pt idx="307">
                  <c:v>-5.0710335121130523</c:v>
                </c:pt>
                <c:pt idx="308">
                  <c:v>-5.232191982975924</c:v>
                </c:pt>
                <c:pt idx="309">
                  <c:v>-5.3922272651105683</c:v>
                </c:pt>
                <c:pt idx="310">
                  <c:v>-5.5511104754798861</c:v>
                </c:pt>
                <c:pt idx="311">
                  <c:v>-5.7088131842168579</c:v>
                </c:pt>
                <c:pt idx="312">
                  <c:v>-5.8653075018943053</c:v>
                </c:pt>
                <c:pt idx="313">
                  <c:v>-6.0205661708615663</c:v>
                </c:pt>
                <c:pt idx="314">
                  <c:v>-6.1745626604203681</c:v>
                </c:pt>
                <c:pt idx="315">
                  <c:v>-6.3272712655571608</c:v>
                </c:pt>
                <c:pt idx="316">
                  <c:v>-6.4786672089116841</c:v>
                </c:pt>
                <c:pt idx="317">
                  <c:v>-6.6287267456102263</c:v>
                </c:pt>
                <c:pt idx="318">
                  <c:v>-6.7774272705399978</c:v>
                </c:pt>
                <c:pt idx="319">
                  <c:v>-6.9247474276028296</c:v>
                </c:pt>
                <c:pt idx="320">
                  <c:v>-7.0706672204318846</c:v>
                </c:pt>
                <c:pt idx="321">
                  <c:v>-7.2151681240145757</c:v>
                </c:pt>
                <c:pt idx="322">
                  <c:v>-7.3582331966223826</c:v>
                </c:pt>
                <c:pt idx="323">
                  <c:v>-7.4998471914104723</c:v>
                </c:pt>
                <c:pt idx="324">
                  <c:v>-7.6399966670133415</c:v>
                </c:pt>
                <c:pt idx="325">
                  <c:v>-7.778670096433097</c:v>
                </c:pt>
                <c:pt idx="326">
                  <c:v>-7.9158579734938268</c:v>
                </c:pt>
                <c:pt idx="327">
                  <c:v>-8.0515529161152308</c:v>
                </c:pt>
                <c:pt idx="328">
                  <c:v>-8.1857497656443137</c:v>
                </c:pt>
                <c:pt idx="329">
                  <c:v>-8.3184456814830234</c:v>
                </c:pt>
                <c:pt idx="330">
                  <c:v>-8.4496402302467075</c:v>
                </c:pt>
                <c:pt idx="331">
                  <c:v>-8.5793354686994014</c:v>
                </c:pt>
                <c:pt idx="332">
                  <c:v>-8.7075360197305223</c:v>
                </c:pt>
                <c:pt idx="333">
                  <c:v>-8.8342491406579988</c:v>
                </c:pt>
                <c:pt idx="334">
                  <c:v>-8.9594847831808853</c:v>
                </c:pt>
                <c:pt idx="335">
                  <c:v>-9.0832556443381058</c:v>
                </c:pt>
                <c:pt idx="336">
                  <c:v>-9.2055772078813387</c:v>
                </c:pt>
                <c:pt idx="337">
                  <c:v>-9.326467775520598</c:v>
                </c:pt>
                <c:pt idx="338">
                  <c:v>-9.4459484875619921</c:v>
                </c:pt>
                <c:pt idx="339">
                  <c:v>-9.5640433325193737</c:v>
                </c:pt>
                <c:pt idx="340">
                  <c:v>-9.6807791453505629</c:v>
                </c:pt>
                <c:pt idx="341">
                  <c:v>-9.7961855940444025</c:v>
                </c:pt>
                <c:pt idx="342">
                  <c:v>-9.9102951543529212</c:v>
                </c:pt>
                <c:pt idx="343">
                  <c:v>-10.023143072545736</c:v>
                </c:pt>
                <c:pt idx="344">
                  <c:v>-10.13476731613672</c:v>
                </c:pt>
                <c:pt idx="345">
                  <c:v>-10.245208512611702</c:v>
                </c:pt>
                <c:pt idx="346">
                  <c:v>-10.354509876259694</c:v>
                </c:pt>
                <c:pt idx="347">
                  <c:v>-10.462717123286982</c:v>
                </c:pt>
                <c:pt idx="348">
                  <c:v>-10.569878375459909</c:v>
                </c:pt>
                <c:pt idx="349">
                  <c:v>-10.676044052594875</c:v>
                </c:pt>
                <c:pt idx="350">
                  <c:v>-10.781266754272789</c:v>
                </c:pt>
                <c:pt idx="351">
                  <c:v>-10.885601131219286</c:v>
                </c:pt>
                <c:pt idx="352">
                  <c:v>-10.989103746842634</c:v>
                </c:pt>
                <c:pt idx="353">
                  <c:v>-11.091832929475324</c:v>
                </c:pt>
                <c:pt idx="354">
                  <c:v>-11.193848615905877</c:v>
                </c:pt>
                <c:pt idx="355">
                  <c:v>-11.295212186831739</c:v>
                </c:pt>
                <c:pt idx="356">
                  <c:v>-11.395986294896479</c:v>
                </c:pt>
                <c:pt idx="357">
                  <c:v>-11.496234686005224</c:v>
                </c:pt>
                <c:pt idx="358">
                  <c:v>-11.596022014640196</c:v>
                </c:pt>
                <c:pt idx="359">
                  <c:v>-11.695413653917843</c:v>
                </c:pt>
                <c:pt idx="360">
                  <c:v>-11.794475501146973</c:v>
                </c:pt>
                <c:pt idx="361">
                  <c:v>-11.893273779663884</c:v>
                </c:pt>
                <c:pt idx="362">
                  <c:v>-11.991874837725753</c:v>
                </c:pt>
                <c:pt idx="363">
                  <c:v>-12.090344945258227</c:v>
                </c:pt>
                <c:pt idx="364">
                  <c:v>-12.18875008924951</c:v>
                </c:pt>
                <c:pt idx="365">
                  <c:v>-12.287155768591546</c:v>
                </c:pt>
                <c:pt idx="366">
                  <c:v>-12.385626789162718</c:v>
                </c:pt>
                <c:pt idx="367">
                  <c:v>-12.48422705994254</c:v>
                </c:pt>
                <c:pt idx="368">
                  <c:v>-12.583019390944878</c:v>
                </c:pt>
                <c:pt idx="369">
                  <c:v>-12.682065293741523</c:v>
                </c:pt>
                <c:pt idx="370">
                  <c:v>-12.781424785335451</c:v>
                </c:pt>
                <c:pt idx="371">
                  <c:v>-12.881156196127257</c:v>
                </c:pt>
                <c:pt idx="372">
                  <c:v>-12.981315982695998</c:v>
                </c:pt>
                <c:pt idx="373">
                  <c:v>-13.081958546088552</c:v>
                </c:pt>
                <c:pt idx="374">
                  <c:v>-13.183136056286472</c:v>
                </c:pt>
                <c:pt idx="375">
                  <c:v>-13.284898283481319</c:v>
                </c:pt>
                <c:pt idx="376">
                  <c:v>-13.387292436751466</c:v>
                </c:pt>
                <c:pt idx="377">
                  <c:v>-13.49036301069118</c:v>
                </c:pt>
                <c:pt idx="378">
                  <c:v>-13.594151640491337</c:v>
                </c:pt>
                <c:pt idx="379">
                  <c:v>-13.69869696591922</c:v>
                </c:pt>
                <c:pt idx="380">
                  <c:v>-13.804034504583489</c:v>
                </c:pt>
                <c:pt idx="381">
                  <c:v>-13.910196534809206</c:v>
                </c:pt>
                <c:pt idx="382">
                  <c:v>-14.017211988378381</c:v>
                </c:pt>
                <c:pt idx="383">
                  <c:v>-14.125106353318806</c:v>
                </c:pt>
                <c:pt idx="384">
                  <c:v>-14.233901586848226</c:v>
                </c:pt>
                <c:pt idx="385">
                  <c:v>-14.34361603850574</c:v>
                </c:pt>
                <c:pt idx="386">
                  <c:v>-14.454264383415008</c:v>
                </c:pt>
                <c:pt idx="387">
                  <c:v>-14.565857565550502</c:v>
                </c:pt>
                <c:pt idx="388">
                  <c:v>-14.678402750788411</c:v>
                </c:pt>
                <c:pt idx="389">
                  <c:v>-14.791903289447147</c:v>
                </c:pt>
                <c:pt idx="390">
                  <c:v>-14.906358687940129</c:v>
                </c:pt>
                <c:pt idx="391">
                  <c:v>-15.021764589087343</c:v>
                </c:pt>
                <c:pt idx="392">
                  <c:v>-15.138112760555924</c:v>
                </c:pt>
                <c:pt idx="393">
                  <c:v>-15.255391090832843</c:v>
                </c:pt>
                <c:pt idx="394">
                  <c:v>-15.373583592065156</c:v>
                </c:pt>
                <c:pt idx="395">
                  <c:v>-15.492670409047964</c:v>
                </c:pt>
                <c:pt idx="396">
                  <c:v>-15.612627833582122</c:v>
                </c:pt>
                <c:pt idx="397">
                  <c:v>-15.733428323384791</c:v>
                </c:pt>
                <c:pt idx="398">
                  <c:v>-15.855040524693331</c:v>
                </c:pt>
                <c:pt idx="399">
                  <c:v>-15.977429297672725</c:v>
                </c:pt>
                <c:pt idx="400">
                  <c:v>-16.100555743718807</c:v>
                </c:pt>
                <c:pt idx="401">
                  <c:v>-16.22437723372979</c:v>
                </c:pt>
                <c:pt idx="402">
                  <c:v>-16.348847436414694</c:v>
                </c:pt>
                <c:pt idx="403">
                  <c:v>-16.473916345711483</c:v>
                </c:pt>
                <c:pt idx="404">
                  <c:v>-16.599530306394009</c:v>
                </c:pt>
                <c:pt idx="405">
                  <c:v>-16.725632036965337</c:v>
                </c:pt>
                <c:pt idx="406">
                  <c:v>-16.85216064896159</c:v>
                </c:pt>
                <c:pt idx="407">
                  <c:v>-16.979051661823611</c:v>
                </c:pt>
                <c:pt idx="408">
                  <c:v>-17.106237012530162</c:v>
                </c:pt>
                <c:pt idx="409">
                  <c:v>-17.233645059240981</c:v>
                </c:pt>
                <c:pt idx="410">
                  <c:v>-17.361200578247232</c:v>
                </c:pt>
                <c:pt idx="411">
                  <c:v>-17.48882475359704</c:v>
                </c:pt>
                <c:pt idx="412">
                  <c:v>-17.616435158834083</c:v>
                </c:pt>
                <c:pt idx="413">
                  <c:v>-17.743945730371291</c:v>
                </c:pt>
                <c:pt idx="414">
                  <c:v>-17.871266732122582</c:v>
                </c:pt>
                <c:pt idx="415">
                  <c:v>-17.99830471111682</c:v>
                </c:pt>
                <c:pt idx="416">
                  <c:v>-18.124962443958104</c:v>
                </c:pt>
                <c:pt idx="417">
                  <c:v>-18.251138874132888</c:v>
                </c:pt>
                <c:pt idx="418">
                  <c:v>-18.376729040349652</c:v>
                </c:pt>
                <c:pt idx="419">
                  <c:v>-18.501623996294203</c:v>
                </c:pt>
                <c:pt idx="420">
                  <c:v>-18.625710722437727</c:v>
                </c:pt>
                <c:pt idx="421">
                  <c:v>-18.748872030825595</c:v>
                </c:pt>
                <c:pt idx="422">
                  <c:v>-18.870986464131725</c:v>
                </c:pt>
                <c:pt idx="423">
                  <c:v>-18.991928190702499</c:v>
                </c:pt>
                <c:pt idx="424">
                  <c:v>-19.111566897836774</c:v>
                </c:pt>
                <c:pt idx="425">
                  <c:v>-19.229767686202102</c:v>
                </c:pt>
                <c:pt idx="426">
                  <c:v>-19.346390969081991</c:v>
                </c:pt>
                <c:pt idx="427">
                  <c:v>-19.461292381130356</c:v>
                </c:pt>
                <c:pt idx="428">
                  <c:v>-19.574322702522764</c:v>
                </c:pt>
                <c:pt idx="429">
                  <c:v>-19.685327805890381</c:v>
                </c:pt>
                <c:pt idx="430">
                  <c:v>-19.794148635278532</c:v>
                </c:pt>
                <c:pt idx="431">
                  <c:v>-19.900621228677249</c:v>
                </c:pt>
                <c:pt idx="432">
                  <c:v>-20.004576798518741</c:v>
                </c:pt>
                <c:pt idx="433">
                  <c:v>-20.105841888094385</c:v>
                </c:pt>
                <c:pt idx="434">
                  <c:v>-20.204238626248898</c:v>
                </c:pt>
                <c:pt idx="435">
                  <c:v>-20.299585108197121</c:v>
                </c:pt>
                <c:pt idx="436">
                  <c:v>-20.391695937131935</c:v>
                </c:pt>
                <c:pt idx="437">
                  <c:v>-20.480382969781736</c:v>
                </c:pt>
                <c:pt idx="438">
                  <c:v>-20.565456319627057</c:v>
                </c:pt>
                <c:pt idx="439">
                  <c:v>-20.646725684600462</c:v>
                </c:pt>
                <c:pt idx="440">
                  <c:v>-20.72400208235652</c:v>
                </c:pt>
                <c:pt idx="441">
                  <c:v>-20.797100096330244</c:v>
                </c:pt>
                <c:pt idx="442">
                  <c:v>-20.865840760646666</c:v>
                </c:pt>
                <c:pt idx="443">
                  <c:v>-20.930055242450898</c:v>
                </c:pt>
                <c:pt idx="444">
                  <c:v>-20.989589517472997</c:v>
                </c:pt>
                <c:pt idx="445">
                  <c:v>-21.044310279707279</c:v>
                </c:pt>
                <c:pt idx="446">
                  <c:v>-21.094112379961604</c:v>
                </c:pt>
                <c:pt idx="447">
                  <c:v>-21.138928151355515</c:v>
                </c:pt>
                <c:pt idx="448">
                  <c:v>-21.178739052472199</c:v>
                </c:pt>
                <c:pt idx="449">
                  <c:v>-21.213590139137175</c:v>
                </c:pt>
                <c:pt idx="450">
                  <c:v>-21.243607959418426</c:v>
                </c:pt>
                <c:pt idx="451">
                  <c:v>-21.269022544663702</c:v>
                </c:pt>
                <c:pt idx="452">
                  <c:v>-21.290194226410787</c:v>
                </c:pt>
                <c:pt idx="453">
                  <c:v>-21.307646018130026</c:v>
                </c:pt>
                <c:pt idx="454">
                  <c:v>-21.322102219471368</c:v>
                </c:pt>
                <c:pt idx="455">
                  <c:v>-21.334533664499666</c:v>
                </c:pt>
                <c:pt idx="456">
                  <c:v>-21.34620955203145</c:v>
                </c:pt>
                <c:pt idx="457">
                  <c:v>-21.358754942406005</c:v>
                </c:pt>
                <c:pt idx="458">
                  <c:v>-21.374211632645945</c:v>
                </c:pt>
                <c:pt idx="459">
                  <c:v>-21.395098082870764</c:v>
                </c:pt>
                <c:pt idx="460">
                  <c:v>-21.424461272848806</c:v>
                </c:pt>
                <c:pt idx="461">
                  <c:v>-21.465909902359765</c:v>
                </c:pt>
                <c:pt idx="462">
                  <c:v>-21.523614639509717</c:v>
                </c:pt>
                <c:pt idx="463">
                  <c:v>-21.602258140540478</c:v>
                </c:pt>
                <c:pt idx="464">
                  <c:v>-21.706916964953983</c:v>
                </c:pt>
                <c:pt idx="465">
                  <c:v>-21.84286147773356</c:v>
                </c:pt>
                <c:pt idx="466">
                  <c:v>-22.015270402915625</c:v>
                </c:pt>
                <c:pt idx="467">
                  <c:v>-22.228874407231601</c:v>
                </c:pt>
                <c:pt idx="468">
                  <c:v>-22.487565348219313</c:v>
                </c:pt>
                <c:pt idx="469">
                  <c:v>-22.794028071205062</c:v>
                </c:pt>
                <c:pt idx="470">
                  <c:v>-23.149460869750502</c:v>
                </c:pt>
                <c:pt idx="471">
                  <c:v>-23.553441667245121</c:v>
                </c:pt>
                <c:pt idx="472">
                  <c:v>-24.003969134313984</c:v>
                </c:pt>
                <c:pt idx="473">
                  <c:v>-24.497669659971013</c:v>
                </c:pt>
                <c:pt idx="474">
                  <c:v>-25.030126101987701</c:v>
                </c:pt>
                <c:pt idx="475">
                  <c:v>-25.596264563934039</c:v>
                </c:pt>
                <c:pt idx="476">
                  <c:v>-26.190735410947205</c:v>
                </c:pt>
                <c:pt idx="477">
                  <c:v>-26.808240189985284</c:v>
                </c:pt>
                <c:pt idx="478">
                  <c:v>-27.443778337202282</c:v>
                </c:pt>
                <c:pt idx="479">
                  <c:v>-28.092808289253927</c:v>
                </c:pt>
                <c:pt idx="480">
                  <c:v>-28.751332127957923</c:v>
                </c:pt>
                <c:pt idx="481">
                  <c:v>-29.415920213046693</c:v>
                </c:pt>
                <c:pt idx="482">
                  <c:v>-30.083693829322378</c:v>
                </c:pt>
                <c:pt idx="483">
                  <c:v>-30.752281927037597</c:v>
                </c:pt>
                <c:pt idx="484">
                  <c:v>-31.419764553831836</c:v>
                </c:pt>
                <c:pt idx="485">
                  <c:v>-32.084611896663787</c:v>
                </c:pt>
                <c:pt idx="486">
                  <c:v>-32.745624669425816</c:v>
                </c:pt>
                <c:pt idx="487">
                  <c:v>-33.401879140029735</c:v>
                </c:pt>
                <c:pt idx="488">
                  <c:v>-34.05267837619057</c:v>
                </c:pt>
                <c:pt idx="489">
                  <c:v>-34.697510175677088</c:v>
                </c:pt>
                <c:pt idx="490">
                  <c:v>-35.336011481361204</c:v>
                </c:pt>
                <c:pt idx="491">
                  <c:v>-35.967938725686565</c:v>
                </c:pt>
                <c:pt idx="492">
                  <c:v>-36.593143394242581</c:v>
                </c:pt>
                <c:pt idx="493">
                  <c:v>-37.211552065191057</c:v>
                </c:pt>
                <c:pt idx="494">
                  <c:v>-37.823150216779666</c:v>
                </c:pt>
                <c:pt idx="495">
                  <c:v>-38.427969164605997</c:v>
                </c:pt>
                <c:pt idx="496">
                  <c:v>-39.02607557252751</c:v>
                </c:pt>
                <c:pt idx="497">
                  <c:v>-39.617563064021951</c:v>
                </c:pt>
                <c:pt idx="498">
                  <c:v>-40.202545537945468</c:v>
                </c:pt>
                <c:pt idx="499">
                  <c:v>-40.781151861130745</c:v>
                </c:pt>
                <c:pt idx="500">
                  <c:v>-41.36520822393571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2-463D-81A0-68F554CF810C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25.557043543112933</c:v>
                </c:pt>
                <c:pt idx="1">
                  <c:v>25.362302802180952</c:v>
                </c:pt>
                <c:pt idx="2">
                  <c:v>25.16755446912321</c:v>
                </c:pt>
                <c:pt idx="3">
                  <c:v>24.972799054934537</c:v>
                </c:pt>
                <c:pt idx="4">
                  <c:v>24.778037056441438</c:v>
                </c:pt>
                <c:pt idx="5">
                  <c:v>24.583268957292837</c:v>
                </c:pt>
                <c:pt idx="6">
                  <c:v>24.388495228926132</c:v>
                </c:pt>
                <c:pt idx="7">
                  <c:v>24.193716331508579</c:v>
                </c:pt>
                <c:pt idx="8">
                  <c:v>23.998932714856998</c:v>
                </c:pt>
                <c:pt idx="9">
                  <c:v>23.804144819336667</c:v>
                </c:pt>
                <c:pt idx="10">
                  <c:v>23.609353076742718</c:v>
                </c:pt>
                <c:pt idx="11">
                  <c:v>23.414557911163346</c:v>
                </c:pt>
                <c:pt idx="12">
                  <c:v>23.219759739829069</c:v>
                </c:pt>
                <c:pt idx="13">
                  <c:v>23.024958973947815</c:v>
                </c:pt>
                <c:pt idx="14">
                  <c:v>22.830156019528491</c:v>
                </c:pt>
                <c:pt idx="15">
                  <c:v>22.635351278194111</c:v>
                </c:pt>
                <c:pt idx="16">
                  <c:v>22.440545147986718</c:v>
                </c:pt>
                <c:pt idx="17">
                  <c:v>22.245738024164496</c:v>
                </c:pt>
                <c:pt idx="18">
                  <c:v>22.050930299994228</c:v>
                </c:pt>
                <c:pt idx="19">
                  <c:v>21.856122367539527</c:v>
                </c:pt>
                <c:pt idx="20">
                  <c:v>21.661314618446397</c:v>
                </c:pt>
                <c:pt idx="21">
                  <c:v>21.466507444728332</c:v>
                </c:pt>
                <c:pt idx="22">
                  <c:v>21.271701239552062</c:v>
                </c:pt>
                <c:pt idx="23">
                  <c:v>21.076896398025717</c:v>
                </c:pt>
                <c:pt idx="24">
                  <c:v>20.882093317990197</c:v>
                </c:pt>
                <c:pt idx="25">
                  <c:v>20.687292400816926</c:v>
                </c:pt>
                <c:pt idx="26">
                  <c:v>20.492494052211384</c:v>
                </c:pt>
                <c:pt idx="27">
                  <c:v>20.297698683026184</c:v>
                </c:pt>
                <c:pt idx="28">
                  <c:v>20.102906710083804</c:v>
                </c:pt>
                <c:pt idx="29">
                  <c:v>19.908118557010958</c:v>
                </c:pt>
                <c:pt idx="30">
                  <c:v>19.713334655086427</c:v>
                </c:pt>
                <c:pt idx="31">
                  <c:v>19.518555444104148</c:v>
                </c:pt>
                <c:pt idx="32">
                  <c:v>19.323781373252697</c:v>
                </c:pt>
                <c:pt idx="33">
                  <c:v>19.129012902013361</c:v>
                </c:pt>
                <c:pt idx="34">
                  <c:v>18.934250501078321</c:v>
                </c:pt>
                <c:pt idx="35">
                  <c:v>18.73949465329088</c:v>
                </c:pt>
                <c:pt idx="36">
                  <c:v>18.544745854609342</c:v>
                </c:pt>
                <c:pt idx="37">
                  <c:v>18.350004615096669</c:v>
                </c:pt>
                <c:pt idx="38">
                  <c:v>18.155271459937701</c:v>
                </c:pt>
                <c:pt idx="39">
                  <c:v>17.960546930485709</c:v>
                </c:pt>
                <c:pt idx="40">
                  <c:v>17.765831585340798</c:v>
                </c:pt>
                <c:pt idx="41">
                  <c:v>17.571126001461586</c:v>
                </c:pt>
                <c:pt idx="42">
                  <c:v>17.376430775312894</c:v>
                </c:pt>
                <c:pt idx="43">
                  <c:v>17.181746524051135</c:v>
                </c:pt>
                <c:pt idx="44">
                  <c:v>16.987073886749954</c:v>
                </c:pt>
                <c:pt idx="45">
                  <c:v>16.792413525668476</c:v>
                </c:pt>
                <c:pt idx="46">
                  <c:v>16.597766127564142</c:v>
                </c:pt>
                <c:pt idx="47">
                  <c:v>16.403132405053263</c:v>
                </c:pt>
                <c:pt idx="48">
                  <c:v>16.208513098021143</c:v>
                </c:pt>
                <c:pt idx="49">
                  <c:v>16.013908975084941</c:v>
                </c:pt>
                <c:pt idx="50">
                  <c:v>15.819320835111712</c:v>
                </c:pt>
                <c:pt idx="51">
                  <c:v>15.624749508794519</c:v>
                </c:pt>
                <c:pt idx="52">
                  <c:v>15.430195860289501</c:v>
                </c:pt>
                <c:pt idx="53">
                  <c:v>15.235660788916825</c:v>
                </c:pt>
                <c:pt idx="54">
                  <c:v>15.041145230928844</c:v>
                </c:pt>
                <c:pt idx="55">
                  <c:v>14.846650161348418</c:v>
                </c:pt>
                <c:pt idx="56">
                  <c:v>14.652176595880738</c:v>
                </c:pt>
                <c:pt idx="57">
                  <c:v>14.457725592902424</c:v>
                </c:pt>
                <c:pt idx="58">
                  <c:v>14.263298255530765</c:v>
                </c:pt>
                <c:pt idx="59">
                  <c:v>14.068895733777591</c:v>
                </c:pt>
                <c:pt idx="60">
                  <c:v>13.874519226790785</c:v>
                </c:pt>
                <c:pt idx="61">
                  <c:v>13.680169985188044</c:v>
                </c:pt>
                <c:pt idx="62">
                  <c:v>13.48584931348592</c:v>
                </c:pt>
                <c:pt idx="63">
                  <c:v>13.291558572630066</c:v>
                </c:pt>
                <c:pt idx="64">
                  <c:v>13.097299182628648</c:v>
                </c:pt>
                <c:pt idx="65">
                  <c:v>12.903072625295763</c:v>
                </c:pt>
                <c:pt idx="66">
                  <c:v>12.708880447107362</c:v>
                </c:pt>
                <c:pt idx="67">
                  <c:v>12.514724262175822</c:v>
                </c:pt>
                <c:pt idx="68">
                  <c:v>12.320605755347799</c:v>
                </c:pt>
                <c:pt idx="69">
                  <c:v>12.126526685429532</c:v>
                </c:pt>
                <c:pt idx="70">
                  <c:v>11.932488888545594</c:v>
                </c:pt>
                <c:pt idx="71">
                  <c:v>11.738494281636758</c:v>
                </c:pt>
                <c:pt idx="72">
                  <c:v>11.544544866100818</c:v>
                </c:pt>
                <c:pt idx="73">
                  <c:v>11.350642731583651</c:v>
                </c:pt>
                <c:pt idx="74">
                  <c:v>11.1567900599258</c:v>
                </c:pt>
                <c:pt idx="75">
                  <c:v>10.962989129269642</c:v>
                </c:pt>
                <c:pt idx="76">
                  <c:v>10.76924231833431</c:v>
                </c:pt>
                <c:pt idx="77">
                  <c:v>10.575552110863615</c:v>
                </c:pt>
                <c:pt idx="78">
                  <c:v>10.381921100254122</c:v>
                </c:pt>
                <c:pt idx="79">
                  <c:v>10.188351994369116</c:v>
                </c:pt>
                <c:pt idx="80">
                  <c:v>9.9948476205449168</c:v>
                </c:pt>
                <c:pt idx="81">
                  <c:v>9.8014109307967185</c:v>
                </c:pt>
                <c:pt idx="82">
                  <c:v>9.6080450072305457</c:v>
                </c:pt>
                <c:pt idx="83">
                  <c:v>9.4147530676676396</c:v>
                </c:pt>
                <c:pt idx="84">
                  <c:v>9.221538471488687</c:v>
                </c:pt>
                <c:pt idx="85">
                  <c:v>9.0284047257042541</c:v>
                </c:pt>
                <c:pt idx="86">
                  <c:v>8.8353554912592216</c:v>
                </c:pt>
                <c:pt idx="87">
                  <c:v>8.6423945895773926</c:v>
                </c:pt>
                <c:pt idx="88">
                  <c:v>8.4495260093529119</c:v>
                </c:pt>
                <c:pt idx="89">
                  <c:v>8.2567539135968619</c:v>
                </c:pt>
                <c:pt idx="90">
                  <c:v>8.0640826469442004</c:v>
                </c:pt>
                <c:pt idx="91">
                  <c:v>7.8715167432282076</c:v>
                </c:pt>
                <c:pt idx="92">
                  <c:v>7.6790609333297546</c:v>
                </c:pt>
                <c:pt idx="93">
                  <c:v>7.486720153306667</c:v>
                </c:pt>
                <c:pt idx="94">
                  <c:v>7.2944995528093894</c:v>
                </c:pt>
                <c:pt idx="95">
                  <c:v>7.102404503789554</c:v>
                </c:pt>
                <c:pt idx="96">
                  <c:v>6.9104406095060238</c:v>
                </c:pt>
                <c:pt idx="97">
                  <c:v>6.7186137138334381</c:v>
                </c:pt>
                <c:pt idx="98">
                  <c:v>6.5269299108783621</c:v>
                </c:pt>
                <c:pt idx="99">
                  <c:v>6.3353955549062366</c:v>
                </c:pt>
                <c:pt idx="100">
                  <c:v>6.1440172705827525</c:v>
                </c:pt>
                <c:pt idx="101">
                  <c:v>5.9528019635322202</c:v>
                </c:pt>
                <c:pt idx="102">
                  <c:v>5.7617568312145568</c:v>
                </c:pt>
                <c:pt idx="103">
                  <c:v>5.5708893741211671</c:v>
                </c:pt>
                <c:pt idx="104">
                  <c:v>5.3802074072899417</c:v>
                </c:pt>
                <c:pt idx="105">
                  <c:v>5.1897190721378506</c:v>
                </c:pt>
                <c:pt idx="106">
                  <c:v>4.9994328486074826</c:v>
                </c:pt>
                <c:pt idx="107">
                  <c:v>4.8093575676241009</c:v>
                </c:pt>
                <c:pt idx="108">
                  <c:v>4.6195024238566234</c:v>
                </c:pt>
                <c:pt idx="109">
                  <c:v>4.4298769887751606</c:v>
                </c:pt>
                <c:pt idx="110">
                  <c:v>4.2404912239949812</c:v>
                </c:pt>
                <c:pt idx="111">
                  <c:v>4.051355494895426</c:v>
                </c:pt>
                <c:pt idx="112">
                  <c:v>3.8624805844995844</c:v>
                </c:pt>
                <c:pt idx="113">
                  <c:v>3.6738777075973217</c:v>
                </c:pt>
                <c:pt idx="114">
                  <c:v>3.485558525093067</c:v>
                </c:pt>
                <c:pt idx="115">
                  <c:v>3.2975351585551471</c:v>
                </c:pt>
                <c:pt idx="116">
                  <c:v>3.1098202049413439</c:v>
                </c:pt>
                <c:pt idx="117">
                  <c:v>2.9224267514712796</c:v>
                </c:pt>
                <c:pt idx="118">
                  <c:v>2.7353683906125488</c:v>
                </c:pt>
                <c:pt idx="119">
                  <c:v>2.5486592351443509</c:v>
                </c:pt>
                <c:pt idx="120">
                  <c:v>2.362313933256714</c:v>
                </c:pt>
                <c:pt idx="121">
                  <c:v>2.176347683639734</c:v>
                </c:pt>
                <c:pt idx="122">
                  <c:v>1.990776250513183</c:v>
                </c:pt>
                <c:pt idx="123">
                  <c:v>1.80561597853955</c:v>
                </c:pt>
                <c:pt idx="124">
                  <c:v>1.620883807561488</c:v>
                </c:pt>
                <c:pt idx="125">
                  <c:v>1.4365972870952384</c:v>
                </c:pt>
                <c:pt idx="126">
                  <c:v>1.2527745905093504</c:v>
                </c:pt>
                <c:pt idx="127">
                  <c:v>1.0694345288095306</c:v>
                </c:pt>
                <c:pt idx="128">
                  <c:v>0.88659656394548991</c:v>
                </c:pt>
                <c:pt idx="129">
                  <c:v>0.70428082154763838</c:v>
                </c:pt>
                <c:pt idx="130">
                  <c:v>0.52250810299741834</c:v>
                </c:pt>
                <c:pt idx="131">
                  <c:v>0.34129989672530436</c:v>
                </c:pt>
                <c:pt idx="132">
                  <c:v>0.16067838862554679</c:v>
                </c:pt>
                <c:pt idx="133">
                  <c:v>-1.9333528530025294E-2</c:v>
                </c:pt>
                <c:pt idx="134">
                  <c:v>-0.1987122468059267</c:v>
                </c:pt>
                <c:pt idx="135">
                  <c:v>-0.37743343607495461</c:v>
                </c:pt>
                <c:pt idx="136">
                  <c:v>-0.55547203838775994</c:v>
                </c:pt>
                <c:pt idx="137">
                  <c:v>-0.73280226388496494</c:v>
                </c:pt>
                <c:pt idx="138">
                  <c:v>-0.90939758840218143</c:v>
                </c:pt>
                <c:pt idx="139">
                  <c:v>-1.0852307529253833</c:v>
                </c:pt>
                <c:pt idx="140">
                  <c:v>-1.2602737650572999</c:v>
                </c:pt>
                <c:pt idx="141">
                  <c:v>-1.4344979026613067</c:v>
                </c:pt>
                <c:pt idx="142">
                  <c:v>-1.6078737198516293</c:v>
                </c:pt>
                <c:pt idx="143">
                  <c:v>-1.7803710555020249</c:v>
                </c:pt>
                <c:pt idx="144">
                  <c:v>-1.9519590444457189</c:v>
                </c:pt>
                <c:pt idx="145">
                  <c:v>-2.1226061315401497</c:v>
                </c:pt>
                <c:pt idx="146">
                  <c:v>-2.2922800887682397</c:v>
                </c:pt>
                <c:pt idx="147">
                  <c:v>-2.4609480355451265</c:v>
                </c:pt>
                <c:pt idx="148">
                  <c:v>-2.6285764623946029</c:v>
                </c:pt>
                <c:pt idx="149">
                  <c:v>-2.7951312581527139</c:v>
                </c:pt>
                <c:pt idx="150">
                  <c:v>-2.9605777408474427</c:v>
                </c:pt>
                <c:pt idx="151">
                  <c:v>-3.1248806923918595</c:v>
                </c:pt>
                <c:pt idx="152">
                  <c:v>-3.2880043972155262</c:v>
                </c:pt>
                <c:pt idx="153">
                  <c:v>-3.4499126849421762</c:v>
                </c:pt>
                <c:pt idx="154">
                  <c:v>-3.6105689772037977</c:v>
                </c:pt>
                <c:pt idx="155">
                  <c:v>-3.7699363386598419</c:v>
                </c:pt>
                <c:pt idx="156">
                  <c:v>-3.9279775322659582</c:v>
                </c:pt>
                <c:pt idx="157">
                  <c:v>-4.0846550788110489</c:v>
                </c:pt>
                <c:pt idx="158">
                  <c:v>-4.2399313207104932</c:v>
                </c:pt>
                <c:pt idx="159">
                  <c:v>-4.3937684900135014</c:v>
                </c:pt>
                <c:pt idx="160">
                  <c:v>-4.5461287805455717</c:v>
                </c:pt>
                <c:pt idx="161">
                  <c:v>-4.6969744240728852</c:v>
                </c:pt>
                <c:pt idx="162">
                  <c:v>-4.846267770334566</c:v>
                </c:pt>
                <c:pt idx="163">
                  <c:v>-4.9939713707497182</c:v>
                </c:pt>
                <c:pt idx="164">
                  <c:v>-5.140048065563291</c:v>
                </c:pt>
                <c:pt idx="165">
                  <c:v>-5.2844610741523557</c:v>
                </c:pt>
                <c:pt idx="166">
                  <c:v>-5.4271740881708617</c:v>
                </c:pt>
                <c:pt idx="167">
                  <c:v>-5.5681513671681158</c:v>
                </c:pt>
                <c:pt idx="168">
                  <c:v>-5.7073578362735242</c:v>
                </c:pt>
                <c:pt idx="169">
                  <c:v>-5.8447591854981411</c:v>
                </c:pt>
                <c:pt idx="170">
                  <c:v>-5.9803219701656127</c:v>
                </c:pt>
                <c:pt idx="171">
                  <c:v>-6.1140137119474245</c:v>
                </c:pt>
                <c:pt idx="172">
                  <c:v>-6.2458029999448765</c:v>
                </c:pt>
                <c:pt idx="173">
                  <c:v>-6.3756595912305141</c:v>
                </c:pt>
                <c:pt idx="174">
                  <c:v>-6.503554510237441</c:v>
                </c:pt>
                <c:pt idx="175">
                  <c:v>-6.6294601463672542</c:v>
                </c:pt>
                <c:pt idx="176">
                  <c:v>-6.7533503491718827</c:v>
                </c:pt>
                <c:pt idx="177">
                  <c:v>-6.875200520460881</c:v>
                </c:pt>
                <c:pt idx="178">
                  <c:v>-6.9949877026841136</c:v>
                </c:pt>
                <c:pt idx="179">
                  <c:v>-7.1126906629493325</c:v>
                </c:pt>
                <c:pt idx="180">
                  <c:v>-7.2282899720487803</c:v>
                </c:pt>
                <c:pt idx="181">
                  <c:v>-7.3417680778918983</c:v>
                </c:pt>
                <c:pt idx="182">
                  <c:v>-7.4531093727717979</c:v>
                </c:pt>
                <c:pt idx="183">
                  <c:v>-7.5623002539324453</c:v>
                </c:pt>
                <c:pt idx="184">
                  <c:v>-7.6693291769473761</c:v>
                </c:pt>
                <c:pt idx="185">
                  <c:v>-7.7741867014730301</c:v>
                </c:pt>
                <c:pt idx="186">
                  <c:v>-7.876865528998092</c:v>
                </c:pt>
                <c:pt idx="187">
                  <c:v>-7.9773605322738614</c:v>
                </c:pt>
                <c:pt idx="188">
                  <c:v>-8.0756687761769701</c:v>
                </c:pt>
                <c:pt idx="189">
                  <c:v>-8.1717895298292582</c:v>
                </c:pt>
                <c:pt idx="190">
                  <c:v>-8.2657242698714644</c:v>
                </c:pt>
                <c:pt idx="191">
                  <c:v>-8.3574766748652163</c:v>
                </c:pt>
                <c:pt idx="192">
                  <c:v>-8.4470526108709585</c:v>
                </c:pt>
                <c:pt idx="193">
                  <c:v>-8.5344601083270373</c:v>
                </c:pt>
                <c:pt idx="194">
                  <c:v>-8.6197093304273249</c:v>
                </c:pt>
                <c:pt idx="195">
                  <c:v>-8.7028125332646091</c:v>
                </c:pt>
                <c:pt idx="196">
                  <c:v>-8.7837840180754299</c:v>
                </c:pt>
                <c:pt idx="197">
                  <c:v>-8.8626400759823625</c:v>
                </c:pt>
                <c:pt idx="198">
                  <c:v>-8.939398925686552</c:v>
                </c:pt>
                <c:pt idx="199">
                  <c:v>-9.0140806446130828</c:v>
                </c:pt>
                <c:pt idx="200">
                  <c:v>-9.0867070940560879</c:v>
                </c:pt>
                <c:pt idx="201">
                  <c:v>-9.1573018389047451</c:v>
                </c:pt>
                <c:pt idx="202">
                  <c:v>-9.2258900625613389</c:v>
                </c:pt>
                <c:pt idx="203">
                  <c:v>-9.292498477682722</c:v>
                </c:pt>
                <c:pt idx="204">
                  <c:v>-9.3571552333902854</c:v>
                </c:pt>
                <c:pt idx="205">
                  <c:v>-9.4198898195981116</c:v>
                </c:pt>
                <c:pt idx="206">
                  <c:v>-9.4807329691091908</c:v>
                </c:pt>
                <c:pt idx="207">
                  <c:v>-9.5397165581204124</c:v>
                </c:pt>
                <c:pt idx="208">
                  <c:v>-9.59687350576176</c:v>
                </c:pt>
                <c:pt idx="209">
                  <c:v>-9.6522376732755379</c:v>
                </c:pt>
                <c:pt idx="210">
                  <c:v>-9.7058437634157553</c:v>
                </c:pt>
                <c:pt idx="211">
                  <c:v>-9.757727220616383</c:v>
                </c:pt>
                <c:pt idx="212">
                  <c:v>-9.8079241324435227</c:v>
                </c:pt>
                <c:pt idx="213">
                  <c:v>-9.8564711328103431</c:v>
                </c:pt>
                <c:pt idx="214">
                  <c:v>-9.9034053073908641</c:v>
                </c:pt>
                <c:pt idx="215">
                  <c:v>-9.9487641016303332</c:v>
                </c:pt>
                <c:pt idx="216">
                  <c:v>-9.99258523170462</c:v>
                </c:pt>
                <c:pt idx="217">
                  <c:v>-10.034906598739406</c:v>
                </c:pt>
                <c:pt idx="218">
                  <c:v>-10.075766206554952</c:v>
                </c:pt>
                <c:pt idx="219">
                  <c:v>-10.115202083162217</c:v>
                </c:pt>
                <c:pt idx="220">
                  <c:v>-10.153252206191832</c:v>
                </c:pt>
                <c:pt idx="221">
                  <c:v>-10.189954432399457</c:v>
                </c:pt>
                <c:pt idx="222">
                  <c:v>-10.225346431351348</c:v>
                </c:pt>
                <c:pt idx="223">
                  <c:v>-10.259465623359409</c:v>
                </c:pt>
                <c:pt idx="224">
                  <c:v>-10.292349121699957</c:v>
                </c:pt>
                <c:pt idx="225">
                  <c:v>-10.324033679119546</c:v>
                </c:pt>
                <c:pt idx="226">
                  <c:v>-10.354555638603831</c:v>
                </c:pt>
                <c:pt idx="227">
                  <c:v>-10.383950888357536</c:v>
                </c:pt>
                <c:pt idx="228">
                  <c:v>-10.412254820922058</c:v>
                </c:pt>
                <c:pt idx="229">
                  <c:v>-10.439502296337267</c:v>
                </c:pt>
                <c:pt idx="230">
                  <c:v>-10.46572760923363</c:v>
                </c:pt>
                <c:pt idx="231">
                  <c:v>-10.490964459729547</c:v>
                </c:pt>
                <c:pt idx="232">
                  <c:v>-10.515245927992618</c:v>
                </c:pt>
                <c:pt idx="233">
                  <c:v>-10.53860445231582</c:v>
                </c:pt>
                <c:pt idx="234">
                  <c:v>-10.561071810549265</c:v>
                </c:pt>
                <c:pt idx="235">
                  <c:v>-10.582679104725072</c:v>
                </c:pt>
                <c:pt idx="236">
                  <c:v>-10.603456748704838</c:v>
                </c:pt>
                <c:pt idx="237">
                  <c:v>-10.623434458680745</c:v>
                </c:pt>
                <c:pt idx="238">
                  <c:v>-10.642641246357789</c:v>
                </c:pt>
                <c:pt idx="239">
                  <c:v>-10.661105414646332</c:v>
                </c:pt>
                <c:pt idx="240">
                  <c:v>-10.678854555695384</c:v>
                </c:pt>
                <c:pt idx="241">
                  <c:v>-10.695915551100869</c:v>
                </c:pt>
                <c:pt idx="242">
                  <c:v>-10.71231457412523</c:v>
                </c:pt>
                <c:pt idx="243">
                  <c:v>-10.728077093771304</c:v>
                </c:pt>
                <c:pt idx="244">
                  <c:v>-10.743227880557196</c:v>
                </c:pt>
                <c:pt idx="245">
                  <c:v>-10.757791013844836</c:v>
                </c:pt>
                <c:pt idx="246">
                  <c:v>-10.771789890582497</c:v>
                </c:pt>
                <c:pt idx="247">
                  <c:v>-10.785247235325539</c:v>
                </c:pt>
                <c:pt idx="248">
                  <c:v>-10.798185111409147</c:v>
                </c:pt>
                <c:pt idx="249">
                  <c:v>-10.810624933151985</c:v>
                </c:pt>
                <c:pt idx="250">
                  <c:v>-10.822587478976942</c:v>
                </c:pt>
                <c:pt idx="251">
                  <c:v>-10.834092905343004</c:v>
                </c:pt>
                <c:pt idx="252">
                  <c:v>-10.845160761388238</c:v>
                </c:pt>
                <c:pt idx="253">
                  <c:v>-10.855810004190873</c:v>
                </c:pt>
                <c:pt idx="254">
                  <c:v>-10.86605901456355</c:v>
                </c:pt>
                <c:pt idx="255">
                  <c:v>-10.875925613299607</c:v>
                </c:pt>
                <c:pt idx="256">
                  <c:v>-10.88542707779993</c:v>
                </c:pt>
                <c:pt idx="257">
                  <c:v>-10.894580159012563</c:v>
                </c:pt>
                <c:pt idx="258">
                  <c:v>-10.903401098623757</c:v>
                </c:pt>
                <c:pt idx="259">
                  <c:v>-10.911905646445813</c:v>
                </c:pt>
                <c:pt idx="260">
                  <c:v>-10.920109077951231</c:v>
                </c:pt>
                <c:pt idx="261">
                  <c:v>-10.928026211907977</c:v>
                </c:pt>
                <c:pt idx="262">
                  <c:v>-10.935671428076724</c:v>
                </c:pt>
                <c:pt idx="263">
                  <c:v>-10.943058684933538</c:v>
                </c:pt>
                <c:pt idx="264">
                  <c:v>-10.950201537387489</c:v>
                </c:pt>
                <c:pt idx="265">
                  <c:v>-10.957113154465732</c:v>
                </c:pt>
                <c:pt idx="266">
                  <c:v>-10.963806336943389</c:v>
                </c:pt>
                <c:pt idx="267">
                  <c:v>-10.970293534897612</c:v>
                </c:pt>
                <c:pt idx="268">
                  <c:v>-10.97658686516958</c:v>
                </c:pt>
                <c:pt idx="269">
                  <c:v>-10.982698128722017</c:v>
                </c:pt>
                <c:pt idx="270">
                  <c:v>-10.988638827880004</c:v>
                </c:pt>
                <c:pt idx="271">
                  <c:v>-10.994420183448799</c:v>
                </c:pt>
                <c:pt idx="272">
                  <c:v>-11.00005315170208</c:v>
                </c:pt>
                <c:pt idx="273">
                  <c:v>-11.005548441237798</c:v>
                </c:pt>
                <c:pt idx="274">
                  <c:v>-11.010916529701117</c:v>
                </c:pt>
                <c:pt idx="275">
                  <c:v>-11.016167680372863</c:v>
                </c:pt>
                <c:pt idx="276">
                  <c:v>-11.021311958629685</c:v>
                </c:pt>
                <c:pt idx="277">
                  <c:v>-11.026359248275284</c:v>
                </c:pt>
                <c:pt idx="278">
                  <c:v>-11.031319267752352</c:v>
                </c:pt>
                <c:pt idx="279">
                  <c:v>-11.036201586238183</c:v>
                </c:pt>
                <c:pt idx="280">
                  <c:v>-11.04101563963466</c:v>
                </c:pt>
                <c:pt idx="281">
                  <c:v>-11.045770746459056</c:v>
                </c:pt>
                <c:pt idx="282">
                  <c:v>-11.050476123646543</c:v>
                </c:pt>
                <c:pt idx="283">
                  <c:v>-11.055140902273912</c:v>
                </c:pt>
                <c:pt idx="284">
                  <c:v>-11.05977414321617</c:v>
                </c:pt>
                <c:pt idx="285">
                  <c:v>-11.064384852747391</c:v>
                </c:pt>
                <c:pt idx="286">
                  <c:v>-11.068981998096882</c:v>
                </c:pt>
                <c:pt idx="287">
                  <c:v>-11.073574522974086</c:v>
                </c:pt>
                <c:pt idx="288">
                  <c:v>-11.078171363074274</c:v>
                </c:pt>
                <c:pt idx="289">
                  <c:v>-11.082781461577646</c:v>
                </c:pt>
                <c:pt idx="290">
                  <c:v>-11.087413784654178</c:v>
                </c:pt>
                <c:pt idx="291">
                  <c:v>-11.092077336987892</c:v>
                </c:pt>
                <c:pt idx="292">
                  <c:v>-11.096781177332</c:v>
                </c:pt>
                <c:pt idx="293">
                  <c:v>-11.101534434107659</c:v>
                </c:pt>
                <c:pt idx="294">
                  <c:v>-11.106346321058695</c:v>
                </c:pt>
                <c:pt idx="295">
                  <c:v>-11.111226152972577</c:v>
                </c:pt>
                <c:pt idx="296">
                  <c:v>-11.116183361480463</c:v>
                </c:pt>
                <c:pt idx="297">
                  <c:v>-11.121227510944493</c:v>
                </c:pt>
                <c:pt idx="298">
                  <c:v>-11.126368314444379</c:v>
                </c:pt>
                <c:pt idx="299">
                  <c:v>-11.131615649869424</c:v>
                </c:pt>
                <c:pt idx="300">
                  <c:v>-11.136979576125745</c:v>
                </c:pt>
                <c:pt idx="301">
                  <c:v>-11.142470349464364</c:v>
                </c:pt>
                <c:pt idx="302">
                  <c:v>-11.148098439935897</c:v>
                </c:pt>
                <c:pt idx="303">
                  <c:v>-11.153874547975276</c:v>
                </c:pt>
                <c:pt idx="304">
                  <c:v>-11.159809621119617</c:v>
                </c:pt>
                <c:pt idx="305">
                  <c:v>-11.16591487085984</c:v>
                </c:pt>
                <c:pt idx="306">
                  <c:v>-11.172201789624301</c:v>
                </c:pt>
                <c:pt idx="307">
                  <c:v>-11.178682167892287</c:v>
                </c:pt>
                <c:pt idx="308">
                  <c:v>-11.185368111430797</c:v>
                </c:pt>
                <c:pt idx="309">
                  <c:v>-11.192272058648163</c:v>
                </c:pt>
                <c:pt idx="310">
                  <c:v>-11.199406798052545</c:v>
                </c:pt>
                <c:pt idx="311">
                  <c:v>-11.206785485803554</c:v>
                </c:pt>
                <c:pt idx="312">
                  <c:v>-11.214421663339596</c:v>
                </c:pt>
                <c:pt idx="313">
                  <c:v>-11.222329275061009</c:v>
                </c:pt>
                <c:pt idx="314">
                  <c:v>-11.230522686047804</c:v>
                </c:pt>
                <c:pt idx="315">
                  <c:v>-11.239016699782303</c:v>
                </c:pt>
                <c:pt idx="316">
                  <c:v>-11.247826575847387</c:v>
                </c:pt>
                <c:pt idx="317">
                  <c:v>-11.25696804756541</c:v>
                </c:pt>
                <c:pt idx="318">
                  <c:v>-11.26645733953578</c:v>
                </c:pt>
                <c:pt idx="319">
                  <c:v>-11.276311185028675</c:v>
                </c:pt>
                <c:pt idx="320">
                  <c:v>-11.286546843184313</c:v>
                </c:pt>
                <c:pt idx="321">
                  <c:v>-11.297182115961597</c:v>
                </c:pt>
                <c:pt idx="322">
                  <c:v>-11.308235364776603</c:v>
                </c:pt>
                <c:pt idx="323">
                  <c:v>-11.319725526763481</c:v>
                </c:pt>
                <c:pt idx="324">
                  <c:v>-11.331672130585291</c:v>
                </c:pt>
                <c:pt idx="325">
                  <c:v>-11.344095311714533</c:v>
                </c:pt>
                <c:pt idx="326">
                  <c:v>-11.357015827098877</c:v>
                </c:pt>
                <c:pt idx="327">
                  <c:v>-11.370455069119087</c:v>
                </c:pt>
                <c:pt idx="328">
                  <c:v>-11.384435078738802</c:v>
                </c:pt>
                <c:pt idx="329">
                  <c:v>-11.398978557741779</c:v>
                </c:pt>
                <c:pt idx="330">
                  <c:v>-11.414108879941516</c:v>
                </c:pt>
                <c:pt idx="331">
                  <c:v>-11.429850101243753</c:v>
                </c:pt>
                <c:pt idx="332">
                  <c:v>-11.446226968434534</c:v>
                </c:pt>
                <c:pt idx="333">
                  <c:v>-11.463264926559475</c:v>
                </c:pt>
                <c:pt idx="334">
                  <c:v>-11.480990124754166</c:v>
                </c:pt>
                <c:pt idx="335">
                  <c:v>-11.499429420378622</c:v>
                </c:pt>
                <c:pt idx="336">
                  <c:v>-11.518610381302954</c:v>
                </c:pt>
                <c:pt idx="337">
                  <c:v>-11.538561286186741</c:v>
                </c:pt>
                <c:pt idx="338">
                  <c:v>-11.55931112258963</c:v>
                </c:pt>
                <c:pt idx="339">
                  <c:v>-11.580889582746618</c:v>
                </c:pt>
                <c:pt idx="340">
                  <c:v>-11.603327056838729</c:v>
                </c:pt>
                <c:pt idx="341">
                  <c:v>-11.626654623588502</c:v>
                </c:pt>
                <c:pt idx="342">
                  <c:v>-11.65090403800836</c:v>
                </c:pt>
                <c:pt idx="343">
                  <c:v>-11.676107716130755</c:v>
                </c:pt>
                <c:pt idx="344">
                  <c:v>-11.702298716552338</c:v>
                </c:pt>
                <c:pt idx="345">
                  <c:v>-11.729510718627367</c:v>
                </c:pt>
                <c:pt idx="346">
                  <c:v>-11.757777997151322</c:v>
                </c:pt>
                <c:pt idx="347">
                  <c:v>-11.787135393385997</c:v>
                </c:pt>
                <c:pt idx="348">
                  <c:v>-11.817618282284164</c:v>
                </c:pt>
                <c:pt idx="349">
                  <c:v>-11.849262535786877</c:v>
                </c:pt>
                <c:pt idx="350">
                  <c:v>-11.882104482081544</c:v>
                </c:pt>
                <c:pt idx="351">
                  <c:v>-11.916180860724428</c:v>
                </c:pt>
                <c:pt idx="352">
                  <c:v>-11.951528773554234</c:v>
                </c:pt>
                <c:pt idx="353">
                  <c:v>-11.988185631344436</c:v>
                </c:pt>
                <c:pt idx="354">
                  <c:v>-12.026189096168579</c:v>
                </c:pt>
                <c:pt idx="355">
                  <c:v>-12.065577019481008</c:v>
                </c:pt>
                <c:pt idx="356">
                  <c:v>-12.106387375947351</c:v>
                </c:pt>
                <c:pt idx="357">
                  <c:v>-12.148658193090576</c:v>
                </c:pt>
                <c:pt idx="358">
                  <c:v>-12.192427476857597</c:v>
                </c:pt>
                <c:pt idx="359">
                  <c:v>-12.237733133246575</c:v>
                </c:pt>
                <c:pt idx="360">
                  <c:v>-12.284612886176969</c:v>
                </c:pt>
                <c:pt idx="361">
                  <c:v>-12.333104191824663</c:v>
                </c:pt>
                <c:pt idx="362">
                  <c:v>-12.383244149688073</c:v>
                </c:pt>
                <c:pt idx="363">
                  <c:v>-12.435069410693613</c:v>
                </c:pt>
                <c:pt idx="364">
                  <c:v>-12.488616082692287</c:v>
                </c:pt>
                <c:pt idx="365">
                  <c:v>-12.543919633742197</c:v>
                </c:pt>
                <c:pt idx="366">
                  <c:v>-12.601014793614159</c:v>
                </c:pt>
                <c:pt idx="367">
                  <c:v>-12.65993545399512</c:v>
                </c:pt>
                <c:pt idx="368">
                  <c:v>-12.720714567904787</c:v>
                </c:pt>
                <c:pt idx="369">
                  <c:v>-12.783384048873627</c:v>
                </c:pt>
                <c:pt idx="370">
                  <c:v>-12.847974670459676</c:v>
                </c:pt>
                <c:pt idx="371">
                  <c:v>-12.914515966710319</c:v>
                </c:pt>
                <c:pt idx="372">
                  <c:v>-12.983036134193854</c:v>
                </c:pt>
                <c:pt idx="373">
                  <c:v>-13.053561936241158</c:v>
                </c:pt>
                <c:pt idx="374">
                  <c:v>-13.126118610045832</c:v>
                </c:pt>
                <c:pt idx="375">
                  <c:v>-13.20072977727518</c:v>
                </c:pt>
                <c:pt idx="376">
                  <c:v>-13.277417358834709</c:v>
                </c:pt>
                <c:pt idx="377">
                  <c:v>-13.356201494419977</c:v>
                </c:pt>
                <c:pt idx="378">
                  <c:v>-13.437100467466902</c:v>
                </c:pt>
                <c:pt idx="379">
                  <c:v>-13.520130636083096</c:v>
                </c:pt>
                <c:pt idx="380">
                  <c:v>-13.605306370508245</c:v>
                </c:pt>
                <c:pt idx="381">
                  <c:v>-13.692639997607994</c:v>
                </c:pt>
                <c:pt idx="382">
                  <c:v>-13.782141752855557</c:v>
                </c:pt>
                <c:pt idx="383">
                  <c:v>-13.873819740199913</c:v>
                </c:pt>
                <c:pt idx="384">
                  <c:v>-13.967679900157171</c:v>
                </c:pt>
                <c:pt idx="385">
                  <c:v>-14.063725986395927</c:v>
                </c:pt>
                <c:pt idx="386">
                  <c:v>-14.16195955101575</c:v>
                </c:pt>
                <c:pt idx="387">
                  <c:v>-14.262379938646369</c:v>
                </c:pt>
                <c:pt idx="388">
                  <c:v>-14.364984289419077</c:v>
                </c:pt>
                <c:pt idx="389">
                  <c:v>-14.469767550785226</c:v>
                </c:pt>
                <c:pt idx="390">
                  <c:v>-14.576722498083461</c:v>
                </c:pt>
                <c:pt idx="391">
                  <c:v>-14.685839763681191</c:v>
                </c:pt>
                <c:pt idx="392">
                  <c:v>-14.797107874444624</c:v>
                </c:pt>
                <c:pt idx="393">
                  <c:v>-14.910513297225201</c:v>
                </c:pt>
                <c:pt idx="394">
                  <c:v>-15.02604049198467</c:v>
                </c:pt>
                <c:pt idx="395">
                  <c:v>-15.143671972124697</c:v>
                </c:pt>
                <c:pt idx="396">
                  <c:v>-15.263388371533818</c:v>
                </c:pt>
                <c:pt idx="397">
                  <c:v>-15.385168517818286</c:v>
                </c:pt>
                <c:pt idx="398">
                  <c:v>-15.50898951114868</c:v>
                </c:pt>
                <c:pt idx="399">
                  <c:v>-15.634826808116184</c:v>
                </c:pt>
                <c:pt idx="400">
                  <c:v>-15.762654309978322</c:v>
                </c:pt>
                <c:pt idx="401">
                  <c:v>-15.892444454649421</c:v>
                </c:pt>
                <c:pt idx="402">
                  <c:v>-16.024168311788657</c:v>
                </c:pt>
                <c:pt idx="403">
                  <c:v>-16.157795680335859</c:v>
                </c:pt>
                <c:pt idx="404">
                  <c:v>-16.293295187851417</c:v>
                </c:pt>
                <c:pt idx="405">
                  <c:v>-16.430634391028644</c:v>
                </c:pt>
                <c:pt idx="406">
                  <c:v>-16.569779876767431</c:v>
                </c:pt>
                <c:pt idx="407">
                  <c:v>-16.710697363221428</c:v>
                </c:pt>
                <c:pt idx="408">
                  <c:v>-16.853351800258586</c:v>
                </c:pt>
                <c:pt idx="409">
                  <c:v>-16.99770746881028</c:v>
                </c:pt>
                <c:pt idx="410">
                  <c:v>-17.143728078619272</c:v>
                </c:pt>
                <c:pt idx="411">
                  <c:v>-17.291376863936353</c:v>
                </c:pt>
                <c:pt idx="412">
                  <c:v>-17.440616676756537</c:v>
                </c:pt>
                <c:pt idx="413">
                  <c:v>-17.591410077228435</c:v>
                </c:pt>
                <c:pt idx="414">
                  <c:v>-17.743719420913685</c:v>
                </c:pt>
                <c:pt idx="415">
                  <c:v>-17.897506942615983</c:v>
                </c:pt>
                <c:pt idx="416">
                  <c:v>-18.052734836543426</c:v>
                </c:pt>
                <c:pt idx="417">
                  <c:v>-18.209365332607749</c:v>
                </c:pt>
                <c:pt idx="418">
                  <c:v>-18.367360768708338</c:v>
                </c:pt>
                <c:pt idx="419">
                  <c:v>-18.52668365888189</c:v>
                </c:pt>
                <c:pt idx="420">
                  <c:v>-18.687296757241938</c:v>
                </c:pt>
                <c:pt idx="421">
                  <c:v>-18.849163117662581</c:v>
                </c:pt>
                <c:pt idx="422">
                  <c:v>-19.012246149193363</c:v>
                </c:pt>
                <c:pt idx="423">
                  <c:v>-19.176509667224629</c:v>
                </c:pt>
                <c:pt idx="424">
                  <c:v>-19.341917940444887</c:v>
                </c:pt>
                <c:pt idx="425">
                  <c:v>-19.508435733659734</c:v>
                </c:pt>
                <c:pt idx="426">
                  <c:v>-19.676028346560294</c:v>
                </c:pt>
                <c:pt idx="427">
                  <c:v>-19.844661648550918</c:v>
                </c:pt>
                <c:pt idx="428">
                  <c:v>-20.014302109757722</c:v>
                </c:pt>
                <c:pt idx="429">
                  <c:v>-20.184916828356407</c:v>
                </c:pt>
                <c:pt idx="430">
                  <c:v>-20.356473554368506</c:v>
                </c:pt>
                <c:pt idx="431">
                  <c:v>-20.528940710081464</c:v>
                </c:pt>
                <c:pt idx="432">
                  <c:v>-20.702287407258456</c:v>
                </c:pt>
                <c:pt idx="433">
                  <c:v>-20.876483461305174</c:v>
                </c:pt>
                <c:pt idx="434">
                  <c:v>-21.05149940256662</c:v>
                </c:pt>
                <c:pt idx="435">
                  <c:v>-21.227306484926434</c:v>
                </c:pt>
                <c:pt idx="436">
                  <c:v>-21.403876691882072</c:v>
                </c:pt>
                <c:pt idx="437">
                  <c:v>-21.581182740267792</c:v>
                </c:pt>
                <c:pt idx="438">
                  <c:v>-21.759198081794615</c:v>
                </c:pt>
                <c:pt idx="439">
                  <c:v>-21.937896902573438</c:v>
                </c:pt>
                <c:pt idx="440">
                  <c:v>-22.117254120783368</c:v>
                </c:pt>
                <c:pt idx="441">
                  <c:v>-22.297245382640355</c:v>
                </c:pt>
                <c:pt idx="442">
                  <c:v>-22.477847056820206</c:v>
                </c:pt>
                <c:pt idx="443">
                  <c:v>-22.65903622747782</c:v>
                </c:pt>
                <c:pt idx="444">
                  <c:v>-22.840790686004333</c:v>
                </c:pt>
                <c:pt idx="445">
                  <c:v>-23.023088921652505</c:v>
                </c:pt>
                <c:pt idx="446">
                  <c:v>-23.205910111156946</c:v>
                </c:pt>
                <c:pt idx="447">
                  <c:v>-23.389234107466844</c:v>
                </c:pt>
                <c:pt idx="448">
                  <c:v>-23.573041427703899</c:v>
                </c:pt>
                <c:pt idx="449">
                  <c:v>-23.757313240449008</c:v>
                </c:pt>
                <c:pt idx="450">
                  <c:v>-23.94203135245737</c:v>
                </c:pt>
                <c:pt idx="451">
                  <c:v>-24.127178194891208</c:v>
                </c:pt>
                <c:pt idx="452">
                  <c:v>-24.312736809157549</c:v>
                </c:pt>
                <c:pt idx="453">
                  <c:v>-24.49869083242708</c:v>
                </c:pt>
                <c:pt idx="454">
                  <c:v>-24.68502448290868</c:v>
                </c:pt>
                <c:pt idx="455">
                  <c:v>-24.871722544944777</c:v>
                </c:pt>
                <c:pt idx="456">
                  <c:v>-25.058770353989274</c:v>
                </c:pt>
                <c:pt idx="457">
                  <c:v>-25.246153781524082</c:v>
                </c:pt>
                <c:pt idx="458">
                  <c:v>-25.433859219963519</c:v>
                </c:pt>
                <c:pt idx="459">
                  <c:v>-25.621873567594371</c:v>
                </c:pt>
                <c:pt idx="460">
                  <c:v>-25.810184213591011</c:v>
                </c:pt>
                <c:pt idx="461">
                  <c:v>-25.998779023144145</c:v>
                </c:pt>
                <c:pt idx="462">
                  <c:v>-26.187646322735134</c:v>
                </c:pt>
                <c:pt idx="463">
                  <c:v>-26.376774885586094</c:v>
                </c:pt>
                <c:pt idx="464">
                  <c:v>-26.56615391731092</c:v>
                </c:pt>
                <c:pt idx="465">
                  <c:v>-26.755773041790579</c:v>
                </c:pt>
                <c:pt idx="466">
                  <c:v>-26.945622287291343</c:v>
                </c:pt>
                <c:pt idx="467">
                  <c:v>-27.135692072843909</c:v>
                </c:pt>
                <c:pt idx="468">
                  <c:v>-27.325973194896985</c:v>
                </c:pt>
                <c:pt idx="469">
                  <c:v>-27.516456814257346</c:v>
                </c:pt>
                <c:pt idx="470">
                  <c:v>-27.707134443326762</c:v>
                </c:pt>
                <c:pt idx="471">
                  <c:v>-27.897997933642472</c:v>
                </c:pt>
                <c:pt idx="472">
                  <c:v>-28.089039463728781</c:v>
                </c:pt>
                <c:pt idx="473">
                  <c:v>-28.280251527262909</c:v>
                </c:pt>
                <c:pt idx="474">
                  <c:v>-28.471626921558464</c:v>
                </c:pt>
                <c:pt idx="475">
                  <c:v>-28.663158736368658</c:v>
                </c:pt>
                <c:pt idx="476">
                  <c:v>-28.854840343008902</c:v>
                </c:pt>
                <c:pt idx="477">
                  <c:v>-29.046665383798388</c:v>
                </c:pt>
                <c:pt idx="478">
                  <c:v>-29.238627761819508</c:v>
                </c:pt>
                <c:pt idx="479">
                  <c:v>-29.43072163099162</c:v>
                </c:pt>
                <c:pt idx="480">
                  <c:v>-29.622941386457633</c:v>
                </c:pt>
                <c:pt idx="481">
                  <c:v>-29.815281655277239</c:v>
                </c:pt>
                <c:pt idx="482">
                  <c:v>-30.007737287424607</c:v>
                </c:pt>
                <c:pt idx="483">
                  <c:v>-30.200303347084244</c:v>
                </c:pt>
                <c:pt idx="484">
                  <c:v>-30.392975104239838</c:v>
                </c:pt>
                <c:pt idx="485">
                  <c:v>-30.585748026551126</c:v>
                </c:pt>
                <c:pt idx="486">
                  <c:v>-30.778617771511406</c:v>
                </c:pt>
                <c:pt idx="487">
                  <c:v>-30.971580178880917</c:v>
                </c:pt>
                <c:pt idx="488">
                  <c:v>-31.164631263388603</c:v>
                </c:pt>
                <c:pt idx="489">
                  <c:v>-31.357767207695556</c:v>
                </c:pt>
                <c:pt idx="490">
                  <c:v>-31.550984355614354</c:v>
                </c:pt>
                <c:pt idx="491">
                  <c:v>-31.744279205576611</c:v>
                </c:pt>
                <c:pt idx="492">
                  <c:v>-31.937648404341804</c:v>
                </c:pt>
                <c:pt idx="493">
                  <c:v>-32.131088740941735</c:v>
                </c:pt>
                <c:pt idx="494">
                  <c:v>-32.324597140851033</c:v>
                </c:pt>
                <c:pt idx="495">
                  <c:v>-32.518170660380797</c:v>
                </c:pt>
                <c:pt idx="496">
                  <c:v>-32.711806481284512</c:v>
                </c:pt>
                <c:pt idx="497">
                  <c:v>-32.905501905572272</c:v>
                </c:pt>
                <c:pt idx="498">
                  <c:v>-33.099254350525896</c:v>
                </c:pt>
                <c:pt idx="499">
                  <c:v>-33.293061343906849</c:v>
                </c:pt>
                <c:pt idx="500">
                  <c:v>-33.486920519353667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0192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-0.62985482328601416</c:v>
                </c:pt>
                <c:pt idx="1">
                  <c:v>-0.64415425983396313</c:v>
                </c:pt>
                <c:pt idx="2">
                  <c:v>-0.65877828423867613</c:v>
                </c:pt>
                <c:pt idx="3">
                  <c:v>-0.67373426104132472</c:v>
                </c:pt>
                <c:pt idx="4">
                  <c:v>-0.68902972164019571</c:v>
                </c:pt>
                <c:pt idx="5">
                  <c:v>-0.70467236805469069</c:v>
                </c:pt>
                <c:pt idx="6">
                  <c:v>-0.72067007677306438</c:v>
                </c:pt>
                <c:pt idx="7">
                  <c:v>-0.73703090268573501</c:v>
                </c:pt>
                <c:pt idx="8">
                  <c:v>-0.753763083105911</c:v>
                </c:pt>
                <c:pt idx="9">
                  <c:v>-0.77087504187951217</c:v>
                </c:pt>
                <c:pt idx="10">
                  <c:v>-0.78837539358606057</c:v>
                </c:pt>
                <c:pt idx="11">
                  <c:v>-0.80627294783271253</c:v>
                </c:pt>
                <c:pt idx="12">
                  <c:v>-0.82457671364308394</c:v>
                </c:pt>
                <c:pt idx="13">
                  <c:v>-0.84329590394314635</c:v>
                </c:pt>
                <c:pt idx="14">
                  <c:v>-0.86243994014600756</c:v>
                </c:pt>
                <c:pt idx="15">
                  <c:v>-0.8820184568375965</c:v>
                </c:pt>
                <c:pt idx="16">
                  <c:v>-0.90204130656556636</c:v>
                </c:pt>
                <c:pt idx="17">
                  <c:v>-0.92251856473322835</c:v>
                </c:pt>
                <c:pt idx="18">
                  <c:v>-0.94346053460089063</c:v>
                </c:pt>
                <c:pt idx="19">
                  <c:v>-0.96487775239658879</c:v>
                </c:pt>
                <c:pt idx="20">
                  <c:v>-0.98678099253859075</c:v>
                </c:pt>
                <c:pt idx="21">
                  <c:v>-1.0091812729717449</c:v>
                </c:pt>
                <c:pt idx="22">
                  <c:v>-1.0320898606200684</c:v>
                </c:pt>
                <c:pt idx="23">
                  <c:v>-1.0555182769577331</c:v>
                </c:pt>
                <c:pt idx="24">
                  <c:v>-1.079478303700941</c:v>
                </c:pt>
                <c:pt idx="25">
                  <c:v>-1.1039819886228537</c:v>
                </c:pt>
                <c:pt idx="26">
                  <c:v>-1.1290416514940504</c:v>
                </c:pt>
                <c:pt idx="27">
                  <c:v>-1.154669890150994</c:v>
                </c:pt>
                <c:pt idx="28">
                  <c:v>-1.1808795866946222</c:v>
                </c:pt>
                <c:pt idx="29">
                  <c:v>-1.207683913821906</c:v>
                </c:pt>
                <c:pt idx="30">
                  <c:v>-1.2350963412925271</c:v>
                </c:pt>
                <c:pt idx="31">
                  <c:v>-1.2631306425334021</c:v>
                </c:pt>
                <c:pt idx="32">
                  <c:v>-1.2918009013831453</c:v>
                </c:pt>
                <c:pt idx="33">
                  <c:v>-1.3211215189795718</c:v>
                </c:pt>
                <c:pt idx="34">
                  <c:v>-1.3511072207922077</c:v>
                </c:pt>
                <c:pt idx="35">
                  <c:v>-1.3817730638026666</c:v>
                </c:pt>
                <c:pt idx="36">
                  <c:v>-1.4131344438351954</c:v>
                </c:pt>
                <c:pt idx="37">
                  <c:v>-1.4452071030401841</c:v>
                </c:pt>
                <c:pt idx="38">
                  <c:v>-1.4780071375329611</c:v>
                </c:pt>
                <c:pt idx="39">
                  <c:v>-1.5115510051903835</c:v>
                </c:pt>
                <c:pt idx="40">
                  <c:v>-1.5458555336078292</c:v>
                </c:pt>
                <c:pt idx="41">
                  <c:v>-1.5809379282191129</c:v>
                </c:pt>
                <c:pt idx="42">
                  <c:v>-1.6168157805816286</c:v>
                </c:pt>
                <c:pt idx="43">
                  <c:v>-1.6535070768292115</c:v>
                </c:pt>
                <c:pt idx="44">
                  <c:v>-1.6910302062953613</c:v>
                </c:pt>
                <c:pt idx="45">
                  <c:v>-1.7294039703087232</c:v>
                </c:pt>
                <c:pt idx="46">
                  <c:v>-1.768647591163504</c:v>
                </c:pt>
                <c:pt idx="47">
                  <c:v>-1.8087807212670519</c:v>
                </c:pt>
                <c:pt idx="48">
                  <c:v>-1.8498234524664994</c:v>
                </c:pt>
                <c:pt idx="49">
                  <c:v>-1.891796325556915</c:v>
                </c:pt>
                <c:pt idx="50">
                  <c:v>-1.9347203399727968</c:v>
                </c:pt>
                <c:pt idx="51">
                  <c:v>-1.9786169636648219</c:v>
                </c:pt>
                <c:pt idx="52">
                  <c:v>-2.0235081431637951</c:v>
                </c:pt>
                <c:pt idx="53">
                  <c:v>-2.0694163138333801</c:v>
                </c:pt>
                <c:pt idx="54">
                  <c:v>-2.1163644103130665</c:v>
                </c:pt>
                <c:pt idx="55">
                  <c:v>-2.1643758771531743</c:v>
                </c:pt>
                <c:pt idx="56">
                  <c:v>-2.2134746796425042</c:v>
                </c:pt>
                <c:pt idx="57">
                  <c:v>-2.2636853148303362</c:v>
                </c:pt>
                <c:pt idx="58">
                  <c:v>-2.3150328227431656</c:v>
                </c:pt>
                <c:pt idx="59">
                  <c:v>-2.3675427977969425</c:v>
                </c:pt>
                <c:pt idx="60">
                  <c:v>-2.4212414004052438</c:v>
                </c:pt>
                <c:pt idx="61">
                  <c:v>-2.4761553687835427</c:v>
                </c:pt>
                <c:pt idx="62">
                  <c:v>-2.5323120309490728</c:v>
                </c:pt>
                <c:pt idx="63">
                  <c:v>-2.5897393169162335</c:v>
                </c:pt>
                <c:pt idx="64">
                  <c:v>-2.6484657710864488</c:v>
                </c:pt>
                <c:pt idx="65">
                  <c:v>-2.7085205648311392</c:v>
                </c:pt>
                <c:pt idx="66">
                  <c:v>-2.7699335092664739</c:v>
                </c:pt>
                <c:pt idx="67">
                  <c:v>-2.8327350682177284</c:v>
                </c:pt>
                <c:pt idx="68">
                  <c:v>-2.8969563713706168</c:v>
                </c:pt>
                <c:pt idx="69">
                  <c:v>-2.9626292276064565</c:v>
                </c:pt>
                <c:pt idx="70">
                  <c:v>-3.0297861385179035</c:v>
                </c:pt>
                <c:pt idx="71">
                  <c:v>-3.0984603121007916</c:v>
                </c:pt>
                <c:pt idx="72">
                  <c:v>-3.1686856766168963</c:v>
                </c:pt>
                <c:pt idx="73">
                  <c:v>-3.2404968946228427</c:v>
                </c:pt>
                <c:pt idx="74">
                  <c:v>-3.313929377157744</c:v>
                </c:pt>
                <c:pt idx="75">
                  <c:v>-3.3890192980838583</c:v>
                </c:pt>
                <c:pt idx="76">
                  <c:v>-3.4658036085704538</c:v>
                </c:pt>
                <c:pt idx="77">
                  <c:v>-3.5443200517134925</c:v>
                </c:pt>
                <c:pt idx="78">
                  <c:v>-3.6246071772805322</c:v>
                </c:pt>
                <c:pt idx="79">
                  <c:v>-3.7067043565693876</c:v>
                </c:pt>
                <c:pt idx="80">
                  <c:v>-3.7906517973691112</c:v>
                </c:pt>
                <c:pt idx="81">
                  <c:v>-3.8764905590095582</c:v>
                </c:pt>
                <c:pt idx="82">
                  <c:v>-3.9642625674843592</c:v>
                </c:pt>
                <c:pt idx="83">
                  <c:v>-4.0540106306316313</c:v>
                </c:pt>
                <c:pt idx="84">
                  <c:v>-4.1457784533545228</c:v>
                </c:pt>
                <c:pt idx="85">
                  <c:v>-4.2396106528621145</c:v>
                </c:pt>
                <c:pt idx="86">
                  <c:v>-4.3355527739096305</c:v>
                </c:pt>
                <c:pt idx="87">
                  <c:v>-4.4336513040152559</c:v>
                </c:pt>
                <c:pt idx="88">
                  <c:v>-4.5339536886283351</c:v>
                </c:pt>
                <c:pt idx="89">
                  <c:v>-4.6365083462218983</c:v>
                </c:pt>
                <c:pt idx="90">
                  <c:v>-4.7413646832808176</c:v>
                </c:pt>
                <c:pt idx="91">
                  <c:v>-4.8485731091529889</c:v>
                </c:pt>
                <c:pt idx="92">
                  <c:v>-4.9581850507301448</c:v>
                </c:pt>
                <c:pt idx="93">
                  <c:v>-5.0702529669213074</c:v>
                </c:pt>
                <c:pt idx="94">
                  <c:v>-5.1848303628786345</c:v>
                </c:pt>
                <c:pt idx="95">
                  <c:v>-5.3019718039331964</c:v>
                </c:pt>
                <c:pt idx="96">
                  <c:v>-5.421732929194822</c:v>
                </c:pt>
                <c:pt idx="97">
                  <c:v>-5.5441704647663892</c:v>
                </c:pt>
                <c:pt idx="98">
                  <c:v>-5.6693422365190491</c:v>
                </c:pt>
                <c:pt idx="99">
                  <c:v>-5.7973071823725562</c:v>
                </c:pt>
                <c:pt idx="100">
                  <c:v>-5.9281253640189435</c:v>
                </c:pt>
                <c:pt idx="101">
                  <c:v>-6.0618579780239346</c:v>
                </c:pt>
                <c:pt idx="102">
                  <c:v>-6.1985673662384766</c:v>
                </c:pt>
                <c:pt idx="103">
                  <c:v>-6.3383170254425885</c:v>
                </c:pt>
                <c:pt idx="104">
                  <c:v>-6.4811716161457138</c:v>
                </c:pt>
                <c:pt idx="105">
                  <c:v>-6.6271969704555467</c:v>
                </c:pt>
                <c:pt idx="106">
                  <c:v>-6.7764600989283155</c:v>
                </c:pt>
                <c:pt idx="107">
                  <c:v>-6.9290291963013857</c:v>
                </c:pt>
                <c:pt idx="108">
                  <c:v>-7.0849736460088231</c:v>
                </c:pt>
                <c:pt idx="109">
                  <c:v>-7.244364023369501</c:v>
                </c:pt>
                <c:pt idx="110">
                  <c:v>-7.4072720973343218</c:v>
                </c:pt>
                <c:pt idx="111">
                  <c:v>-7.5737708306691962</c:v>
                </c:pt>
                <c:pt idx="112">
                  <c:v>-7.7439343784463022</c:v>
                </c:pt>
                <c:pt idx="113">
                  <c:v>-7.9178380847051235</c:v>
                </c:pt>
                <c:pt idx="114">
                  <c:v>-8.0955584771413545</c:v>
                </c:pt>
                <c:pt idx="115">
                  <c:v>-8.2771732596691212</c:v>
                </c:pt>
                <c:pt idx="116">
                  <c:v>-8.4627613026978263</c:v>
                </c:pt>
                <c:pt idx="117">
                  <c:v>-8.6524026309532438</c:v>
                </c:pt>
                <c:pt idx="118">
                  <c:v>-8.8461784086665105</c:v>
                </c:pt>
                <c:pt idx="119">
                  <c:v>-9.0441709219432482</c:v>
                </c:pt>
                <c:pt idx="120">
                  <c:v>-9.2464635581181085</c:v>
                </c:pt>
                <c:pt idx="121">
                  <c:v>-9.4531407818885924</c:v>
                </c:pt>
                <c:pt idx="122">
                  <c:v>-9.6642881080162137</c:v>
                </c:pt>
                <c:pt idx="123">
                  <c:v>-9.8799920703684254</c:v>
                </c:pt>
                <c:pt idx="124">
                  <c:v>-10.100340187071573</c:v>
                </c:pt>
                <c:pt idx="125">
                  <c:v>-10.325420921529489</c:v>
                </c:pt>
                <c:pt idx="126">
                  <c:v>-10.555323639059306</c:v>
                </c:pt>
                <c:pt idx="127">
                  <c:v>-10.790138558882083</c:v>
                </c:pt>
                <c:pt idx="128">
                  <c:v>-11.029956701200591</c:v>
                </c:pt>
                <c:pt idx="129">
                  <c:v>-11.274869829084835</c:v>
                </c:pt>
                <c:pt idx="130">
                  <c:v>-11.524970384883266</c:v>
                </c:pt>
                <c:pt idx="131">
                  <c:v>-11.780351420865257</c:v>
                </c:pt>
                <c:pt idx="132">
                  <c:v>-12.041106523796808</c:v>
                </c:pt>
                <c:pt idx="133">
                  <c:v>-12.307329733146435</c:v>
                </c:pt>
                <c:pt idx="134">
                  <c:v>-12.579115452610973</c:v>
                </c:pt>
                <c:pt idx="135">
                  <c:v>-12.856558354653531</c:v>
                </c:pt>
                <c:pt idx="136">
                  <c:v>-13.139753277735378</c:v>
                </c:pt>
                <c:pt idx="137">
                  <c:v>-13.428795115934657</c:v>
                </c:pt>
                <c:pt idx="138">
                  <c:v>-13.723778700637519</c:v>
                </c:pt>
                <c:pt idx="139">
                  <c:v>-14.024798673995228</c:v>
                </c:pt>
                <c:pt idx="140">
                  <c:v>-14.331949353850005</c:v>
                </c:pt>
                <c:pt idx="141">
                  <c:v>-14.645324589835266</c:v>
                </c:pt>
                <c:pt idx="142">
                  <c:v>-14.96501761037567</c:v>
                </c:pt>
                <c:pt idx="143">
                  <c:v>-15.291120860321232</c:v>
                </c:pt>
                <c:pt idx="144">
                  <c:v>-15.623725828973361</c:v>
                </c:pt>
                <c:pt idx="145">
                  <c:v>-15.962922868284853</c:v>
                </c:pt>
                <c:pt idx="146">
                  <c:v>-16.308801001036048</c:v>
                </c:pt>
                <c:pt idx="147">
                  <c:v>-16.661447718833209</c:v>
                </c:pt>
                <c:pt idx="148">
                  <c:v>-17.020948769799752</c:v>
                </c:pt>
                <c:pt idx="149">
                  <c:v>-17.387387935884217</c:v>
                </c:pt>
                <c:pt idx="150">
                  <c:v>-17.760846799748276</c:v>
                </c:pt>
                <c:pt idx="151">
                  <c:v>-18.141404501258663</c:v>
                </c:pt>
                <c:pt idx="152">
                  <c:v>-18.529137483663163</c:v>
                </c:pt>
                <c:pt idx="153">
                  <c:v>-18.924119229597959</c:v>
                </c:pt>
                <c:pt idx="154">
                  <c:v>-19.326419987146814</c:v>
                </c:pt>
                <c:pt idx="155">
                  <c:v>-19.736106486256297</c:v>
                </c:pt>
                <c:pt idx="156">
                  <c:v>-20.15324164589056</c:v>
                </c:pt>
                <c:pt idx="157">
                  <c:v>-20.577884272408841</c:v>
                </c:pt>
                <c:pt idx="158">
                  <c:v>-21.010088749749269</c:v>
                </c:pt>
                <c:pt idx="159">
                  <c:v>-21.449904722105661</c:v>
                </c:pt>
                <c:pt idx="160">
                  <c:v>-21.897376769900724</c:v>
                </c:pt>
                <c:pt idx="161">
                  <c:v>-22.35254407997791</c:v>
                </c:pt>
                <c:pt idx="162">
                  <c:v>-22.815440111058447</c:v>
                </c:pt>
                <c:pt idx="163">
                  <c:v>-23.286092255636191</c:v>
                </c:pt>
                <c:pt idx="164">
                  <c:v>-23.764521499624877</c:v>
                </c:pt>
                <c:pt idx="165">
                  <c:v>-24.250742081195369</c:v>
                </c:pt>
                <c:pt idx="166">
                  <c:v>-24.744761150390314</c:v>
                </c:pt>
                <c:pt idx="167">
                  <c:v>-25.246578431228524</c:v>
                </c:pt>
                <c:pt idx="168">
                  <c:v>-25.756185888161163</c:v>
                </c:pt>
                <c:pt idx="169">
                  <c:v>-26.273567398857391</c:v>
                </c:pt>
                <c:pt idx="170">
                  <c:v>-26.798698435441583</c:v>
                </c:pt>
                <c:pt idx="171">
                  <c:v>-27.331545756409014</c:v>
                </c:pt>
                <c:pt idx="172">
                  <c:v>-27.872067111565105</c:v>
                </c:pt>
                <c:pt idx="173">
                  <c:v>-28.420210962434208</c:v>
                </c:pt>
                <c:pt idx="174">
                  <c:v>-28.975916220650834</c:v>
                </c:pt>
                <c:pt idx="175">
                  <c:v>-29.539112006935817</c:v>
                </c:pt>
                <c:pt idx="176">
                  <c:v>-30.109717433286193</c:v>
                </c:pt>
                <c:pt idx="177">
                  <c:v>-30.687641411043625</c:v>
                </c:pt>
                <c:pt idx="178">
                  <c:v>-31.27278248749867</c:v>
                </c:pt>
                <c:pt idx="179">
                  <c:v>-31.865028713661243</c:v>
                </c:pt>
                <c:pt idx="180">
                  <c:v>-32.464257545780683</c:v>
                </c:pt>
                <c:pt idx="181">
                  <c:v>-33.070335783086485</c:v>
                </c:pt>
                <c:pt idx="182">
                  <c:v>-33.683119544132843</c:v>
                </c:pt>
                <c:pt idx="183">
                  <c:v>-34.302454283939198</c:v>
                </c:pt>
                <c:pt idx="184">
                  <c:v>-34.928174853966112</c:v>
                </c:pt>
                <c:pt idx="185">
                  <c:v>-35.560105606704596</c:v>
                </c:pt>
                <c:pt idx="186">
                  <c:v>-36.198060546434348</c:v>
                </c:pt>
                <c:pt idx="187">
                  <c:v>-36.841843527389848</c:v>
                </c:pt>
                <c:pt idx="188">
                  <c:v>-37.491248500261101</c:v>
                </c:pt>
                <c:pt idx="189">
                  <c:v>-38.146059807606342</c:v>
                </c:pt>
                <c:pt idx="190">
                  <c:v>-38.806052528371517</c:v>
                </c:pt>
                <c:pt idx="191">
                  <c:v>-39.47099287132054</c:v>
                </c:pt>
                <c:pt idx="192">
                  <c:v>-40.140638616753236</c:v>
                </c:pt>
                <c:pt idx="193">
                  <c:v>-40.814739605475147</c:v>
                </c:pt>
                <c:pt idx="194">
                  <c:v>-41.493038273527411</c:v>
                </c:pt>
                <c:pt idx="195">
                  <c:v>-42.175270230776135</c:v>
                </c:pt>
                <c:pt idx="196">
                  <c:v>-42.861164881004079</c:v>
                </c:pt>
                <c:pt idx="197">
                  <c:v>-43.550446080743889</c:v>
                </c:pt>
                <c:pt idx="198">
                  <c:v>-44.242832833691494</c:v>
                </c:pt>
                <c:pt idx="199">
                  <c:v>-44.93804001715926</c:v>
                </c:pt>
                <c:pt idx="200">
                  <c:v>-45.635779136688043</c:v>
                </c:pt>
                <c:pt idx="201">
                  <c:v>-46.335759104627584</c:v>
                </c:pt>
                <c:pt idx="202">
                  <c:v>-47.037687038236129</c:v>
                </c:pt>
                <c:pt idx="203">
                  <c:v>-47.74126907262707</c:v>
                </c:pt>
                <c:pt idx="204">
                  <c:v>-48.446211183727748</c:v>
                </c:pt>
                <c:pt idx="205">
                  <c:v>-49.152220016303609</c:v>
                </c:pt>
                <c:pt idx="206">
                  <c:v>-49.859003712043119</c:v>
                </c:pt>
                <c:pt idx="207">
                  <c:v>-50.566272732697435</c:v>
                </c:pt>
                <c:pt idx="208">
                  <c:v>-51.273740673330892</c:v>
                </c:pt>
                <c:pt idx="209">
                  <c:v>-51.981125060850346</c:v>
                </c:pt>
                <c:pt idx="210">
                  <c:v>-52.688148133144033</c:v>
                </c:pt>
                <c:pt idx="211">
                  <c:v>-53.394537594386684</c:v>
                </c:pt>
                <c:pt idx="212">
                  <c:v>-54.100027342318384</c:v>
                </c:pt>
                <c:pt idx="213">
                  <c:v>-54.804358163635861</c:v>
                </c:pt>
                <c:pt idx="214">
                  <c:v>-55.507278393943913</c:v>
                </c:pt>
                <c:pt idx="215">
                  <c:v>-56.208544539126777</c:v>
                </c:pt>
                <c:pt idx="216">
                  <c:v>-56.907921855364386</c:v>
                </c:pt>
                <c:pt idx="217">
                  <c:v>-57.605184885461711</c:v>
                </c:pt>
                <c:pt idx="218">
                  <c:v>-58.300117949572197</c:v>
                </c:pt>
                <c:pt idx="219">
                  <c:v>-58.992515588839893</c:v>
                </c:pt>
                <c:pt idx="220">
                  <c:v>-59.682182960910559</c:v>
                </c:pt>
                <c:pt idx="221">
                  <c:v>-60.368936186694761</c:v>
                </c:pt>
                <c:pt idx="222">
                  <c:v>-61.05260264817467</c:v>
                </c:pt>
                <c:pt idx="223">
                  <c:v>-61.733021237445328</c:v>
                </c:pt>
                <c:pt idx="224">
                  <c:v>-62.41004255754639</c:v>
                </c:pt>
                <c:pt idx="225">
                  <c:v>-63.083529076006698</c:v>
                </c:pt>
                <c:pt idx="226">
                  <c:v>-63.75335523231648</c:v>
                </c:pt>
                <c:pt idx="227">
                  <c:v>-64.419407500852685</c:v>
                </c:pt>
                <c:pt idx="228">
                  <c:v>-65.081584411024082</c:v>
                </c:pt>
                <c:pt idx="229">
                  <c:v>-65.739796526623437</c:v>
                </c:pt>
                <c:pt idx="230">
                  <c:v>-66.393966386566305</c:v>
                </c:pt>
                <c:pt idx="231">
                  <c:v>-67.044028409334146</c:v>
                </c:pt>
                <c:pt idx="232">
                  <c:v>-67.689928763570592</c:v>
                </c:pt>
                <c:pt idx="233">
                  <c:v>-68.331625207347329</c:v>
                </c:pt>
                <c:pt idx="234">
                  <c:v>-68.969086898682704</c:v>
                </c:pt>
                <c:pt idx="235">
                  <c:v>-69.602294179911425</c:v>
                </c:pt>
                <c:pt idx="236">
                  <c:v>-70.231238338495331</c:v>
                </c:pt>
                <c:pt idx="237">
                  <c:v>-70.855921346849513</c:v>
                </c:pt>
                <c:pt idx="238">
                  <c:v>-71.476355583691657</c:v>
                </c:pt>
                <c:pt idx="239">
                  <c:v>-72.092563539358281</c:v>
                </c:pt>
                <c:pt idx="240">
                  <c:v>-72.704577507445251</c:v>
                </c:pt>
                <c:pt idx="241">
                  <c:v>-73.312439265014817</c:v>
                </c:pt>
                <c:pt idx="242">
                  <c:v>-73.916199743511356</c:v>
                </c:pt>
                <c:pt idx="243">
                  <c:v>-74.515918692387075</c:v>
                </c:pt>
                <c:pt idx="244">
                  <c:v>-75.111664337316128</c:v>
                </c:pt>
                <c:pt idx="245">
                  <c:v>-75.70351303472998</c:v>
                </c:pt>
                <c:pt idx="246">
                  <c:v>-76.291548924271822</c:v>
                </c:pt>
                <c:pt idx="247">
                  <c:v>-76.875863580612233</c:v>
                </c:pt>
                <c:pt idx="248">
                  <c:v>-77.456555665936236</c:v>
                </c:pt>
                <c:pt idx="249">
                  <c:v>-78.033730584262656</c:v>
                </c:pt>
                <c:pt idx="250">
                  <c:v>-78.607500138611883</c:v>
                </c:pt>
                <c:pt idx="251">
                  <c:v>-79.177982191913941</c:v>
                </c:pt>
                <c:pt idx="252">
                  <c:v>-79.745300332400475</c:v>
                </c:pt>
                <c:pt idx="253">
                  <c:v>-80.309583544107738</c:v>
                </c:pt>
                <c:pt idx="254">
                  <c:v>-80.870965882993531</c:v>
                </c:pt>
                <c:pt idx="255">
                  <c:v>-81.429586159049492</c:v>
                </c:pt>
                <c:pt idx="256">
                  <c:v>-81.985587624689742</c:v>
                </c:pt>
                <c:pt idx="257">
                  <c:v>-82.539117669587057</c:v>
                </c:pt>
                <c:pt idx="258">
                  <c:v>-83.090327522036674</c:v>
                </c:pt>
                <c:pt idx="259">
                  <c:v>-83.6393719568336</c:v>
                </c:pt>
                <c:pt idx="260">
                  <c:v>-84.186409009573424</c:v>
                </c:pt>
                <c:pt idx="261">
                  <c:v>-84.731599697206235</c:v>
                </c:pt>
                <c:pt idx="262">
                  <c:v>-85.275107744605265</c:v>
                </c:pt>
                <c:pt idx="263">
                  <c:v>-85.817099316851767</c:v>
                </c:pt>
                <c:pt idx="264">
                  <c:v>-86.357742756876405</c:v>
                </c:pt>
                <c:pt idx="265">
                  <c:v>-86.89720832805321</c:v>
                </c:pt>
                <c:pt idx="266">
                  <c:v>-87.435667961292282</c:v>
                </c:pt>
                <c:pt idx="267">
                  <c:v>-87.973295006141967</c:v>
                </c:pt>
                <c:pt idx="268">
                  <c:v>-88.510263985376199</c:v>
                </c:pt>
                <c:pt idx="269">
                  <c:v>-89.046750352513584</c:v>
                </c:pt>
                <c:pt idx="270">
                  <c:v>-89.582930251695757</c:v>
                </c:pt>
                <c:pt idx="271">
                  <c:v>-90.118980279329548</c:v>
                </c:pt>
                <c:pt idx="272">
                  <c:v>-90.655077246886037</c:v>
                </c:pt>
                <c:pt idx="273">
                  <c:v>-91.191397944241729</c:v>
                </c:pt>
                <c:pt idx="274">
                  <c:v>-91.728118902941162</c:v>
                </c:pt>
                <c:pt idx="275">
                  <c:v>-92.265416158765007</c:v>
                </c:pt>
                <c:pt idx="276">
                  <c:v>-92.803465012987175</c:v>
                </c:pt>
                <c:pt idx="277">
                  <c:v>-93.342439791718647</c:v>
                </c:pt>
                <c:pt idx="278">
                  <c:v>-93.882513602749938</c:v>
                </c:pt>
                <c:pt idx="279">
                  <c:v>-94.423858089319822</c:v>
                </c:pt>
                <c:pt idx="280">
                  <c:v>-94.966643180275824</c:v>
                </c:pt>
                <c:pt idx="281">
                  <c:v>-95.511036836095812</c:v>
                </c:pt>
                <c:pt idx="282">
                  <c:v>-96.057204790306955</c:v>
                </c:pt>
                <c:pt idx="283">
                  <c:v>-96.605310285853008</c:v>
                </c:pt>
                <c:pt idx="284">
                  <c:v>-97.155513806019343</c:v>
                </c:pt>
                <c:pt idx="285">
                  <c:v>-97.707972799578826</c:v>
                </c:pt>
                <c:pt idx="286">
                  <c:v>-98.262841399869245</c:v>
                </c:pt>
                <c:pt idx="287">
                  <c:v>-98.820270137587741</c:v>
                </c:pt>
                <c:pt idx="288">
                  <c:v>-99.380405647157687</c:v>
                </c:pt>
                <c:pt idx="289">
                  <c:v>-99.943390366592595</c:v>
                </c:pt>
                <c:pt idx="290">
                  <c:v>-100.5093622308721</c:v>
                </c:pt>
                <c:pt idx="291">
                  <c:v>-101.07845435894137</c:v>
                </c:pt>
                <c:pt idx="292">
                  <c:v>-101.6507947345316</c:v>
                </c:pt>
                <c:pt idx="293">
                  <c:v>-102.22650588111111</c:v>
                </c:pt>
                <c:pt idx="294">
                  <c:v>-102.80570453138634</c:v>
                </c:pt>
                <c:pt idx="295">
                  <c:v>-103.38850129189092</c:v>
                </c:pt>
                <c:pt idx="296">
                  <c:v>-103.97500030332175</c:v>
                </c:pt>
                <c:pt idx="297">
                  <c:v>-104.56529889741283</c:v>
                </c:pt>
                <c:pt idx="298">
                  <c:v>-105.15948725127095</c:v>
                </c:pt>
                <c:pt idx="299">
                  <c:v>-105.75764804023454</c:v>
                </c:pt>
                <c:pt idx="300">
                  <c:v>-106.35985609045994</c:v>
                </c:pt>
                <c:pt idx="301">
                  <c:v>-106.96617803258374</c:v>
                </c:pt>
                <c:pt idx="302">
                  <c:v>-107.5766719579524</c:v>
                </c:pt>
                <c:pt idx="303">
                  <c:v>-108.19138707905495</c:v>
                </c:pt>
                <c:pt idx="304">
                  <c:v>-108.8103633959376</c:v>
                </c:pt>
                <c:pt idx="305">
                  <c:v>-109.4336313705162</c:v>
                </c:pt>
                <c:pt idx="306">
                  <c:v>-110.06121161083252</c:v>
                </c:pt>
                <c:pt idx="307">
                  <c:v>-110.69311456742625</c:v>
                </c:pt>
                <c:pt idx="308">
                  <c:v>-111.32934024410879</c:v>
                </c:pt>
                <c:pt idx="309">
                  <c:v>-111.96987792551533</c:v>
                </c:pt>
                <c:pt idx="310">
                  <c:v>-112.61470592391525</c:v>
                </c:pt>
                <c:pt idx="311">
                  <c:v>-113.26379134780346</c:v>
                </c:pt>
                <c:pt idx="312">
                  <c:v>-113.91708989486314</c:v>
                </c:pt>
                <c:pt idx="313">
                  <c:v>-114.57454567189907</c:v>
                </c:pt>
                <c:pt idx="314">
                  <c:v>-115.23609104434327</c:v>
                </c:pt>
                <c:pt idx="315">
                  <c:v>-115.90164651790347</c:v>
                </c:pt>
                <c:pt idx="316">
                  <c:v>-116.57112065486353</c:v>
                </c:pt>
                <c:pt idx="317">
                  <c:v>-117.2444100274566</c:v>
                </c:pt>
                <c:pt idx="318">
                  <c:v>-117.9213992105972</c:v>
                </c:pt>
                <c:pt idx="319">
                  <c:v>-118.60196081610938</c:v>
                </c:pt>
                <c:pt idx="320">
                  <c:v>-119.28595557038783</c:v>
                </c:pt>
                <c:pt idx="321">
                  <c:v>-119.97323243719924</c:v>
                </c:pt>
                <c:pt idx="322">
                  <c:v>-120.66362878707307</c:v>
                </c:pt>
                <c:pt idx="323">
                  <c:v>-121.35697061442933</c:v>
                </c:pt>
                <c:pt idx="324">
                  <c:v>-122.05307280327054</c:v>
                </c:pt>
                <c:pt idx="325">
                  <c:v>-122.75173944190426</c:v>
                </c:pt>
                <c:pt idx="326">
                  <c:v>-123.45276418678685</c:v>
                </c:pt>
                <c:pt idx="327">
                  <c:v>-124.15593067518046</c:v>
                </c:pt>
                <c:pt idx="328">
                  <c:v>-124.86101298589313</c:v>
                </c:pt>
                <c:pt idx="329">
                  <c:v>-125.56777614694731</c:v>
                </c:pt>
                <c:pt idx="330">
                  <c:v>-126.27597668859248</c:v>
                </c:pt>
                <c:pt idx="331">
                  <c:v>-126.98536323963759</c:v>
                </c:pt>
                <c:pt idx="332">
                  <c:v>-127.69567716465937</c:v>
                </c:pt>
                <c:pt idx="333">
                  <c:v>-128.40665323923204</c:v>
                </c:pt>
                <c:pt idx="334">
                  <c:v>-129.11802035992704</c:v>
                </c:pt>
                <c:pt idx="335">
                  <c:v>-129.82950228546824</c:v>
                </c:pt>
                <c:pt idx="336">
                  <c:v>-130.54081840509937</c:v>
                </c:pt>
                <c:pt idx="337">
                  <c:v>-131.25168452992696</c:v>
                </c:pt>
                <c:pt idx="338">
                  <c:v>-131.96181370274152</c:v>
                </c:pt>
                <c:pt idx="339">
                  <c:v>-132.67091702163168</c:v>
                </c:pt>
                <c:pt idx="340">
                  <c:v>-133.3787044725496</c:v>
                </c:pt>
                <c:pt idx="341">
                  <c:v>-134.08488576588582</c:v>
                </c:pt>
                <c:pt idx="342">
                  <c:v>-134.78917117208394</c:v>
                </c:pt>
                <c:pt idx="343">
                  <c:v>-135.49127235133025</c:v>
                </c:pt>
                <c:pt idx="344">
                  <c:v>-136.19090317244087</c:v>
                </c:pt>
                <c:pt idx="345">
                  <c:v>-136.88778051618985</c:v>
                </c:pt>
                <c:pt idx="346">
                  <c:v>-137.58162505850854</c:v>
                </c:pt>
                <c:pt idx="347">
                  <c:v>-138.27216202922935</c:v>
                </c:pt>
                <c:pt idx="348">
                  <c:v>-138.95912194230834</c:v>
                </c:pt>
                <c:pt idx="349">
                  <c:v>-139.64224129380079</c:v>
                </c:pt>
                <c:pt idx="350">
                  <c:v>-140.3212632242126</c:v>
                </c:pt>
                <c:pt idx="351">
                  <c:v>-140.99593814223161</c:v>
                </c:pt>
                <c:pt idx="352">
                  <c:v>-141.66602430727201</c:v>
                </c:pt>
                <c:pt idx="353">
                  <c:v>-142.33128836866578</c:v>
                </c:pt>
                <c:pt idx="354">
                  <c:v>-142.99150585979845</c:v>
                </c:pt>
                <c:pt idx="355">
                  <c:v>-143.64646164590718</c:v>
                </c:pt>
                <c:pt idx="356">
                  <c:v>-144.29595032472179</c:v>
                </c:pt>
                <c:pt idx="357">
                  <c:v>-144.93977657953582</c:v>
                </c:pt>
                <c:pt idx="358">
                  <c:v>-145.57775548473293</c:v>
                </c:pt>
                <c:pt idx="359">
                  <c:v>-146.20971276418948</c:v>
                </c:pt>
                <c:pt idx="360">
                  <c:v>-146.83548500334805</c:v>
                </c:pt>
                <c:pt idx="361">
                  <c:v>-147.4549198161117</c:v>
                </c:pt>
                <c:pt idx="362">
                  <c:v>-148.06787596803477</c:v>
                </c:pt>
                <c:pt idx="363">
                  <c:v>-148.6742234575762</c:v>
                </c:pt>
                <c:pt idx="364">
                  <c:v>-149.27384355744283</c:v>
                </c:pt>
                <c:pt idx="365">
                  <c:v>-149.86662881827203</c:v>
                </c:pt>
                <c:pt idx="366">
                  <c:v>-150.45248303710389</c:v>
                </c:pt>
                <c:pt idx="367">
                  <c:v>-151.03132119325312</c:v>
                </c:pt>
                <c:pt idx="368">
                  <c:v>-151.60306935430239</c:v>
                </c:pt>
                <c:pt idx="369">
                  <c:v>-152.16766455506379</c:v>
                </c:pt>
                <c:pt idx="370">
                  <c:v>-152.72505465239706</c:v>
                </c:pt>
                <c:pt idx="371">
                  <c:v>-153.27519815882491</c:v>
                </c:pt>
                <c:pt idx="372">
                  <c:v>-153.81806405790724</c:v>
                </c:pt>
                <c:pt idx="373">
                  <c:v>-154.35363160431496</c:v>
                </c:pt>
                <c:pt idx="374">
                  <c:v>-154.88189011153221</c:v>
                </c:pt>
                <c:pt idx="375">
                  <c:v>-155.4028387300657</c:v>
                </c:pt>
                <c:pt idx="376">
                  <c:v>-155.91648621898537</c:v>
                </c:pt>
                <c:pt idx="377">
                  <c:v>-156.42285071355502</c:v>
                </c:pt>
                <c:pt idx="378">
                  <c:v>-156.92195949163354</c:v>
                </c:pt>
                <c:pt idx="379">
                  <c:v>-157.41384874144438</c:v>
                </c:pt>
                <c:pt idx="380">
                  <c:v>-157.89856333323445</c:v>
                </c:pt>
                <c:pt idx="381">
                  <c:v>-158.37615659724852</c:v>
                </c:pt>
                <c:pt idx="382">
                  <c:v>-158.84669011036777</c:v>
                </c:pt>
                <c:pt idx="383">
                  <c:v>-159.31023349368263</c:v>
                </c:pt>
                <c:pt idx="384">
                  <c:v>-159.76686422319392</c:v>
                </c:pt>
                <c:pt idx="385">
                  <c:v>-160.21666745577045</c:v>
                </c:pt>
                <c:pt idx="386">
                  <c:v>-160.65973587244196</c:v>
                </c:pt>
                <c:pt idx="387">
                  <c:v>-161.09616954105269</c:v>
                </c:pt>
                <c:pt idx="388">
                  <c:v>-161.52607580028049</c:v>
                </c:pt>
                <c:pt idx="389">
                  <c:v>-161.94956916700124</c:v>
                </c:pt>
                <c:pt idx="390">
                  <c:v>-162.36677126898633</c:v>
                </c:pt>
                <c:pt idx="391">
                  <c:v>-162.77781080493182</c:v>
                </c:pt>
                <c:pt idx="392">
                  <c:v>-163.18282353386527</c:v>
                </c:pt>
                <c:pt idx="393">
                  <c:v>-163.58195229602202</c:v>
                </c:pt>
                <c:pt idx="394">
                  <c:v>-163.97534706737892</c:v>
                </c:pt>
                <c:pt idx="395">
                  <c:v>-164.36316505012408</c:v>
                </c:pt>
                <c:pt idx="396">
                  <c:v>-164.74557080149</c:v>
                </c:pt>
                <c:pt idx="397">
                  <c:v>-165.12273640352217</c:v>
                </c:pt>
                <c:pt idx="398">
                  <c:v>-165.4948416765645</c:v>
                </c:pt>
                <c:pt idx="399">
                  <c:v>-165.86207443945381</c:v>
                </c:pt>
                <c:pt idx="400">
                  <c:v>-166.22463081969207</c:v>
                </c:pt>
                <c:pt idx="401">
                  <c:v>-166.58271561716168</c:v>
                </c:pt>
                <c:pt idx="402">
                  <c:v>-166.93654272530415</c:v>
                </c:pt>
                <c:pt idx="403">
                  <c:v>-167.28633561407406</c:v>
                </c:pt>
                <c:pt idx="404">
                  <c:v>-167.63232787944355</c:v>
                </c:pt>
                <c:pt idx="405">
                  <c:v>-167.97476386473974</c:v>
                </c:pt>
                <c:pt idx="406">
                  <c:v>-168.3138993596834</c:v>
                </c:pt>
                <c:pt idx="407">
                  <c:v>-168.65000238365741</c:v>
                </c:pt>
                <c:pt idx="408">
                  <c:v>-168.98335406047923</c:v>
                </c:pt>
                <c:pt idx="409">
                  <c:v>-169.31424959278607</c:v>
                </c:pt>
                <c:pt idx="410">
                  <c:v>-169.64299934510237</c:v>
                </c:pt>
                <c:pt idx="411">
                  <c:v>-169.96993004572101</c:v>
                </c:pt>
                <c:pt idx="412">
                  <c:v>-170.29538611874884</c:v>
                </c:pt>
                <c:pt idx="413">
                  <c:v>-170.61973115902853</c:v>
                </c:pt>
                <c:pt idx="414">
                  <c:v>-170.94334956420244</c:v>
                </c:pt>
                <c:pt idx="415">
                  <c:v>-171.26664833993107</c:v>
                </c:pt>
                <c:pt idx="416">
                  <c:v>-171.59005909625566</c:v>
                </c:pt>
                <c:pt idx="417">
                  <c:v>-171.91404025534521</c:v>
                </c:pt>
                <c:pt idx="418">
                  <c:v>-172.23907949340631</c:v>
                </c:pt>
                <c:pt idx="419">
                  <c:v>-172.56569644241208</c:v>
                </c:pt>
                <c:pt idx="420">
                  <c:v>-172.89444568058391</c:v>
                </c:pt>
                <c:pt idx="421">
                  <c:v>-173.22592004426696</c:v>
                </c:pt>
                <c:pt idx="422">
                  <c:v>-173.56075429804628</c:v>
                </c:pt>
                <c:pt idx="423">
                  <c:v>-173.89962920473855</c:v>
                </c:pt>
                <c:pt idx="424">
                  <c:v>-174.24327604230785</c:v>
                </c:pt>
                <c:pt idx="425">
                  <c:v>-174.59248162091359</c:v>
                </c:pt>
                <c:pt idx="426">
                  <c:v>-174.94809386025156</c:v>
                </c:pt>
                <c:pt idx="427">
                  <c:v>-175.31102799525004</c:v>
                </c:pt>
                <c:pt idx="428">
                  <c:v>-175.68227348705796</c:v>
                </c:pt>
                <c:pt idx="429">
                  <c:v>-176.06290172629735</c:v>
                </c:pt>
                <c:pt idx="430">
                  <c:v>-176.45407462678159</c:v>
                </c:pt>
                <c:pt idx="431">
                  <c:v>-176.85705422042196</c:v>
                </c:pt>
                <c:pt idx="432">
                  <c:v>-177.27321337795701</c:v>
                </c:pt>
                <c:pt idx="433">
                  <c:v>-177.70404779537094</c:v>
                </c:pt>
                <c:pt idx="434">
                  <c:v>-178.15118940240706</c:v>
                </c:pt>
                <c:pt idx="435">
                  <c:v>-178.61642136719973</c:v>
                </c:pt>
                <c:pt idx="436">
                  <c:v>-179.10169488934548</c:v>
                </c:pt>
                <c:pt idx="437">
                  <c:v>-179.60914799203505</c:v>
                </c:pt>
                <c:pt idx="438">
                  <c:v>-180.14112654104599</c:v>
                </c:pt>
                <c:pt idx="439">
                  <c:v>-180.70020773275695</c:v>
                </c:pt>
                <c:pt idx="440">
                  <c:v>-181.28922630220504</c:v>
                </c:pt>
                <c:pt idx="441">
                  <c:v>-181.91130370175316</c:v>
                </c:pt>
                <c:pt idx="442">
                  <c:v>-182.56988048541228</c:v>
                </c:pt>
                <c:pt idx="443">
                  <c:v>-183.26875209505624</c:v>
                </c:pt>
                <c:pt idx="444">
                  <c:v>-184.01210817096177</c:v>
                </c:pt>
                <c:pt idx="445">
                  <c:v>-184.80457538361381</c:v>
                </c:pt>
                <c:pt idx="446">
                  <c:v>-185.65126358337574</c:v>
                </c:pt>
                <c:pt idx="447">
                  <c:v>-186.55781475730032</c:v>
                </c:pt>
                <c:pt idx="448">
                  <c:v>-187.53045382438813</c:v>
                </c:pt>
                <c:pt idx="449">
                  <c:v>-188.57603963363516</c:v>
                </c:pt>
                <c:pt idx="450">
                  <c:v>-189.70211357714254</c:v>
                </c:pt>
                <c:pt idx="451">
                  <c:v>-190.91694189744237</c:v>
                </c:pt>
                <c:pt idx="452">
                  <c:v>-192.22954593922864</c:v>
                </c:pt>
                <c:pt idx="453">
                  <c:v>-193.64971214436022</c:v>
                </c:pt>
                <c:pt idx="454">
                  <c:v>-195.18797039727457</c:v>
                </c:pt>
                <c:pt idx="455">
                  <c:v>-196.85552532845981</c:v>
                </c:pt>
                <c:pt idx="456">
                  <c:v>-198.66412043838983</c:v>
                </c:pt>
                <c:pt idx="457">
                  <c:v>-200.62580973754169</c:v>
                </c:pt>
                <c:pt idx="458">
                  <c:v>-202.75260679764443</c:v>
                </c:pt>
                <c:pt idx="459">
                  <c:v>-205.05597819636466</c:v>
                </c:pt>
                <c:pt idx="460">
                  <c:v>-207.54614985351154</c:v>
                </c:pt>
                <c:pt idx="461">
                  <c:v>-210.23120442029483</c:v>
                </c:pt>
                <c:pt idx="462">
                  <c:v>-213.11597031133351</c:v>
                </c:pt>
                <c:pt idx="463">
                  <c:v>-216.20074248836124</c:v>
                </c:pt>
                <c:pt idx="464">
                  <c:v>-219.47993315776378</c:v>
                </c:pt>
                <c:pt idx="465">
                  <c:v>-222.94082166974098</c:v>
                </c:pt>
                <c:pt idx="466">
                  <c:v>-226.56264057295556</c:v>
                </c:pt>
                <c:pt idx="467">
                  <c:v>-230.31627037393949</c:v>
                </c:pt>
                <c:pt idx="468">
                  <c:v>-234.16478511296737</c:v>
                </c:pt>
                <c:pt idx="469">
                  <c:v>-238.06497181187041</c:v>
                </c:pt>
                <c:pt idx="470">
                  <c:v>-241.96974918017264</c:v>
                </c:pt>
                <c:pt idx="471">
                  <c:v>-245.83118806261334</c:v>
                </c:pt>
                <c:pt idx="472">
                  <c:v>-249.60366969595583</c:v>
                </c:pt>
                <c:pt idx="473">
                  <c:v>-253.2466779971582</c:v>
                </c:pt>
                <c:pt idx="474">
                  <c:v>-256.72682651170697</c:v>
                </c:pt>
                <c:pt idx="475">
                  <c:v>-260.0189236810773</c:v>
                </c:pt>
                <c:pt idx="476">
                  <c:v>-263.10610048420597</c:v>
                </c:pt>
                <c:pt idx="477">
                  <c:v>-265.97918986809498</c:v>
                </c:pt>
                <c:pt idx="478">
                  <c:v>-268.63562430847765</c:v>
                </c:pt>
                <c:pt idx="479">
                  <c:v>-271.0781137825233</c:v>
                </c:pt>
                <c:pt idx="480">
                  <c:v>-273.31331185051135</c:v>
                </c:pt>
                <c:pt idx="481">
                  <c:v>-275.35060540921245</c:v>
                </c:pt>
                <c:pt idx="482">
                  <c:v>-277.20109729016445</c:v>
                </c:pt>
                <c:pt idx="483">
                  <c:v>-278.87680123086193</c:v>
                </c:pt>
                <c:pt idx="484">
                  <c:v>-280.39003755667414</c:v>
                </c:pt>
                <c:pt idx="485">
                  <c:v>-281.75300197803182</c:v>
                </c:pt>
                <c:pt idx="486">
                  <c:v>-282.97747454213368</c:v>
                </c:pt>
                <c:pt idx="487">
                  <c:v>-284.07463669929484</c:v>
                </c:pt>
                <c:pt idx="488">
                  <c:v>-285.05496847709549</c:v>
                </c:pt>
                <c:pt idx="489">
                  <c:v>-285.92820286329078</c:v>
                </c:pt>
                <c:pt idx="490">
                  <c:v>-286.70331953499732</c:v>
                </c:pt>
                <c:pt idx="491">
                  <c:v>-287.38856449331314</c:v>
                </c:pt>
                <c:pt idx="492">
                  <c:v>-287.9914857866421</c:v>
                </c:pt>
                <c:pt idx="493">
                  <c:v>-288.51897834319124</c:v>
                </c:pt>
                <c:pt idx="494">
                  <c:v>-288.97733308135219</c:v>
                </c:pt>
                <c:pt idx="495">
                  <c:v>-289.3722870515241</c:v>
                </c:pt>
                <c:pt idx="496">
                  <c:v>-289.70907250707035</c:v>
                </c:pt>
                <c:pt idx="497">
                  <c:v>-289.99246361191894</c:v>
                </c:pt>
                <c:pt idx="498">
                  <c:v>-290.22682005460535</c:v>
                </c:pt>
                <c:pt idx="499">
                  <c:v>-290.41612722071909</c:v>
                </c:pt>
                <c:pt idx="500">
                  <c:v>-290.43687548546399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22-463D-81A0-68F554CF810C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92.143784022081235</c:v>
                </c:pt>
                <c:pt idx="1">
                  <c:v>92.105396716524325</c:v>
                </c:pt>
                <c:pt idx="2">
                  <c:v>92.068067667231105</c:v>
                </c:pt>
                <c:pt idx="3">
                  <c:v>92.031778228506425</c:v>
                </c:pt>
                <c:pt idx="4">
                  <c:v>91.99651026604721</c:v>
                </c:pt>
                <c:pt idx="5">
                  <c:v>91.962246148511483</c:v>
                </c:pt>
                <c:pt idx="6">
                  <c:v>91.928968739286944</c:v>
                </c:pt>
                <c:pt idx="7">
                  <c:v>91.896661388458611</c:v>
                </c:pt>
                <c:pt idx="8">
                  <c:v>91.865307924973578</c:v>
                </c:pt>
                <c:pt idx="9">
                  <c:v>91.834892649001901</c:v>
                </c:pt>
                <c:pt idx="10">
                  <c:v>91.805400324491487</c:v>
                </c:pt>
                <c:pt idx="11">
                  <c:v>91.776816171916138</c:v>
                </c:pt>
                <c:pt idx="12">
                  <c:v>91.749125861214168</c:v>
                </c:pt>
                <c:pt idx="13">
                  <c:v>91.722315504916367</c:v>
                </c:pt>
                <c:pt idx="14">
                  <c:v>91.696371651461007</c:v>
                </c:pt>
                <c:pt idx="15">
                  <c:v>91.671281278694508</c:v>
                </c:pt>
                <c:pt idx="16">
                  <c:v>91.647031787554894</c:v>
                </c:pt>
                <c:pt idx="17">
                  <c:v>91.623610995936801</c:v>
                </c:pt>
                <c:pt idx="18">
                  <c:v>91.601007132735475</c:v>
                </c:pt>
                <c:pt idx="19">
                  <c:v>91.579208832067565</c:v>
                </c:pt>
                <c:pt idx="20">
                  <c:v>91.558205127666767</c:v>
                </c:pt>
                <c:pt idx="21">
                  <c:v>91.537985447451788</c:v>
                </c:pt>
                <c:pt idx="22">
                  <c:v>91.518539608264419</c:v>
                </c:pt>
                <c:pt idx="23">
                  <c:v>91.499857810775381</c:v>
                </c:pt>
                <c:pt idx="24">
                  <c:v>91.481930634555653</c:v>
                </c:pt>
                <c:pt idx="25">
                  <c:v>91.464749033310525</c:v>
                </c:pt>
                <c:pt idx="26">
                  <c:v>91.448304330274368</c:v>
                </c:pt>
                <c:pt idx="27">
                  <c:v>91.432588213763125</c:v>
                </c:pt>
                <c:pt idx="28">
                  <c:v>91.417592732882397</c:v>
                </c:pt>
                <c:pt idx="29">
                  <c:v>91.40331029338796</c:v>
                </c:pt>
                <c:pt idx="30">
                  <c:v>91.38973365369695</c:v>
                </c:pt>
                <c:pt idx="31">
                  <c:v>91.37685592104566</c:v>
                </c:pt>
                <c:pt idx="32">
                  <c:v>91.364670547792585</c:v>
                </c:pt>
                <c:pt idx="33">
                  <c:v>91.353171327862711</c:v>
                </c:pt>
                <c:pt idx="34">
                  <c:v>91.342352393330998</c:v>
                </c:pt>
                <c:pt idx="35">
                  <c:v>91.332208211141278</c:v>
                </c:pt>
                <c:pt idx="36">
                  <c:v>91.322733579958253</c:v>
                </c:pt>
                <c:pt idx="37">
                  <c:v>91.31392362714854</c:v>
                </c:pt>
                <c:pt idx="38">
                  <c:v>91.305773805888492</c:v>
                </c:pt>
                <c:pt idx="39">
                  <c:v>91.298279892394433</c:v>
                </c:pt>
                <c:pt idx="40">
                  <c:v>91.291437983272559</c:v>
                </c:pt>
                <c:pt idx="41">
                  <c:v>91.285244492984219</c:v>
                </c:pt>
                <c:pt idx="42">
                  <c:v>91.279696151423494</c:v>
                </c:pt>
                <c:pt idx="43">
                  <c:v>91.274790001602398</c:v>
                </c:pt>
                <c:pt idx="44">
                  <c:v>91.270523397440087</c:v>
                </c:pt>
                <c:pt idx="45">
                  <c:v>91.26689400165175</c:v>
                </c:pt>
                <c:pt idx="46">
                  <c:v>91.263899783732441</c:v>
                </c:pt>
                <c:pt idx="47">
                  <c:v>91.261539018031243</c:v>
                </c:pt>
                <c:pt idx="48">
                  <c:v>91.259810281911172</c:v>
                </c:pt>
                <c:pt idx="49">
                  <c:v>91.258712453989048</c:v>
                </c:pt>
                <c:pt idx="50">
                  <c:v>91.258244712450207</c:v>
                </c:pt>
                <c:pt idx="51">
                  <c:v>91.258406533432591</c:v>
                </c:pt>
                <c:pt idx="52">
                  <c:v>91.259197689473368</c:v>
                </c:pt>
                <c:pt idx="53">
                  <c:v>91.26061824801242</c:v>
                </c:pt>
                <c:pt idx="54">
                  <c:v>91.262668569945689</c:v>
                </c:pt>
                <c:pt idx="55">
                  <c:v>91.265349308221005</c:v>
                </c:pt>
                <c:pt idx="56">
                  <c:v>91.268661406469064</c:v>
                </c:pt>
                <c:pt idx="57">
                  <c:v>91.272606097661452</c:v>
                </c:pt>
                <c:pt idx="58">
                  <c:v>91.277184902787212</c:v>
                </c:pt>
                <c:pt idx="59">
                  <c:v>91.282399629538688</c:v>
                </c:pt>
                <c:pt idx="60">
                  <c:v>91.288252370997455</c:v>
                </c:pt>
                <c:pt idx="61">
                  <c:v>91.294745504309674</c:v>
                </c:pt>
                <c:pt idx="62">
                  <c:v>91.301881689340377</c:v>
                </c:pt>
                <c:pt idx="63">
                  <c:v>91.309663867295001</c:v>
                </c:pt>
                <c:pt idx="64">
                  <c:v>91.318095259295802</c:v>
                </c:pt>
                <c:pt idx="65">
                  <c:v>91.327179364900445</c:v>
                </c:pt>
                <c:pt idx="66">
                  <c:v>91.336919960548485</c:v>
                </c:pt>
                <c:pt idx="67">
                  <c:v>91.347321097921352</c:v>
                </c:pt>
                <c:pt idx="68">
                  <c:v>91.358387102199686</c:v>
                </c:pt>
                <c:pt idx="69">
                  <c:v>91.370122570201985</c:v>
                </c:pt>
                <c:pt idx="70">
                  <c:v>91.38253236838608</c:v>
                </c:pt>
                <c:pt idx="71">
                  <c:v>91.395621630694919</c:v>
                </c:pt>
                <c:pt idx="72">
                  <c:v>91.409395756226587</c:v>
                </c:pt>
                <c:pt idx="73">
                  <c:v>91.423860406706723</c:v>
                </c:pt>
                <c:pt idx="74">
                  <c:v>91.439021503741344</c:v>
                </c:pt>
                <c:pt idx="75">
                  <c:v>91.454885225824782</c:v>
                </c:pt>
                <c:pt idx="76">
                  <c:v>91.471458005078247</c:v>
                </c:pt>
                <c:pt idx="77">
                  <c:v>91.488746523690608</c:v>
                </c:pt>
                <c:pt idx="78">
                  <c:v>91.506757710033014</c:v>
                </c:pt>
                <c:pt idx="79">
                  <c:v>91.525498734416189</c:v>
                </c:pt>
                <c:pt idx="80">
                  <c:v>91.544977004457806</c:v>
                </c:pt>
                <c:pt idx="81">
                  <c:v>91.565200160025043</c:v>
                </c:pt>
                <c:pt idx="82">
                  <c:v>91.586176067715641</c:v>
                </c:pt>
                <c:pt idx="83">
                  <c:v>91.607912814838173</c:v>
                </c:pt>
                <c:pt idx="84">
                  <c:v>91.630418702850349</c:v>
                </c:pt>
                <c:pt idx="85">
                  <c:v>91.653702240211231</c:v>
                </c:pt>
                <c:pt idx="86">
                  <c:v>91.677772134601241</c:v>
                </c:pt>
                <c:pt idx="87">
                  <c:v>91.702637284460536</c:v>
                </c:pt>
                <c:pt idx="88">
                  <c:v>91.728306769794102</c:v>
                </c:pt>
                <c:pt idx="89">
                  <c:v>91.754789842188501</c:v>
                </c:pt>
                <c:pt idx="90">
                  <c:v>91.782095913983085</c:v>
                </c:pt>
                <c:pt idx="91">
                  <c:v>91.810234546532953</c:v>
                </c:pt>
                <c:pt idx="92">
                  <c:v>91.839215437501963</c:v>
                </c:pt>
                <c:pt idx="93">
                  <c:v>91.869048407114974</c:v>
                </c:pt>
                <c:pt idx="94">
                  <c:v>91.899743383301114</c:v>
                </c:pt>
                <c:pt idx="95">
                  <c:v>91.931310385650903</c:v>
                </c:pt>
                <c:pt idx="96">
                  <c:v>91.963759508109803</c:v>
                </c:pt>
                <c:pt idx="97">
                  <c:v>91.997100900325563</c:v>
                </c:pt>
                <c:pt idx="98">
                  <c:v>92.031344747563466</c:v>
                </c:pt>
                <c:pt idx="99">
                  <c:v>92.066501249098167</c:v>
                </c:pt>
                <c:pt idx="100">
                  <c:v>92.102580594989576</c:v>
                </c:pt>
                <c:pt idx="101">
                  <c:v>92.139592941143377</c:v>
                </c:pt>
                <c:pt idx="102">
                  <c:v>92.177548382553582</c:v>
                </c:pt>
                <c:pt idx="103">
                  <c:v>92.216456924623316</c:v>
                </c:pt>
                <c:pt idx="104">
                  <c:v>92.256328452450191</c:v>
                </c:pt>
                <c:pt idx="105">
                  <c:v>92.297172697965522</c:v>
                </c:pt>
                <c:pt idx="106">
                  <c:v>92.338999204806498</c:v>
                </c:pt>
                <c:pt idx="107">
                  <c:v>92.381817290803525</c:v>
                </c:pt>
                <c:pt idx="108">
                  <c:v>92.425636007954708</c:v>
                </c:pt>
                <c:pt idx="109">
                  <c:v>92.470464099761884</c:v>
                </c:pt>
                <c:pt idx="110">
                  <c:v>92.516309955797453</c:v>
                </c:pt>
                <c:pt idx="111">
                  <c:v>92.563181563369028</c:v>
                </c:pt>
                <c:pt idx="112">
                  <c:v>92.61108645614668</c:v>
                </c:pt>
                <c:pt idx="113">
                  <c:v>92.66003165961979</c:v>
                </c:pt>
                <c:pt idx="114">
                  <c:v>92.710023633243651</c:v>
                </c:pt>
                <c:pt idx="115">
                  <c:v>92.761068209144184</c:v>
                </c:pt>
                <c:pt idx="116">
                  <c:v>92.813170527240914</c:v>
                </c:pt>
                <c:pt idx="117">
                  <c:v>92.866334966661825</c:v>
                </c:pt>
                <c:pt idx="118">
                  <c:v>92.920565073315373</c:v>
                </c:pt>
                <c:pt idx="119">
                  <c:v>92.975863483499026</c:v>
                </c:pt>
                <c:pt idx="120">
                  <c:v>93.032231843424427</c:v>
                </c:pt>
                <c:pt idx="121">
                  <c:v>93.089670724549279</c:v>
                </c:pt>
                <c:pt idx="122">
                  <c:v>93.148179534614783</c:v>
                </c:pt>
                <c:pt idx="123">
                  <c:v>93.20775642430047</c:v>
                </c:pt>
                <c:pt idx="124">
                  <c:v>93.268398189418747</c:v>
                </c:pt>
                <c:pt idx="125">
                  <c:v>93.330100168593177</c:v>
                </c:pt>
                <c:pt idx="126">
                  <c:v>93.3928561363781</c:v>
                </c:pt>
                <c:pt idx="127">
                  <c:v>93.456658191800045</c:v>
                </c:pt>
                <c:pt idx="128">
                  <c:v>93.521496642329524</c:v>
                </c:pt>
                <c:pt idx="129">
                  <c:v>93.587359883316694</c:v>
                </c:pt>
                <c:pt idx="130">
                  <c:v>93.654234272954298</c:v>
                </c:pt>
                <c:pt idx="131">
                  <c:v>93.722104002869528</c:v>
                </c:pt>
                <c:pt idx="132">
                  <c:v>93.790950964487593</c:v>
                </c:pt>
                <c:pt idx="133">
                  <c:v>93.860754611343395</c:v>
                </c:pt>
                <c:pt idx="134">
                  <c:v>93.931491817579101</c:v>
                </c:pt>
                <c:pt idx="135">
                  <c:v>94.003136732902959</c:v>
                </c:pt>
                <c:pt idx="136">
                  <c:v>94.075660634352033</c:v>
                </c:pt>
                <c:pt idx="137">
                  <c:v>94.149031775255537</c:v>
                </c:pt>
                <c:pt idx="138">
                  <c:v>94.223215231863875</c:v>
                </c:pt>
                <c:pt idx="139">
                  <c:v>94.298172748177677</c:v>
                </c:pt>
                <c:pt idx="140">
                  <c:v>94.373862579584298</c:v>
                </c:pt>
                <c:pt idx="141">
                  <c:v>94.45023933598911</c:v>
                </c:pt>
                <c:pt idx="142">
                  <c:v>94.527253825209314</c:v>
                </c:pt>
                <c:pt idx="143">
                  <c:v>94.604852897486452</c:v>
                </c:pt>
                <c:pt idx="144">
                  <c:v>94.682979292059144</c:v>
                </c:pt>
                <c:pt idx="145">
                  <c:v>94.761571486828245</c:v>
                </c:pt>
                <c:pt idx="146">
                  <c:v>94.840563552246266</c:v>
                </c:pt>
                <c:pt idx="147">
                  <c:v>94.919885010642901</c:v>
                </c:pt>
                <c:pt idx="148">
                  <c:v>94.999460702305328</c:v>
                </c:pt>
                <c:pt idx="149">
                  <c:v>95.079210659710711</c:v>
                </c:pt>
                <c:pt idx="150">
                  <c:v>95.159049991407073</c:v>
                </c:pt>
                <c:pt idx="151">
                  <c:v>95.238888777110205</c:v>
                </c:pt>
                <c:pt idx="152">
                  <c:v>95.318631975673497</c:v>
                </c:pt>
                <c:pt idx="153">
                  <c:v>95.39817934764551</c:v>
                </c:pt>
                <c:pt idx="154">
                  <c:v>95.477425394198008</c:v>
                </c:pt>
                <c:pt idx="155">
                  <c:v>95.556259314243533</c:v>
                </c:pt>
                <c:pt idx="156">
                  <c:v>95.63456498160393</c:v>
                </c:pt>
                <c:pt idx="157">
                  <c:v>95.712220944097794</c:v>
                </c:pt>
                <c:pt idx="158">
                  <c:v>95.789100446413457</c:v>
                </c:pt>
                <c:pt idx="159">
                  <c:v>95.865071478610318</c:v>
                </c:pt>
                <c:pt idx="160">
                  <c:v>95.939996852037098</c:v>
                </c:pt>
                <c:pt idx="161">
                  <c:v>96.013734304385338</c:v>
                </c:pt>
                <c:pt idx="162">
                  <c:v>96.086136635487264</c:v>
                </c:pt>
                <c:pt idx="163">
                  <c:v>96.157051875340699</c:v>
                </c:pt>
                <c:pt idx="164">
                  <c:v>96.226323485669937</c:v>
                </c:pt>
                <c:pt idx="165">
                  <c:v>96.293790596147304</c:v>
                </c:pt>
                <c:pt idx="166">
                  <c:v>96.359288276156221</c:v>
                </c:pt>
                <c:pt idx="167">
                  <c:v>96.422647842730015</c:v>
                </c:pt>
                <c:pt idx="168">
                  <c:v>96.483697204988488</c:v>
                </c:pt>
                <c:pt idx="169">
                  <c:v>96.54226124508763</c:v>
                </c:pt>
                <c:pt idx="170">
                  <c:v>96.59816223532367</c:v>
                </c:pt>
                <c:pt idx="171">
                  <c:v>96.651220290667183</c:v>
                </c:pt>
                <c:pt idx="172">
                  <c:v>96.701253855588291</c:v>
                </c:pt>
                <c:pt idx="173">
                  <c:v>96.748080223609307</c:v>
                </c:pt>
                <c:pt idx="174">
                  <c:v>96.791516087596975</c:v>
                </c:pt>
                <c:pt idx="175">
                  <c:v>96.831378118341718</c:v>
                </c:pt>
                <c:pt idx="176">
                  <c:v>96.86748356853937</c:v>
                </c:pt>
                <c:pt idx="177">
                  <c:v>96.899650898840477</c:v>
                </c:pt>
                <c:pt idx="178">
                  <c:v>96.927700422211174</c:v>
                </c:pt>
                <c:pt idx="179">
                  <c:v>96.951454962437737</c:v>
                </c:pt>
                <c:pt idx="180">
                  <c:v>96.970740522221675</c:v>
                </c:pt>
                <c:pt idx="181">
                  <c:v>96.98538695599558</c:v>
                </c:pt>
                <c:pt idx="182">
                  <c:v>96.995228642260798</c:v>
                </c:pt>
                <c:pt idx="183">
                  <c:v>97.000105150041293</c:v>
                </c:pt>
                <c:pt idx="184">
                  <c:v>96.999861893832161</c:v>
                </c:pt>
                <c:pt idx="185">
                  <c:v>96.994350771342809</c:v>
                </c:pt>
                <c:pt idx="186">
                  <c:v>96.983430778255936</c:v>
                </c:pt>
                <c:pt idx="187">
                  <c:v>96.966968594280559</c:v>
                </c:pt>
                <c:pt idx="188">
                  <c:v>96.944839134884006</c:v>
                </c:pt>
                <c:pt idx="189">
                  <c:v>96.916926063268676</c:v>
                </c:pt>
                <c:pt idx="190">
                  <c:v>96.883122257449799</c:v>
                </c:pt>
                <c:pt idx="191">
                  <c:v>96.843330227618594</c:v>
                </c:pt>
                <c:pt idx="192">
                  <c:v>96.797462479421128</c:v>
                </c:pt>
                <c:pt idx="193">
                  <c:v>96.745441819257167</c:v>
                </c:pt>
                <c:pt idx="194">
                  <c:v>96.687201598275408</c:v>
                </c:pt>
                <c:pt idx="195">
                  <c:v>96.622685892336989</c:v>
                </c:pt>
                <c:pt idx="196">
                  <c:v>96.55184961588219</c:v>
                </c:pt>
                <c:pt idx="197">
                  <c:v>96.474658568330028</c:v>
                </c:pt>
                <c:pt idx="198">
                  <c:v>96.391089412335162</c:v>
                </c:pt>
                <c:pt idx="199">
                  <c:v>96.301129583968361</c:v>
                </c:pt>
                <c:pt idx="200">
                  <c:v>96.204777135597155</c:v>
                </c:pt>
                <c:pt idx="201">
                  <c:v>96.10204051295915</c:v>
                </c:pt>
                <c:pt idx="202">
                  <c:v>95.992938268601762</c:v>
                </c:pt>
                <c:pt idx="203">
                  <c:v>95.877498714510637</c:v>
                </c:pt>
                <c:pt idx="204">
                  <c:v>95.75575951735334</c:v>
                </c:pt>
                <c:pt idx="205">
                  <c:v>95.627767240309822</c:v>
                </c:pt>
                <c:pt idx="206">
                  <c:v>95.493576835937887</c:v>
                </c:pt>
                <c:pt idx="207">
                  <c:v>95.353251094951901</c:v>
                </c:pt>
                <c:pt idx="208">
                  <c:v>95.206860056106407</c:v>
                </c:pt>
                <c:pt idx="209">
                  <c:v>95.054480382657957</c:v>
                </c:pt>
                <c:pt idx="210">
                  <c:v>94.896194711039982</c:v>
                </c:pt>
                <c:pt idx="211">
                  <c:v>94.732090977497108</c:v>
                </c:pt>
                <c:pt idx="212">
                  <c:v>94.562261728448192</c:v>
                </c:pt>
                <c:pt idx="213">
                  <c:v>94.386803420267967</c:v>
                </c:pt>
                <c:pt idx="214">
                  <c:v>94.20581571409403</c:v>
                </c:pt>
                <c:pt idx="215">
                  <c:v>94.019400771033659</c:v>
                </c:pt>
                <c:pt idx="216">
                  <c:v>93.827662552922476</c:v>
                </c:pt>
                <c:pt idx="217">
                  <c:v>93.630706133471051</c:v>
                </c:pt>
                <c:pt idx="218">
                  <c:v>93.428637024299078</c:v>
                </c:pt>
                <c:pt idx="219">
                  <c:v>93.22156051996302</c:v>
                </c:pt>
                <c:pt idx="220">
                  <c:v>93.009581065687655</c:v>
                </c:pt>
                <c:pt idx="221">
                  <c:v>92.792801651069738</c:v>
                </c:pt>
                <c:pt idx="222">
                  <c:v>92.571323232589421</c:v>
                </c:pt>
                <c:pt idx="223">
                  <c:v>92.345244187314321</c:v>
                </c:pt>
                <c:pt idx="224">
                  <c:v>92.114659799745979</c:v>
                </c:pt>
                <c:pt idx="225">
                  <c:v>91.879661783309757</c:v>
                </c:pt>
                <c:pt idx="226">
                  <c:v>91.640337837592099</c:v>
                </c:pt>
                <c:pt idx="227">
                  <c:v>91.396771242012079</c:v>
                </c:pt>
                <c:pt idx="228">
                  <c:v>91.149040486246903</c:v>
                </c:pt>
                <c:pt idx="229">
                  <c:v>90.897218937385233</c:v>
                </c:pt>
                <c:pt idx="230">
                  <c:v>90.641374543458099</c:v>
                </c:pt>
                <c:pt idx="231">
                  <c:v>90.381569572718803</c:v>
                </c:pt>
                <c:pt idx="232">
                  <c:v>90.117860387781818</c:v>
                </c:pt>
                <c:pt idx="233">
                  <c:v>89.850297253514967</c:v>
                </c:pt>
                <c:pt idx="234">
                  <c:v>89.578924177395024</c:v>
                </c:pt>
                <c:pt idx="235">
                  <c:v>89.303778780865784</c:v>
                </c:pt>
                <c:pt idx="236">
                  <c:v>89.024892200142915</c:v>
                </c:pt>
                <c:pt idx="237">
                  <c:v>88.742289014780468</c:v>
                </c:pt>
                <c:pt idx="238">
                  <c:v>88.455987202276788</c:v>
                </c:pt>
                <c:pt idx="239">
                  <c:v>88.165998116942177</c:v>
                </c:pt>
                <c:pt idx="240">
                  <c:v>87.872326491231703</c:v>
                </c:pt>
                <c:pt idx="241">
                  <c:v>87.574970457767691</c:v>
                </c:pt>
                <c:pt idx="242">
                  <c:v>87.273921590277098</c:v>
                </c:pt>
                <c:pt idx="243">
                  <c:v>86.969164961729248</c:v>
                </c:pt>
                <c:pt idx="244">
                  <c:v>86.660679218002358</c:v>
                </c:pt>
                <c:pt idx="245">
                  <c:v>86.348436665480989</c:v>
                </c:pt>
                <c:pt idx="246">
                  <c:v>86.032403371055651</c:v>
                </c:pt>
                <c:pt idx="247">
                  <c:v>85.712539273095629</c:v>
                </c:pt>
                <c:pt idx="248">
                  <c:v>85.388798302041522</c:v>
                </c:pt>
                <c:pt idx="249">
                  <c:v>85.061128509369865</c:v>
                </c:pt>
                <c:pt idx="250">
                  <c:v>84.729472203784965</c:v>
                </c:pt>
                <c:pt idx="251">
                  <c:v>84.393766093580581</c:v>
                </c:pt>
                <c:pt idx="252">
                  <c:v>84.053941434233408</c:v>
                </c:pt>
                <c:pt idx="253">
                  <c:v>83.709924180379318</c:v>
                </c:pt>
                <c:pt idx="254">
                  <c:v>83.361635141425566</c:v>
                </c:pt>
                <c:pt idx="255">
                  <c:v>83.008990140157564</c:v>
                </c:pt>
                <c:pt idx="256">
                  <c:v>82.651900173781939</c:v>
                </c:pt>
                <c:pt idx="257">
                  <c:v>82.29027157694884</c:v>
                </c:pt>
                <c:pt idx="258">
                  <c:v>81.924006186379629</c:v>
                </c:pt>
                <c:pt idx="259">
                  <c:v>81.553001506812507</c:v>
                </c:pt>
                <c:pt idx="260">
                  <c:v>81.177150878055045</c:v>
                </c:pt>
                <c:pt idx="261">
                  <c:v>80.796343643009777</c:v>
                </c:pt>
                <c:pt idx="262">
                  <c:v>80.410465316610015</c:v>
                </c:pt>
                <c:pt idx="263">
                  <c:v>80.019397755665295</c:v>
                </c:pt>
                <c:pt idx="264">
                  <c:v>79.623019329682165</c:v>
                </c:pt>
                <c:pt idx="265">
                  <c:v>79.221205092776273</c:v>
                </c:pt>
                <c:pt idx="266">
                  <c:v>78.813826956848132</c:v>
                </c:pt>
                <c:pt idx="267">
                  <c:v>78.400753866239199</c:v>
                </c:pt>
                <c:pt idx="268">
                  <c:v>77.981851974129128</c:v>
                </c:pt>
                <c:pt idx="269">
                  <c:v>77.556984820972247</c:v>
                </c:pt>
                <c:pt idx="270">
                  <c:v>77.126013515303299</c:v>
                </c:pt>
                <c:pt idx="271">
                  <c:v>76.688796917273379</c:v>
                </c:pt>
                <c:pt idx="272">
                  <c:v>76.245191825303067</c:v>
                </c:pt>
                <c:pt idx="273">
                  <c:v>75.795053166255215</c:v>
                </c:pt>
                <c:pt idx="274">
                  <c:v>75.338234189551798</c:v>
                </c:pt>
                <c:pt idx="275">
                  <c:v>74.874586665663017</c:v>
                </c:pt>
                <c:pt idx="276">
                  <c:v>74.403961089412178</c:v>
                </c:pt>
                <c:pt idx="277">
                  <c:v>73.926206888536342</c:v>
                </c:pt>
                <c:pt idx="278">
                  <c:v>73.44117263794196</c:v>
                </c:pt>
                <c:pt idx="279">
                  <c:v>72.948706280090761</c:v>
                </c:pt>
                <c:pt idx="280">
                  <c:v>72.448655351926632</c:v>
                </c:pt>
                <c:pt idx="281">
                  <c:v>71.940867218761625</c:v>
                </c:pt>
                <c:pt idx="282">
                  <c:v>71.425189315486293</c:v>
                </c:pt>
                <c:pt idx="283">
                  <c:v>70.901469395465952</c:v>
                </c:pt>
                <c:pt idx="284">
                  <c:v>70.369555787439566</c:v>
                </c:pt>
                <c:pt idx="285">
                  <c:v>69.829297660695048</c:v>
                </c:pt>
                <c:pt idx="286">
                  <c:v>69.280545298762718</c:v>
                </c:pt>
                <c:pt idx="287">
                  <c:v>68.723150381802029</c:v>
                </c:pt>
                <c:pt idx="288">
                  <c:v>68.156966277802695</c:v>
                </c:pt>
                <c:pt idx="289">
                  <c:v>67.581848342662525</c:v>
                </c:pt>
                <c:pt idx="290">
                  <c:v>66.997654229126297</c:v>
                </c:pt>
                <c:pt idx="291">
                  <c:v>66.404244204487952</c:v>
                </c:pt>
                <c:pt idx="292">
                  <c:v>65.801481476880937</c:v>
                </c:pt>
                <c:pt idx="293">
                  <c:v>65.189232529885231</c:v>
                </c:pt>
                <c:pt idx="294">
                  <c:v>64.567367465080451</c:v>
                </c:pt>
                <c:pt idx="295">
                  <c:v>63.935760352068968</c:v>
                </c:pt>
                <c:pt idx="296">
                  <c:v>63.294289585382828</c:v>
                </c:pt>
                <c:pt idx="297">
                  <c:v>62.64283824757193</c:v>
                </c:pt>
                <c:pt idx="298">
                  <c:v>61.981294477645918</c:v>
                </c:pt>
                <c:pt idx="299">
                  <c:v>61.309551843922932</c:v>
                </c:pt>
                <c:pt idx="300">
                  <c:v>60.627509720201203</c:v>
                </c:pt>
                <c:pt idx="301">
                  <c:v>59.935073664044268</c:v>
                </c:pt>
                <c:pt idx="302">
                  <c:v>59.232155795835084</c:v>
                </c:pt>
                <c:pt idx="303">
                  <c:v>58.518675177126624</c:v>
                </c:pt>
                <c:pt idx="304">
                  <c:v>57.7945581866814</c:v>
                </c:pt>
                <c:pt idx="305">
                  <c:v>57.059738892471557</c:v>
                </c:pt>
                <c:pt idx="306">
                  <c:v>56.314159417790648</c:v>
                </c:pt>
                <c:pt idx="307">
                  <c:v>55.557770299514772</c:v>
                </c:pt>
                <c:pt idx="308">
                  <c:v>54.790530836448895</c:v>
                </c:pt>
                <c:pt idx="309">
                  <c:v>54.012409425614209</c:v>
                </c:pt>
                <c:pt idx="310">
                  <c:v>53.223383884239738</c:v>
                </c:pt>
                <c:pt idx="311">
                  <c:v>52.423441755190041</c:v>
                </c:pt>
                <c:pt idx="312">
                  <c:v>51.612580593500908</c:v>
                </c:pt>
                <c:pt idx="313">
                  <c:v>50.790808231698435</c:v>
                </c:pt>
                <c:pt idx="314">
                  <c:v>49.958143021578067</c:v>
                </c:pt>
                <c:pt idx="315">
                  <c:v>49.114614050163297</c:v>
                </c:pt>
                <c:pt idx="316">
                  <c:v>48.260261327627092</c:v>
                </c:pt>
                <c:pt idx="317">
                  <c:v>47.395135945054179</c:v>
                </c:pt>
                <c:pt idx="318">
                  <c:v>46.519300200061735</c:v>
                </c:pt>
                <c:pt idx="319">
                  <c:v>45.632827688440571</c:v>
                </c:pt>
                <c:pt idx="320">
                  <c:v>44.735803360186296</c:v>
                </c:pt>
                <c:pt idx="321">
                  <c:v>43.828323538511683</c:v>
                </c:pt>
                <c:pt idx="322">
                  <c:v>42.910495900685106</c:v>
                </c:pt>
                <c:pt idx="323">
                  <c:v>41.982439419835416</c:v>
                </c:pt>
                <c:pt idx="324">
                  <c:v>41.044284267171832</c:v>
                </c:pt>
                <c:pt idx="325">
                  <c:v>40.096171674414776</c:v>
                </c:pt>
                <c:pt idx="326">
                  <c:v>39.138253756589449</c:v>
                </c:pt>
                <c:pt idx="327">
                  <c:v>38.170693295714358</c:v>
                </c:pt>
                <c:pt idx="328">
                  <c:v>37.193663486310413</c:v>
                </c:pt>
                <c:pt idx="329">
                  <c:v>36.207347644050927</c:v>
                </c:pt>
                <c:pt idx="330">
                  <c:v>35.211938879266896</c:v>
                </c:pt>
                <c:pt idx="331">
                  <c:v>34.207639737421573</c:v>
                </c:pt>
                <c:pt idx="332">
                  <c:v>33.194661809040781</c:v>
                </c:pt>
                <c:pt idx="333">
                  <c:v>32.173225311944805</c:v>
                </c:pt>
                <c:pt idx="334">
                  <c:v>31.143558648963932</c:v>
                </c:pt>
                <c:pt idx="335">
                  <c:v>30.105897944620864</c:v>
                </c:pt>
                <c:pt idx="336">
                  <c:v>29.060486564518271</c:v>
                </c:pt>
                <c:pt idx="337">
                  <c:v>28.007574621386055</c:v>
                </c:pt>
                <c:pt idx="338">
                  <c:v>26.947418471916876</c:v>
                </c:pt>
                <c:pt idx="339">
                  <c:v>25.880280208616455</c:v>
                </c:pt>
                <c:pt idx="340">
                  <c:v>24.806427150951436</c:v>
                </c:pt>
                <c:pt idx="341">
                  <c:v>23.726131340071561</c:v>
                </c:pt>
                <c:pt idx="342">
                  <c:v>22.639669041300323</c:v>
                </c:pt>
                <c:pt idx="343">
                  <c:v>21.547320258464566</c:v>
                </c:pt>
                <c:pt idx="344">
                  <c:v>20.449368263922167</c:v>
                </c:pt>
                <c:pt idx="345">
                  <c:v>19.346099147898855</c:v>
                </c:pt>
                <c:pt idx="346">
                  <c:v>18.237801390427393</c:v>
                </c:pt>
                <c:pt idx="347">
                  <c:v>17.124765458798578</c:v>
                </c:pt>
                <c:pt idx="348">
                  <c:v>16.00728343304425</c:v>
                </c:pt>
                <c:pt idx="349">
                  <c:v>14.885648661488943</c:v>
                </c:pt>
                <c:pt idx="350">
                  <c:v>13.760155447922756</c:v>
                </c:pt>
                <c:pt idx="351">
                  <c:v>12.631098771438388</c:v>
                </c:pt>
                <c:pt idx="352">
                  <c:v>11.498774039411302</c:v>
                </c:pt>
                <c:pt idx="353">
                  <c:v>10.363476873585796</c:v>
                </c:pt>
                <c:pt idx="354">
                  <c:v>9.2255029286513661</c:v>
                </c:pt>
                <c:pt idx="355">
                  <c:v>8.0851477421727793</c:v>
                </c:pt>
                <c:pt idx="356">
                  <c:v>6.9427066141896319</c:v>
                </c:pt>
                <c:pt idx="357">
                  <c:v>5.798474514323118</c:v>
                </c:pt>
                <c:pt idx="358">
                  <c:v>4.6527460137423873</c:v>
                </c:pt>
                <c:pt idx="359">
                  <c:v>3.5058152389140389</c:v>
                </c:pt>
                <c:pt idx="360">
                  <c:v>2.3579758436840734</c:v>
                </c:pt>
                <c:pt idx="361">
                  <c:v>1.2095209959067859</c:v>
                </c:pt>
                <c:pt idx="362">
                  <c:v>6.0743374562832742E-2</c:v>
                </c:pt>
                <c:pt idx="363">
                  <c:v>-1.0880648269071571</c:v>
                </c:pt>
                <c:pt idx="364">
                  <c:v>-2.2366118954575995</c:v>
                </c:pt>
                <c:pt idx="365">
                  <c:v>-3.3846065959848488</c:v>
                </c:pt>
                <c:pt idx="366">
                  <c:v>-4.5317581760575933</c:v>
                </c:pt>
                <c:pt idx="367">
                  <c:v>-5.677776382294411</c:v>
                </c:pt>
                <c:pt idx="368">
                  <c:v>-6.8223714926894843</c:v>
                </c:pt>
                <c:pt idx="369">
                  <c:v>-7.9652543690445157</c:v>
                </c:pt>
                <c:pt idx="370">
                  <c:v>-9.1061365333777928</c:v>
                </c:pt>
                <c:pt idx="371">
                  <c:v>-10.244730271897623</c:v>
                </c:pt>
                <c:pt idx="372">
                  <c:v>-11.380748769771827</c:v>
                </c:pt>
                <c:pt idx="373">
                  <c:v>-12.513906279511218</c:v>
                </c:pt>
                <c:pt idx="374">
                  <c:v>-13.643918325358385</c:v>
                </c:pt>
                <c:pt idx="375">
                  <c:v>-14.770501945600984</c:v>
                </c:pt>
                <c:pt idx="376">
                  <c:v>-15.89337597423571</c:v>
                </c:pt>
                <c:pt idx="377">
                  <c:v>-17.012261362913648</c:v>
                </c:pt>
                <c:pt idx="378">
                  <c:v>-18.126881543580083</c:v>
                </c:pt>
                <c:pt idx="379">
                  <c:v>-19.236962831724554</c:v>
                </c:pt>
                <c:pt idx="380">
                  <c:v>-20.342234869676474</c:v>
                </c:pt>
                <c:pt idx="381">
                  <c:v>-21.442431108900422</c:v>
                </c:pt>
                <c:pt idx="382">
                  <c:v>-22.537289329828582</c:v>
                </c:pt>
                <c:pt idx="383">
                  <c:v>-23.626552197362514</c:v>
                </c:pt>
                <c:pt idx="384">
                  <c:v>-24.709967849839927</c:v>
                </c:pt>
                <c:pt idx="385">
                  <c:v>-25.787290518964767</c:v>
                </c:pt>
                <c:pt idx="386">
                  <c:v>-26.858281177967655</c:v>
                </c:pt>
                <c:pt idx="387">
                  <c:v>-27.922708215103114</c:v>
                </c:pt>
                <c:pt idx="388">
                  <c:v>-28.980348129484383</c:v>
                </c:pt>
                <c:pt idx="389">
                  <c:v>-30.030986246234988</c:v>
                </c:pt>
                <c:pt idx="390">
                  <c:v>-31.074417447985383</c:v>
                </c:pt>
                <c:pt idx="391">
                  <c:v>-32.11044691985586</c:v>
                </c:pt>
                <c:pt idx="392">
                  <c:v>-33.13889090527735</c:v>
                </c:pt>
                <c:pt idx="393">
                  <c:v>-34.159577470246461</c:v>
                </c:pt>
                <c:pt idx="394">
                  <c:v>-35.17234727397863</c:v>
                </c:pt>
                <c:pt idx="395">
                  <c:v>-36.177054344296749</c:v>
                </c:pt>
                <c:pt idx="396">
                  <c:v>-37.173566856592601</c:v>
                </c:pt>
                <c:pt idx="397">
                  <c:v>-38.161767915704587</c:v>
                </c:pt>
                <c:pt idx="398">
                  <c:v>-39.141556340667876</c:v>
                </c:pt>
                <c:pt idx="399">
                  <c:v>-40.112847452910017</c:v>
                </c:pt>
                <c:pt idx="400">
                  <c:v>-41.07557386918171</c:v>
                </c:pt>
                <c:pt idx="401">
                  <c:v>-42.029686301230825</c:v>
                </c:pt>
                <c:pt idx="402">
                  <c:v>-42.975154365030818</c:v>
                </c:pt>
                <c:pt idx="403">
                  <c:v>-43.911967403189621</c:v>
                </c:pt>
                <c:pt idx="404">
                  <c:v>-44.840135325042553</c:v>
                </c:pt>
                <c:pt idx="405">
                  <c:v>-45.759689469851466</c:v>
                </c:pt>
                <c:pt idx="406">
                  <c:v>-46.670683499488661</c:v>
                </c:pt>
                <c:pt idx="407">
                  <c:v>-47.573194328006139</c:v>
                </c:pt>
                <c:pt idx="408">
                  <c:v>-48.467323096561245</c:v>
                </c:pt>
                <c:pt idx="409">
                  <c:v>-49.35319620329534</c:v>
                </c:pt>
                <c:pt idx="410">
                  <c:v>-50.23096639899822</c:v>
                </c:pt>
                <c:pt idx="411">
                  <c:v>-51.100813960668688</c:v>
                </c:pt>
                <c:pt idx="412">
                  <c:v>-51.962947956503712</c:v>
                </c:pt>
                <c:pt idx="413">
                  <c:v>-52.817607617368225</c:v>
                </c:pt>
                <c:pt idx="414">
                  <c:v>-53.665063831476928</c:v>
                </c:pt>
                <c:pt idx="415">
                  <c:v>-54.505620780861875</c:v>
                </c:pt>
                <c:pt idx="416">
                  <c:v>-55.339617740233251</c:v>
                </c:pt>
                <c:pt idx="417">
                  <c:v>-56.167431061132731</c:v>
                </c:pt>
                <c:pt idx="418">
                  <c:v>-56.989476366812227</c:v>
                </c:pt>
                <c:pt idx="419">
                  <c:v>-57.806210986135582</c:v>
                </c:pt>
                <c:pt idx="420">
                  <c:v>-58.618136658031787</c:v>
                </c:pt>
                <c:pt idx="421">
                  <c:v>-59.425802541672681</c:v>
                </c:pt>
                <c:pt idx="422">
                  <c:v>-60.229808571675605</c:v>
                </c:pt>
                <c:pt idx="423">
                  <c:v>-61.030809202319588</c:v>
                </c:pt>
                <c:pt idx="424">
                  <c:v>-61.829517590073849</c:v>
                </c:pt>
                <c:pt idx="425">
                  <c:v>-62.626710269774918</c:v>
                </c:pt>
                <c:pt idx="426">
                  <c:v>-63.423232386617897</c:v>
                </c:pt>
                <c:pt idx="427">
                  <c:v>-64.22000355389595</c:v>
                </c:pt>
                <c:pt idx="428">
                  <c:v>-65.018024415160994</c:v>
                </c:pt>
                <c:pt idx="429">
                  <c:v>-65.818383999379066</c:v>
                </c:pt>
                <c:pt idx="430">
                  <c:v>-66.622267968743486</c:v>
                </c:pt>
                <c:pt idx="431">
                  <c:v>-67.430967871196188</c:v>
                </c:pt>
                <c:pt idx="432">
                  <c:v>-68.245891523483522</c:v>
                </c:pt>
                <c:pt idx="433">
                  <c:v>-69.068574665677303</c:v>
                </c:pt>
                <c:pt idx="434">
                  <c:v>-69.90069404450584</c:v>
                </c:pt>
                <c:pt idx="435">
                  <c:v>-70.744082100334012</c:v>
                </c:pt>
                <c:pt idx="436">
                  <c:v>-71.600743450819181</c:v>
                </c:pt>
                <c:pt idx="437">
                  <c:v>-72.472873382459397</c:v>
                </c:pt>
                <c:pt idx="438">
                  <c:v>-73.362878578326104</c:v>
                </c:pt>
                <c:pt idx="439">
                  <c:v>-74.273400324545051</c:v>
                </c:pt>
                <c:pt idx="440">
                  <c:v>-75.20734044685473</c:v>
                </c:pt>
                <c:pt idx="441">
                  <c:v>-76.167890228041486</c:v>
                </c:pt>
                <c:pt idx="442">
                  <c:v>-77.158562541453449</c:v>
                </c:pt>
                <c:pt idx="443">
                  <c:v>-78.183227396916692</c:v>
                </c:pt>
                <c:pt idx="444">
                  <c:v>-79.246151021516454</c:v>
                </c:pt>
                <c:pt idx="445">
                  <c:v>-80.352038472154831</c:v>
                </c:pt>
                <c:pt idx="446">
                  <c:v>-81.506079576409491</c:v>
                </c:pt>
                <c:pt idx="447">
                  <c:v>-82.713997690847819</c:v>
                </c:pt>
                <c:pt idx="448">
                  <c:v>-83.982100307948897</c:v>
                </c:pt>
                <c:pt idx="449">
                  <c:v>-85.317329875781795</c:v>
                </c:pt>
                <c:pt idx="450">
                  <c:v>-86.727312242496637</c:v>
                </c:pt>
                <c:pt idx="451">
                  <c:v>-88.220398804540594</c:v>
                </c:pt>
                <c:pt idx="452">
                  <c:v>-89.805696608523462</c:v>
                </c:pt>
                <c:pt idx="453">
                  <c:v>-91.493078205324196</c:v>
                </c:pt>
                <c:pt idx="454">
                  <c:v>-93.293159863285112</c:v>
                </c:pt>
                <c:pt idx="455">
                  <c:v>-95.217232747839347</c:v>
                </c:pt>
                <c:pt idx="456">
                  <c:v>-97.277126929670956</c:v>
                </c:pt>
                <c:pt idx="457">
                  <c:v>-99.484982916713221</c:v>
                </c:pt>
                <c:pt idx="458">
                  <c:v>-101.85290060481906</c:v>
                </c:pt>
                <c:pt idx="459">
                  <c:v>-104.39243262899629</c:v>
                </c:pt>
                <c:pt idx="460">
                  <c:v>-107.11389061297413</c:v>
                </c:pt>
                <c:pt idx="461">
                  <c:v>-110.0254424783261</c:v>
                </c:pt>
                <c:pt idx="462">
                  <c:v>-113.13200140253873</c:v>
                </c:pt>
                <c:pt idx="463">
                  <c:v>-116.4339465346726</c:v>
                </c:pt>
                <c:pt idx="464">
                  <c:v>-119.92577363045433</c:v>
                </c:pt>
                <c:pt idx="465">
                  <c:v>-123.59484489430574</c:v>
                </c:pt>
                <c:pt idx="466">
                  <c:v>-127.42047498189105</c:v>
                </c:pt>
                <c:pt idx="467">
                  <c:v>-131.37362571218111</c:v>
                </c:pt>
                <c:pt idx="468">
                  <c:v>-135.41745160048191</c:v>
                </c:pt>
                <c:pt idx="469">
                  <c:v>-139.50881926764467</c:v>
                </c:pt>
                <c:pt idx="470">
                  <c:v>-143.60072611159561</c:v>
                </c:pt>
                <c:pt idx="471">
                  <c:v>-147.64532072401235</c:v>
                </c:pt>
                <c:pt idx="472">
                  <c:v>-151.59706111982166</c:v>
                </c:pt>
                <c:pt idx="473">
                  <c:v>-155.415507001376</c:v>
                </c:pt>
                <c:pt idx="474">
                  <c:v>-159.06734668590278</c:v>
                </c:pt>
                <c:pt idx="475">
                  <c:v>-162.52746235499148</c:v>
                </c:pt>
                <c:pt idx="476">
                  <c:v>-165.77905768081527</c:v>
                </c:pt>
                <c:pt idx="477">
                  <c:v>-168.8130372440242</c:v>
                </c:pt>
                <c:pt idx="478">
                  <c:v>-171.62690408407124</c:v>
                </c:pt>
                <c:pt idx="479">
                  <c:v>-174.22343766378384</c:v>
                </c:pt>
                <c:pt idx="480">
                  <c:v>-176.60935994495597</c:v>
                </c:pt>
                <c:pt idx="481">
                  <c:v>-178.79412513755318</c:v>
                </c:pt>
                <c:pt idx="482">
                  <c:v>-180.78890229557857</c:v>
                </c:pt>
                <c:pt idx="483">
                  <c:v>-182.60577028748736</c:v>
                </c:pt>
                <c:pt idx="484">
                  <c:v>-184.25711347884081</c:v>
                </c:pt>
                <c:pt idx="485">
                  <c:v>-185.75519053162225</c:v>
                </c:pt>
                <c:pt idx="486">
                  <c:v>-187.11184335935619</c:v>
                </c:pt>
                <c:pt idx="487">
                  <c:v>-188.33831419804864</c:v>
                </c:pt>
                <c:pt idx="488">
                  <c:v>-189.44514278600843</c:v>
                </c:pt>
                <c:pt idx="489">
                  <c:v>-190.44212075341864</c:v>
                </c:pt>
                <c:pt idx="490">
                  <c:v>-191.33828535908725</c:v>
                </c:pt>
                <c:pt idx="491">
                  <c:v>-192.14193913345247</c:v>
                </c:pt>
                <c:pt idx="492">
                  <c:v>-192.86068561103747</c:v>
                </c:pt>
                <c:pt idx="493">
                  <c:v>-193.50147417275173</c:v>
                </c:pt>
                <c:pt idx="494">
                  <c:v>-194.07064916668295</c:v>
                </c:pt>
                <c:pt idx="495">
                  <c:v>-194.57400006087556</c:v>
                </c:pt>
                <c:pt idx="496">
                  <c:v>-195.01681052572837</c:v>
                </c:pt>
                <c:pt idx="497">
                  <c:v>-195.40390515346746</c:v>
                </c:pt>
                <c:pt idx="498">
                  <c:v>-195.73969308444282</c:v>
                </c:pt>
                <c:pt idx="499">
                  <c:v>-196.02820819216089</c:v>
                </c:pt>
                <c:pt idx="500">
                  <c:v>-196.14598838872098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22-463D-81A0-68F554CF810C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92.773638845367245</c:v>
                </c:pt>
                <c:pt idx="1">
                  <c:v>92.749550976358293</c:v>
                </c:pt>
                <c:pt idx="2">
                  <c:v>92.726845951469784</c:v>
                </c:pt>
                <c:pt idx="3">
                  <c:v>92.705512489547743</c:v>
                </c:pt>
                <c:pt idx="4">
                  <c:v>92.685539987687406</c:v>
                </c:pt>
                <c:pt idx="5">
                  <c:v>92.66691851656617</c:v>
                </c:pt>
                <c:pt idx="6">
                  <c:v>92.649638816060005</c:v>
                </c:pt>
                <c:pt idx="7">
                  <c:v>92.633692291144342</c:v>
                </c:pt>
                <c:pt idx="8">
                  <c:v>92.619071008079487</c:v>
                </c:pt>
                <c:pt idx="9">
                  <c:v>92.605767690881407</c:v>
                </c:pt>
                <c:pt idx="10">
                  <c:v>92.593775718077552</c:v>
                </c:pt>
                <c:pt idx="11">
                  <c:v>92.583089119748848</c:v>
                </c:pt>
                <c:pt idx="12">
                  <c:v>92.573702574857251</c:v>
                </c:pt>
                <c:pt idx="13">
                  <c:v>92.56561140885951</c:v>
                </c:pt>
                <c:pt idx="14">
                  <c:v>92.558811591607011</c:v>
                </c:pt>
                <c:pt idx="15">
                  <c:v>92.553299735532107</c:v>
                </c:pt>
                <c:pt idx="16">
                  <c:v>92.549073094120459</c:v>
                </c:pt>
                <c:pt idx="17">
                  <c:v>92.546129560670025</c:v>
                </c:pt>
                <c:pt idx="18">
                  <c:v>92.544467667336363</c:v>
                </c:pt>
                <c:pt idx="19">
                  <c:v>92.544086584464154</c:v>
                </c:pt>
                <c:pt idx="20">
                  <c:v>92.544986120205351</c:v>
                </c:pt>
                <c:pt idx="21">
                  <c:v>92.547166720423533</c:v>
                </c:pt>
                <c:pt idx="22">
                  <c:v>92.55062946888448</c:v>
                </c:pt>
                <c:pt idx="23">
                  <c:v>92.555376087733109</c:v>
                </c:pt>
                <c:pt idx="24">
                  <c:v>92.561408938256591</c:v>
                </c:pt>
                <c:pt idx="25">
                  <c:v>92.568731021933374</c:v>
                </c:pt>
                <c:pt idx="26">
                  <c:v>92.577345981768417</c:v>
                </c:pt>
                <c:pt idx="27">
                  <c:v>92.587258103914124</c:v>
                </c:pt>
                <c:pt idx="28">
                  <c:v>92.598472319577013</c:v>
                </c:pt>
                <c:pt idx="29">
                  <c:v>92.61099420720987</c:v>
                </c:pt>
                <c:pt idx="30">
                  <c:v>92.624829994989483</c:v>
                </c:pt>
                <c:pt idx="31">
                  <c:v>92.639986563579058</c:v>
                </c:pt>
                <c:pt idx="32">
                  <c:v>92.656471449175726</c:v>
                </c:pt>
                <c:pt idx="33">
                  <c:v>92.674292846842278</c:v>
                </c:pt>
                <c:pt idx="34">
                  <c:v>92.693459614123199</c:v>
                </c:pt>
                <c:pt idx="35">
                  <c:v>92.713981274943947</c:v>
                </c:pt>
                <c:pt idx="36">
                  <c:v>92.735868023793444</c:v>
                </c:pt>
                <c:pt idx="37">
                  <c:v>92.75913073018873</c:v>
                </c:pt>
                <c:pt idx="38">
                  <c:v>92.783780943421448</c:v>
                </c:pt>
                <c:pt idx="39">
                  <c:v>92.809830897584817</c:v>
                </c:pt>
                <c:pt idx="40">
                  <c:v>92.837293516880393</c:v>
                </c:pt>
                <c:pt idx="41">
                  <c:v>92.866182421203334</c:v>
                </c:pt>
                <c:pt idx="42">
                  <c:v>92.896511932005126</c:v>
                </c:pt>
                <c:pt idx="43">
                  <c:v>92.928297078431612</c:v>
                </c:pt>
                <c:pt idx="44">
                  <c:v>92.961553603735453</c:v>
                </c:pt>
                <c:pt idx="45">
                  <c:v>92.996297971960473</c:v>
                </c:pt>
                <c:pt idx="46">
                  <c:v>93.032547374895941</c:v>
                </c:pt>
                <c:pt idx="47">
                  <c:v>93.070319739298299</c:v>
                </c:pt>
                <c:pt idx="48">
                  <c:v>93.109633734377667</c:v>
                </c:pt>
                <c:pt idx="49">
                  <c:v>93.150508779545959</c:v>
                </c:pt>
                <c:pt idx="50">
                  <c:v>93.192965052423006</c:v>
                </c:pt>
                <c:pt idx="51">
                  <c:v>93.237023497097411</c:v>
                </c:pt>
                <c:pt idx="52">
                  <c:v>93.282705832637163</c:v>
                </c:pt>
                <c:pt idx="53">
                  <c:v>93.330034561845807</c:v>
                </c:pt>
                <c:pt idx="54">
                  <c:v>93.379032980258756</c:v>
                </c:pt>
                <c:pt idx="55">
                  <c:v>93.429725185374181</c:v>
                </c:pt>
                <c:pt idx="56">
                  <c:v>93.482136086111566</c:v>
                </c:pt>
                <c:pt idx="57">
                  <c:v>93.536291412491792</c:v>
                </c:pt>
                <c:pt idx="58">
                  <c:v>93.592217725530375</c:v>
                </c:pt>
                <c:pt idx="59">
                  <c:v>93.649942427335631</c:v>
                </c:pt>
                <c:pt idx="60">
                  <c:v>93.709493771402705</c:v>
                </c:pt>
                <c:pt idx="61">
                  <c:v>93.770900873093211</c:v>
                </c:pt>
                <c:pt idx="62">
                  <c:v>93.834193720289448</c:v>
                </c:pt>
                <c:pt idx="63">
                  <c:v>93.899403184211238</c:v>
                </c:pt>
                <c:pt idx="64">
                  <c:v>93.966561030382252</c:v>
                </c:pt>
                <c:pt idx="65">
                  <c:v>94.035699929731578</c:v>
                </c:pt>
                <c:pt idx="66">
                  <c:v>94.106853469814965</c:v>
                </c:pt>
                <c:pt idx="67">
                  <c:v>94.180056166139082</c:v>
                </c:pt>
                <c:pt idx="68">
                  <c:v>94.255343473570306</c:v>
                </c:pt>
                <c:pt idx="69">
                  <c:v>94.332751797808442</c:v>
                </c:pt>
                <c:pt idx="70">
                  <c:v>94.412318506903986</c:v>
                </c:pt>
                <c:pt idx="71">
                  <c:v>94.494081942795717</c:v>
                </c:pt>
                <c:pt idx="72">
                  <c:v>94.57808143284349</c:v>
                </c:pt>
                <c:pt idx="73">
                  <c:v>94.664357301329559</c:v>
                </c:pt>
                <c:pt idx="74">
                  <c:v>94.752950880899093</c:v>
                </c:pt>
                <c:pt idx="75">
                  <c:v>94.843904523908634</c:v>
                </c:pt>
                <c:pt idx="76">
                  <c:v>94.937261613648701</c:v>
                </c:pt>
                <c:pt idx="77">
                  <c:v>95.033066575404106</c:v>
                </c:pt>
                <c:pt idx="78">
                  <c:v>95.131364887313552</c:v>
                </c:pt>
                <c:pt idx="79">
                  <c:v>95.232203090985578</c:v>
                </c:pt>
                <c:pt idx="80">
                  <c:v>95.335628801826914</c:v>
                </c:pt>
                <c:pt idx="81">
                  <c:v>95.441690719034597</c:v>
                </c:pt>
                <c:pt idx="82">
                  <c:v>95.550438635199995</c:v>
                </c:pt>
                <c:pt idx="83">
                  <c:v>95.66192344546981</c:v>
                </c:pt>
                <c:pt idx="84">
                  <c:v>95.776197156204873</c:v>
                </c:pt>
                <c:pt idx="85">
                  <c:v>95.893312893073343</c:v>
                </c:pt>
                <c:pt idx="86">
                  <c:v>96.013324908510867</c:v>
                </c:pt>
                <c:pt idx="87">
                  <c:v>96.136288588475793</c:v>
                </c:pt>
                <c:pt idx="88">
                  <c:v>96.262260458422432</c:v>
                </c:pt>
                <c:pt idx="89">
                  <c:v>96.391298188410403</c:v>
                </c:pt>
                <c:pt idx="90">
                  <c:v>96.523460597263906</c:v>
                </c:pt>
                <c:pt idx="91">
                  <c:v>96.658807655685948</c:v>
                </c:pt>
                <c:pt idx="92">
                  <c:v>96.797400488232114</c:v>
                </c:pt>
                <c:pt idx="93">
                  <c:v>96.939301374036276</c:v>
                </c:pt>
                <c:pt idx="94">
                  <c:v>97.084573746179743</c:v>
                </c:pt>
                <c:pt idx="95">
                  <c:v>97.233282189584102</c:v>
                </c:pt>
                <c:pt idx="96">
                  <c:v>97.38549243730462</c:v>
                </c:pt>
                <c:pt idx="97">
                  <c:v>97.541271365091959</c:v>
                </c:pt>
                <c:pt idx="98">
                  <c:v>97.700686984082509</c:v>
                </c:pt>
                <c:pt idx="99">
                  <c:v>97.863808431470716</c:v>
                </c:pt>
                <c:pt idx="100">
                  <c:v>98.030705959008515</c:v>
                </c:pt>
                <c:pt idx="101">
                  <c:v>98.201450919167314</c:v>
                </c:pt>
                <c:pt idx="102">
                  <c:v>98.37611574879206</c:v>
                </c:pt>
                <c:pt idx="103">
                  <c:v>98.554773950065908</c:v>
                </c:pt>
                <c:pt idx="104">
                  <c:v>98.737500068595907</c:v>
                </c:pt>
                <c:pt idx="105">
                  <c:v>98.924369668421065</c:v>
                </c:pt>
                <c:pt idx="106">
                  <c:v>99.115459303734809</c:v>
                </c:pt>
                <c:pt idx="107">
                  <c:v>99.310846487104911</c:v>
                </c:pt>
                <c:pt idx="108">
                  <c:v>99.510609653963527</c:v>
                </c:pt>
                <c:pt idx="109">
                  <c:v>99.714828123131383</c:v>
                </c:pt>
                <c:pt idx="110">
                  <c:v>99.923582053131781</c:v>
                </c:pt>
                <c:pt idx="111">
                  <c:v>100.13695239403822</c:v>
                </c:pt>
                <c:pt idx="112">
                  <c:v>100.35502083459298</c:v>
                </c:pt>
                <c:pt idx="113">
                  <c:v>100.57786974432491</c:v>
                </c:pt>
                <c:pt idx="114">
                  <c:v>100.805582110385</c:v>
                </c:pt>
                <c:pt idx="115">
                  <c:v>101.03824146881331</c:v>
                </c:pt>
                <c:pt idx="116">
                  <c:v>101.27593182993874</c:v>
                </c:pt>
                <c:pt idx="117">
                  <c:v>101.51873759761507</c:v>
                </c:pt>
                <c:pt idx="118">
                  <c:v>101.76674348198189</c:v>
                </c:pt>
                <c:pt idx="119">
                  <c:v>102.02003440544227</c:v>
                </c:pt>
                <c:pt idx="120">
                  <c:v>102.27869540154254</c:v>
                </c:pt>
                <c:pt idx="121">
                  <c:v>102.54281150643787</c:v>
                </c:pt>
                <c:pt idx="122">
                  <c:v>102.81246764263099</c:v>
                </c:pt>
                <c:pt idx="123">
                  <c:v>103.0877484946689</c:v>
                </c:pt>
                <c:pt idx="124">
                  <c:v>103.36873837649031</c:v>
                </c:pt>
                <c:pt idx="125">
                  <c:v>103.65552109012266</c:v>
                </c:pt>
                <c:pt idx="126">
                  <c:v>103.94817977543741</c:v>
                </c:pt>
                <c:pt idx="127">
                  <c:v>104.24679675068212</c:v>
                </c:pt>
                <c:pt idx="128">
                  <c:v>104.55145334353011</c:v>
                </c:pt>
                <c:pt idx="129">
                  <c:v>104.86222971240153</c:v>
                </c:pt>
                <c:pt idx="130">
                  <c:v>105.17920465783756</c:v>
                </c:pt>
                <c:pt idx="131">
                  <c:v>105.50245542373479</c:v>
                </c:pt>
                <c:pt idx="132">
                  <c:v>105.83205748828441</c:v>
                </c:pt>
                <c:pt idx="133">
                  <c:v>106.16808434448983</c:v>
                </c:pt>
                <c:pt idx="134">
                  <c:v>106.51060727019008</c:v>
                </c:pt>
                <c:pt idx="135">
                  <c:v>106.85969508755649</c:v>
                </c:pt>
                <c:pt idx="136">
                  <c:v>107.21541391208741</c:v>
                </c:pt>
                <c:pt idx="137">
                  <c:v>107.5778268911902</c:v>
                </c:pt>
                <c:pt idx="138">
                  <c:v>107.9469939325014</c:v>
                </c:pt>
                <c:pt idx="139">
                  <c:v>108.32297142217291</c:v>
                </c:pt>
                <c:pt idx="140">
                  <c:v>108.7058119334343</c:v>
                </c:pt>
                <c:pt idx="141">
                  <c:v>109.09556392582438</c:v>
                </c:pt>
                <c:pt idx="142">
                  <c:v>109.49227143558498</c:v>
                </c:pt>
                <c:pt idx="143">
                  <c:v>109.89597375780768</c:v>
                </c:pt>
                <c:pt idx="144">
                  <c:v>110.30670512103251</c:v>
                </c:pt>
                <c:pt idx="145">
                  <c:v>110.72449435511309</c:v>
                </c:pt>
                <c:pt idx="146">
                  <c:v>111.14936455328231</c:v>
                </c:pt>
                <c:pt idx="147">
                  <c:v>111.58133272947612</c:v>
                </c:pt>
                <c:pt idx="148">
                  <c:v>112.02040947210509</c:v>
                </c:pt>
                <c:pt idx="149">
                  <c:v>112.46659859559493</c:v>
                </c:pt>
                <c:pt idx="150">
                  <c:v>112.91989679115535</c:v>
                </c:pt>
                <c:pt idx="151">
                  <c:v>113.38029327836887</c:v>
                </c:pt>
                <c:pt idx="152">
                  <c:v>113.84776945933666</c:v>
                </c:pt>
                <c:pt idx="153">
                  <c:v>114.32229857724347</c:v>
                </c:pt>
                <c:pt idx="154">
                  <c:v>114.80384538134481</c:v>
                </c:pt>
                <c:pt idx="155">
                  <c:v>115.29236580049984</c:v>
                </c:pt>
                <c:pt idx="156">
                  <c:v>115.78780662749449</c:v>
                </c:pt>
                <c:pt idx="157">
                  <c:v>116.29010521650663</c:v>
                </c:pt>
                <c:pt idx="158">
                  <c:v>116.79918919616273</c:v>
                </c:pt>
                <c:pt idx="159">
                  <c:v>117.31497620071598</c:v>
                </c:pt>
                <c:pt idx="160">
                  <c:v>117.83737362193783</c:v>
                </c:pt>
                <c:pt idx="161">
                  <c:v>118.36627838436326</c:v>
                </c:pt>
                <c:pt idx="162">
                  <c:v>118.90157674654571</c:v>
                </c:pt>
                <c:pt idx="163">
                  <c:v>119.44314413097689</c:v>
                </c:pt>
                <c:pt idx="164">
                  <c:v>119.99084498529481</c:v>
                </c:pt>
                <c:pt idx="165">
                  <c:v>120.54453267734267</c:v>
                </c:pt>
                <c:pt idx="166">
                  <c:v>121.10404942654654</c:v>
                </c:pt>
                <c:pt idx="167">
                  <c:v>121.66922627395854</c:v>
                </c:pt>
                <c:pt idx="168">
                  <c:v>122.23988309314964</c:v>
                </c:pt>
                <c:pt idx="169">
                  <c:v>122.81582864394503</c:v>
                </c:pt>
                <c:pt idx="170">
                  <c:v>123.39686067076525</c:v>
                </c:pt>
                <c:pt idx="171">
                  <c:v>123.9827660470762</c:v>
                </c:pt>
                <c:pt idx="172">
                  <c:v>124.57332096715339</c:v>
                </c:pt>
                <c:pt idx="173">
                  <c:v>125.16829118604352</c:v>
                </c:pt>
                <c:pt idx="174">
                  <c:v>125.76743230824781</c:v>
                </c:pt>
                <c:pt idx="175">
                  <c:v>126.37049012527754</c:v>
                </c:pt>
                <c:pt idx="176">
                  <c:v>126.97720100182556</c:v>
                </c:pt>
                <c:pt idx="177">
                  <c:v>127.58729230988411</c:v>
                </c:pt>
                <c:pt idx="178">
                  <c:v>128.20048290970985</c:v>
                </c:pt>
                <c:pt idx="179">
                  <c:v>128.81648367609898</c:v>
                </c:pt>
                <c:pt idx="180">
                  <c:v>129.43499806800236</c:v>
                </c:pt>
                <c:pt idx="181">
                  <c:v>130.05572273908206</c:v>
                </c:pt>
                <c:pt idx="182">
                  <c:v>130.67834818639363</c:v>
                </c:pt>
                <c:pt idx="183">
                  <c:v>131.30255943398049</c:v>
                </c:pt>
                <c:pt idx="184">
                  <c:v>131.92803674779827</c:v>
                </c:pt>
                <c:pt idx="185">
                  <c:v>132.5544563780474</c:v>
                </c:pt>
                <c:pt idx="186">
                  <c:v>133.18149132469028</c:v>
                </c:pt>
                <c:pt idx="187">
                  <c:v>133.8088121216704</c:v>
                </c:pt>
                <c:pt idx="188">
                  <c:v>134.4360876351451</c:v>
                </c:pt>
                <c:pt idx="189">
                  <c:v>135.06298587087502</c:v>
                </c:pt>
                <c:pt idx="190">
                  <c:v>135.68917478582131</c:v>
                </c:pt>
                <c:pt idx="191">
                  <c:v>136.31432309893913</c:v>
                </c:pt>
                <c:pt idx="192">
                  <c:v>136.93810109617436</c:v>
                </c:pt>
                <c:pt idx="193">
                  <c:v>137.56018142473232</c:v>
                </c:pt>
                <c:pt idx="194">
                  <c:v>138.18023987180283</c:v>
                </c:pt>
                <c:pt idx="195">
                  <c:v>138.79795612311312</c:v>
                </c:pt>
                <c:pt idx="196">
                  <c:v>139.41301449688626</c:v>
                </c:pt>
                <c:pt idx="197">
                  <c:v>140.02510464907391</c:v>
                </c:pt>
                <c:pt idx="198">
                  <c:v>140.63392224602666</c:v>
                </c:pt>
                <c:pt idx="199">
                  <c:v>141.23916960112763</c:v>
                </c:pt>
                <c:pt idx="200">
                  <c:v>141.8405562722852</c:v>
                </c:pt>
                <c:pt idx="201">
                  <c:v>142.43779961758673</c:v>
                </c:pt>
                <c:pt idx="202">
                  <c:v>143.03062530683789</c:v>
                </c:pt>
                <c:pt idx="203">
                  <c:v>143.6187677871377</c:v>
                </c:pt>
                <c:pt idx="204">
                  <c:v>144.20197070108108</c:v>
                </c:pt>
                <c:pt idx="205">
                  <c:v>144.77998725661342</c:v>
                </c:pt>
                <c:pt idx="206">
                  <c:v>145.35258054798101</c:v>
                </c:pt>
                <c:pt idx="207">
                  <c:v>145.91952382764933</c:v>
                </c:pt>
                <c:pt idx="208">
                  <c:v>146.4806007294373</c:v>
                </c:pt>
                <c:pt idx="209">
                  <c:v>147.0356054435083</c:v>
                </c:pt>
                <c:pt idx="210">
                  <c:v>147.58434284418402</c:v>
                </c:pt>
                <c:pt idx="211">
                  <c:v>148.1266285718838</c:v>
                </c:pt>
                <c:pt idx="212">
                  <c:v>148.66228907076658</c:v>
                </c:pt>
                <c:pt idx="213">
                  <c:v>149.19116158390383</c:v>
                </c:pt>
                <c:pt idx="214">
                  <c:v>149.71309410803795</c:v>
                </c:pt>
                <c:pt idx="215">
                  <c:v>150.22794531016044</c:v>
                </c:pt>
                <c:pt idx="216">
                  <c:v>150.73558440828685</c:v>
                </c:pt>
                <c:pt idx="217">
                  <c:v>151.23589101893276</c:v>
                </c:pt>
                <c:pt idx="218">
                  <c:v>151.72875497387128</c:v>
                </c:pt>
                <c:pt idx="219">
                  <c:v>152.21407610880291</c:v>
                </c:pt>
                <c:pt idx="220">
                  <c:v>152.69176402659821</c:v>
                </c:pt>
                <c:pt idx="221">
                  <c:v>153.16173783776449</c:v>
                </c:pt>
                <c:pt idx="222">
                  <c:v>153.62392588076409</c:v>
                </c:pt>
                <c:pt idx="223">
                  <c:v>154.07826542475965</c:v>
                </c:pt>
                <c:pt idx="224">
                  <c:v>154.52470235729237</c:v>
                </c:pt>
                <c:pt idx="225">
                  <c:v>154.96319085931646</c:v>
                </c:pt>
                <c:pt idx="226">
                  <c:v>155.39369306990858</c:v>
                </c:pt>
                <c:pt idx="227">
                  <c:v>155.81617874286476</c:v>
                </c:pt>
                <c:pt idx="228">
                  <c:v>156.23062489727099</c:v>
                </c:pt>
                <c:pt idx="229">
                  <c:v>156.63701546400867</c:v>
                </c:pt>
                <c:pt idx="230">
                  <c:v>157.0353409300244</c:v>
                </c:pt>
                <c:pt idx="231">
                  <c:v>157.42559798205295</c:v>
                </c:pt>
                <c:pt idx="232">
                  <c:v>157.80778915135241</c:v>
                </c:pt>
                <c:pt idx="233">
                  <c:v>158.1819224608623</c:v>
                </c:pt>
                <c:pt idx="234">
                  <c:v>158.54801107607773</c:v>
                </c:pt>
                <c:pt idx="235">
                  <c:v>158.90607296077721</c:v>
                </c:pt>
                <c:pt idx="236">
                  <c:v>159.25613053863825</c:v>
                </c:pt>
                <c:pt idx="237">
                  <c:v>159.59821036162998</c:v>
                </c:pt>
                <c:pt idx="238">
                  <c:v>159.93234278596844</c:v>
                </c:pt>
                <c:pt idx="239">
                  <c:v>160.25856165630046</c:v>
                </c:pt>
                <c:pt idx="240">
                  <c:v>160.57690399867695</c:v>
                </c:pt>
                <c:pt idx="241">
                  <c:v>160.88740972278251</c:v>
                </c:pt>
                <c:pt idx="242">
                  <c:v>161.19012133378845</c:v>
                </c:pt>
                <c:pt idx="243">
                  <c:v>161.48508365411632</c:v>
                </c:pt>
                <c:pt idx="244">
                  <c:v>161.77234355531849</c:v>
                </c:pt>
                <c:pt idx="245">
                  <c:v>162.05194970021097</c:v>
                </c:pt>
                <c:pt idx="246">
                  <c:v>162.32395229532747</c:v>
                </c:pt>
                <c:pt idx="247">
                  <c:v>162.58840285370786</c:v>
                </c:pt>
                <c:pt idx="248">
                  <c:v>162.84535396797776</c:v>
                </c:pt>
                <c:pt idx="249">
                  <c:v>163.09485909363252</c:v>
                </c:pt>
                <c:pt idx="250">
                  <c:v>163.33697234239685</c:v>
                </c:pt>
                <c:pt idx="251">
                  <c:v>163.57174828549452</c:v>
                </c:pt>
                <c:pt idx="252">
                  <c:v>163.79924176663388</c:v>
                </c:pt>
                <c:pt idx="253">
                  <c:v>164.01950772448706</c:v>
                </c:pt>
                <c:pt idx="254">
                  <c:v>164.2326010244191</c:v>
                </c:pt>
                <c:pt idx="255">
                  <c:v>164.43857629920706</c:v>
                </c:pt>
                <c:pt idx="256">
                  <c:v>164.63748779847168</c:v>
                </c:pt>
                <c:pt idx="257">
                  <c:v>164.8293892465359</c:v>
                </c:pt>
                <c:pt idx="258">
                  <c:v>165.0143337084163</c:v>
                </c:pt>
                <c:pt idx="259">
                  <c:v>165.19237346364611</c:v>
                </c:pt>
                <c:pt idx="260">
                  <c:v>165.36355988762847</c:v>
                </c:pt>
                <c:pt idx="261">
                  <c:v>165.52794334021601</c:v>
                </c:pt>
                <c:pt idx="262">
                  <c:v>165.68557306121528</c:v>
                </c:pt>
                <c:pt idx="263">
                  <c:v>165.83649707251706</c:v>
                </c:pt>
                <c:pt idx="264">
                  <c:v>165.98076208655857</c:v>
                </c:pt>
                <c:pt idx="265">
                  <c:v>166.11841342082948</c:v>
                </c:pt>
                <c:pt idx="266">
                  <c:v>166.24949491814041</c:v>
                </c:pt>
                <c:pt idx="267">
                  <c:v>166.37404887238117</c:v>
                </c:pt>
                <c:pt idx="268">
                  <c:v>166.49211595950533</c:v>
                </c:pt>
                <c:pt idx="269">
                  <c:v>166.60373517348583</c:v>
                </c:pt>
                <c:pt idx="270">
                  <c:v>166.70894376699906</c:v>
                </c:pt>
                <c:pt idx="271">
                  <c:v>166.80777719660293</c:v>
                </c:pt>
                <c:pt idx="272">
                  <c:v>166.9002690721891</c:v>
                </c:pt>
                <c:pt idx="273">
                  <c:v>166.98645111049694</c:v>
                </c:pt>
                <c:pt idx="274">
                  <c:v>167.06635309249296</c:v>
                </c:pt>
                <c:pt idx="275">
                  <c:v>167.14000282442802</c:v>
                </c:pt>
                <c:pt idx="276">
                  <c:v>167.20742610239935</c:v>
                </c:pt>
                <c:pt idx="277">
                  <c:v>167.26864668025499</c:v>
                </c:pt>
                <c:pt idx="278">
                  <c:v>167.3236862406919</c:v>
                </c:pt>
                <c:pt idx="279">
                  <c:v>167.37256436941058</c:v>
                </c:pt>
                <c:pt idx="280">
                  <c:v>167.41529853220246</c:v>
                </c:pt>
                <c:pt idx="281">
                  <c:v>167.45190405485744</c:v>
                </c:pt>
                <c:pt idx="282">
                  <c:v>167.48239410579325</c:v>
                </c:pt>
                <c:pt idx="283">
                  <c:v>167.50677968131896</c:v>
                </c:pt>
                <c:pt idx="284">
                  <c:v>167.52506959345891</c:v>
                </c:pt>
                <c:pt idx="285">
                  <c:v>167.53727046027387</c:v>
                </c:pt>
                <c:pt idx="286">
                  <c:v>167.54338669863196</c:v>
                </c:pt>
                <c:pt idx="287">
                  <c:v>167.54342051938977</c:v>
                </c:pt>
                <c:pt idx="288">
                  <c:v>167.53737192496038</c:v>
                </c:pt>
                <c:pt idx="289">
                  <c:v>167.52523870925512</c:v>
                </c:pt>
                <c:pt idx="290">
                  <c:v>167.5070164599984</c:v>
                </c:pt>
                <c:pt idx="291">
                  <c:v>167.48269856342932</c:v>
                </c:pt>
                <c:pt idx="292">
                  <c:v>167.45227621141254</c:v>
                </c:pt>
                <c:pt idx="293">
                  <c:v>167.41573841099634</c:v>
                </c:pt>
                <c:pt idx="294">
                  <c:v>167.37307199646679</c:v>
                </c:pt>
                <c:pt idx="295">
                  <c:v>167.32426164395989</c:v>
                </c:pt>
                <c:pt idx="296">
                  <c:v>167.26928988870458</c:v>
                </c:pt>
                <c:pt idx="297">
                  <c:v>167.20813714498476</c:v>
                </c:pt>
                <c:pt idx="298">
                  <c:v>167.14078172891686</c:v>
                </c:pt>
                <c:pt idx="299">
                  <c:v>167.06719988415747</c:v>
                </c:pt>
                <c:pt idx="300">
                  <c:v>166.98736581066115</c:v>
                </c:pt>
                <c:pt idx="301">
                  <c:v>166.90125169662801</c:v>
                </c:pt>
                <c:pt idx="302">
                  <c:v>166.80882775378748</c:v>
                </c:pt>
                <c:pt idx="303">
                  <c:v>166.71006225618157</c:v>
                </c:pt>
                <c:pt idx="304">
                  <c:v>166.604921582619</c:v>
                </c:pt>
                <c:pt idx="305">
                  <c:v>166.49337026298775</c:v>
                </c:pt>
                <c:pt idx="306">
                  <c:v>166.37537102862316</c:v>
                </c:pt>
                <c:pt idx="307">
                  <c:v>166.25088486694102</c:v>
                </c:pt>
                <c:pt idx="308">
                  <c:v>166.11987108055769</c:v>
                </c:pt>
                <c:pt idx="309">
                  <c:v>165.98228735112954</c:v>
                </c:pt>
                <c:pt idx="310">
                  <c:v>165.83808980815499</c:v>
                </c:pt>
                <c:pt idx="311">
                  <c:v>165.6872331029935</c:v>
                </c:pt>
                <c:pt idx="312">
                  <c:v>165.52967048836405</c:v>
                </c:pt>
                <c:pt idx="313">
                  <c:v>165.36535390359751</c:v>
                </c:pt>
                <c:pt idx="314">
                  <c:v>165.19423406592134</c:v>
                </c:pt>
                <c:pt idx="315">
                  <c:v>165.01626056806677</c:v>
                </c:pt>
                <c:pt idx="316">
                  <c:v>164.83138198249063</c:v>
                </c:pt>
                <c:pt idx="317">
                  <c:v>164.63954597251077</c:v>
                </c:pt>
                <c:pt idx="318">
                  <c:v>164.44069941065894</c:v>
                </c:pt>
                <c:pt idx="319">
                  <c:v>164.23478850454995</c:v>
                </c:pt>
                <c:pt idx="320">
                  <c:v>164.02175893057412</c:v>
                </c:pt>
                <c:pt idx="321">
                  <c:v>163.80155597571093</c:v>
                </c:pt>
                <c:pt idx="322">
                  <c:v>163.57412468775817</c:v>
                </c:pt>
                <c:pt idx="323">
                  <c:v>163.33941003426474</c:v>
                </c:pt>
                <c:pt idx="324">
                  <c:v>163.09735707044237</c:v>
                </c:pt>
                <c:pt idx="325">
                  <c:v>162.84791111631904</c:v>
                </c:pt>
                <c:pt idx="326">
                  <c:v>162.5910179433763</c:v>
                </c:pt>
                <c:pt idx="327">
                  <c:v>162.32662397089481</c:v>
                </c:pt>
                <c:pt idx="328">
                  <c:v>162.05467647220354</c:v>
                </c:pt>
                <c:pt idx="329">
                  <c:v>161.77512379099824</c:v>
                </c:pt>
                <c:pt idx="330">
                  <c:v>161.48791556785937</c:v>
                </c:pt>
                <c:pt idx="331">
                  <c:v>161.19300297705917</c:v>
                </c:pt>
                <c:pt idx="332">
                  <c:v>160.89033897370015</c:v>
                </c:pt>
                <c:pt idx="333">
                  <c:v>160.57987855117685</c:v>
                </c:pt>
                <c:pt idx="334">
                  <c:v>160.26157900889098</c:v>
                </c:pt>
                <c:pt idx="335">
                  <c:v>159.9354002300891</c:v>
                </c:pt>
                <c:pt idx="336">
                  <c:v>159.60130496961764</c:v>
                </c:pt>
                <c:pt idx="337">
                  <c:v>159.25925915131302</c:v>
                </c:pt>
                <c:pt idx="338">
                  <c:v>158.9092321746584</c:v>
                </c:pt>
                <c:pt idx="339">
                  <c:v>158.55119723024814</c:v>
                </c:pt>
                <c:pt idx="340">
                  <c:v>158.18513162350104</c:v>
                </c:pt>
                <c:pt idx="341">
                  <c:v>157.81101710595738</c:v>
                </c:pt>
                <c:pt idx="342">
                  <c:v>157.42884021338426</c:v>
                </c:pt>
                <c:pt idx="343">
                  <c:v>157.03859260979482</c:v>
                </c:pt>
                <c:pt idx="344">
                  <c:v>156.64027143636304</c:v>
                </c:pt>
                <c:pt idx="345">
                  <c:v>156.2338796640887</c:v>
                </c:pt>
                <c:pt idx="346">
                  <c:v>155.81942644893593</c:v>
                </c:pt>
                <c:pt idx="347">
                  <c:v>155.39692748802793</c:v>
                </c:pt>
                <c:pt idx="348">
                  <c:v>154.96640537535259</c:v>
                </c:pt>
                <c:pt idx="349">
                  <c:v>154.52788995528974</c:v>
                </c:pt>
                <c:pt idx="350">
                  <c:v>154.08141867213536</c:v>
                </c:pt>
                <c:pt idx="351">
                  <c:v>153.62703691367</c:v>
                </c:pt>
                <c:pt idx="352">
                  <c:v>153.16479834668331</c:v>
                </c:pt>
                <c:pt idx="353">
                  <c:v>152.69476524225158</c:v>
                </c:pt>
                <c:pt idx="354">
                  <c:v>152.21700878844982</c:v>
                </c:pt>
                <c:pt idx="355">
                  <c:v>151.73160938807996</c:v>
                </c:pt>
                <c:pt idx="356">
                  <c:v>151.23865693891142</c:v>
                </c:pt>
                <c:pt idx="357">
                  <c:v>150.73825109385893</c:v>
                </c:pt>
                <c:pt idx="358">
                  <c:v>150.23050149847532</c:v>
                </c:pt>
                <c:pt idx="359">
                  <c:v>149.71552800310351</c:v>
                </c:pt>
                <c:pt idx="360">
                  <c:v>149.19346084703213</c:v>
                </c:pt>
                <c:pt idx="361">
                  <c:v>148.66444081201848</c:v>
                </c:pt>
                <c:pt idx="362">
                  <c:v>148.1286193425976</c:v>
                </c:pt>
                <c:pt idx="363">
                  <c:v>147.58615863066905</c:v>
                </c:pt>
                <c:pt idx="364">
                  <c:v>147.03723166198523</c:v>
                </c:pt>
                <c:pt idx="365">
                  <c:v>146.48202222228718</c:v>
                </c:pt>
                <c:pt idx="366">
                  <c:v>145.9207248610463</c:v>
                </c:pt>
                <c:pt idx="367">
                  <c:v>145.35354481095871</c:v>
                </c:pt>
                <c:pt idx="368">
                  <c:v>144.78069786161291</c:v>
                </c:pt>
                <c:pt idx="369">
                  <c:v>144.20241018601928</c:v>
                </c:pt>
                <c:pt idx="370">
                  <c:v>143.61891811901927</c:v>
                </c:pt>
                <c:pt idx="371">
                  <c:v>143.03046788692728</c:v>
                </c:pt>
                <c:pt idx="372">
                  <c:v>142.43731528813541</c:v>
                </c:pt>
                <c:pt idx="373">
                  <c:v>141.83972532480374</c:v>
                </c:pt>
                <c:pt idx="374">
                  <c:v>141.23797178617383</c:v>
                </c:pt>
                <c:pt idx="375">
                  <c:v>140.63233678446471</c:v>
                </c:pt>
                <c:pt idx="376">
                  <c:v>140.02311024474966</c:v>
                </c:pt>
                <c:pt idx="377">
                  <c:v>139.41058935064137</c:v>
                </c:pt>
                <c:pt idx="378">
                  <c:v>138.79507794805346</c:v>
                </c:pt>
                <c:pt idx="379">
                  <c:v>138.17688590971983</c:v>
                </c:pt>
                <c:pt idx="380">
                  <c:v>137.55632846355797</c:v>
                </c:pt>
                <c:pt idx="381">
                  <c:v>136.9337254883481</c:v>
                </c:pt>
                <c:pt idx="382">
                  <c:v>136.30940078053919</c:v>
                </c:pt>
                <c:pt idx="383">
                  <c:v>135.68368129632012</c:v>
                </c:pt>
                <c:pt idx="384">
                  <c:v>135.05689637335399</c:v>
                </c:pt>
                <c:pt idx="385">
                  <c:v>134.42937693680568</c:v>
                </c:pt>
                <c:pt idx="386">
                  <c:v>133.8014546944743</c:v>
                </c:pt>
                <c:pt idx="387">
                  <c:v>133.17346132594957</c:v>
                </c:pt>
                <c:pt idx="388">
                  <c:v>132.54572767079611</c:v>
                </c:pt>
                <c:pt idx="389">
                  <c:v>131.91858292076626</c:v>
                </c:pt>
                <c:pt idx="390">
                  <c:v>131.29235382100094</c:v>
                </c:pt>
                <c:pt idx="391">
                  <c:v>130.66736388507596</c:v>
                </c:pt>
                <c:pt idx="392">
                  <c:v>130.04393262858792</c:v>
                </c:pt>
                <c:pt idx="393">
                  <c:v>129.42237482577556</c:v>
                </c:pt>
                <c:pt idx="394">
                  <c:v>128.80299979340029</c:v>
                </c:pt>
                <c:pt idx="395">
                  <c:v>128.18611070582733</c:v>
                </c:pt>
                <c:pt idx="396">
                  <c:v>127.5720039448974</c:v>
                </c:pt>
                <c:pt idx="397">
                  <c:v>126.96096848781758</c:v>
                </c:pt>
                <c:pt idx="398">
                  <c:v>126.35328533589663</c:v>
                </c:pt>
                <c:pt idx="399">
                  <c:v>125.74922698654379</c:v>
                </c:pt>
                <c:pt idx="400">
                  <c:v>125.14905695051036</c:v>
                </c:pt>
                <c:pt idx="401">
                  <c:v>124.55302931593086</c:v>
                </c:pt>
                <c:pt idx="402">
                  <c:v>123.96138836027333</c:v>
                </c:pt>
                <c:pt idx="403">
                  <c:v>123.37436821088444</c:v>
                </c:pt>
                <c:pt idx="404">
                  <c:v>122.792192554401</c:v>
                </c:pt>
                <c:pt idx="405">
                  <c:v>122.21507439488828</c:v>
                </c:pt>
                <c:pt idx="406">
                  <c:v>121.64321586019474</c:v>
                </c:pt>
                <c:pt idx="407">
                  <c:v>121.07680805565127</c:v>
                </c:pt>
                <c:pt idx="408">
                  <c:v>120.51603096391798</c:v>
                </c:pt>
                <c:pt idx="409">
                  <c:v>119.96105338949073</c:v>
                </c:pt>
                <c:pt idx="410">
                  <c:v>119.41203294610415</c:v>
                </c:pt>
                <c:pt idx="411">
                  <c:v>118.86911608505233</c:v>
                </c:pt>
                <c:pt idx="412">
                  <c:v>118.33243816224513</c:v>
                </c:pt>
                <c:pt idx="413">
                  <c:v>117.80212354166031</c:v>
                </c:pt>
                <c:pt idx="414">
                  <c:v>117.27828573272551</c:v>
                </c:pt>
                <c:pt idx="415">
                  <c:v>116.76102755906919</c:v>
                </c:pt>
                <c:pt idx="416">
                  <c:v>116.25044135602241</c:v>
                </c:pt>
                <c:pt idx="417">
                  <c:v>115.74660919421248</c:v>
                </c:pt>
                <c:pt idx="418">
                  <c:v>115.24960312659408</c:v>
                </c:pt>
                <c:pt idx="419">
                  <c:v>114.75948545627649</c:v>
                </c:pt>
                <c:pt idx="420">
                  <c:v>114.27630902255213</c:v>
                </c:pt>
                <c:pt idx="421">
                  <c:v>113.80011750259428</c:v>
                </c:pt>
                <c:pt idx="422">
                  <c:v>113.33094572637067</c:v>
                </c:pt>
                <c:pt idx="423">
                  <c:v>112.86882000241896</c:v>
                </c:pt>
                <c:pt idx="424">
                  <c:v>112.41375845223401</c:v>
                </c:pt>
                <c:pt idx="425">
                  <c:v>111.96577135113867</c:v>
                </c:pt>
                <c:pt idx="426">
                  <c:v>111.52486147363366</c:v>
                </c:pt>
                <c:pt idx="427">
                  <c:v>111.09102444135409</c:v>
                </c:pt>
                <c:pt idx="428">
                  <c:v>110.66424907189696</c:v>
                </c:pt>
                <c:pt idx="429">
                  <c:v>110.24451772691829</c:v>
                </c:pt>
                <c:pt idx="430">
                  <c:v>109.8318066580381</c:v>
                </c:pt>
                <c:pt idx="431">
                  <c:v>109.42608634922577</c:v>
                </c:pt>
                <c:pt idx="432">
                  <c:v>109.02732185447348</c:v>
                </c:pt>
                <c:pt idx="433">
                  <c:v>108.63547312969364</c:v>
                </c:pt>
                <c:pt idx="434">
                  <c:v>108.25049535790122</c:v>
                </c:pt>
                <c:pt idx="435">
                  <c:v>107.87233926686572</c:v>
                </c:pt>
                <c:pt idx="436">
                  <c:v>107.5009514385263</c:v>
                </c:pt>
                <c:pt idx="437">
                  <c:v>107.13627460957565</c:v>
                </c:pt>
                <c:pt idx="438">
                  <c:v>106.77824796271989</c:v>
                </c:pt>
                <c:pt idx="439">
                  <c:v>106.4268074082119</c:v>
                </c:pt>
                <c:pt idx="440">
                  <c:v>106.08188585535031</c:v>
                </c:pt>
                <c:pt idx="441">
                  <c:v>105.74341347371167</c:v>
                </c:pt>
                <c:pt idx="442">
                  <c:v>105.41131794395884</c:v>
                </c:pt>
                <c:pt idx="443">
                  <c:v>105.08552469813955</c:v>
                </c:pt>
                <c:pt idx="444">
                  <c:v>104.76595714944531</c:v>
                </c:pt>
                <c:pt idx="445">
                  <c:v>104.45253691145898</c:v>
                </c:pt>
                <c:pt idx="446">
                  <c:v>104.14518400696625</c:v>
                </c:pt>
                <c:pt idx="447">
                  <c:v>103.8438170664525</c:v>
                </c:pt>
                <c:pt idx="448">
                  <c:v>103.54835351643924</c:v>
                </c:pt>
                <c:pt idx="449">
                  <c:v>103.25870975785337</c:v>
                </c:pt>
                <c:pt idx="450">
                  <c:v>102.9748013346459</c:v>
                </c:pt>
                <c:pt idx="451">
                  <c:v>102.69654309290178</c:v>
                </c:pt>
                <c:pt idx="452">
                  <c:v>102.42384933070518</c:v>
                </c:pt>
                <c:pt idx="453">
                  <c:v>102.15663393903603</c:v>
                </c:pt>
                <c:pt idx="454">
                  <c:v>101.89481053398946</c:v>
                </c:pt>
                <c:pt idx="455">
                  <c:v>101.63829258062046</c:v>
                </c:pt>
                <c:pt idx="456">
                  <c:v>101.38699350871887</c:v>
                </c:pt>
                <c:pt idx="457">
                  <c:v>101.14082682082847</c:v>
                </c:pt>
                <c:pt idx="458">
                  <c:v>100.89970619282538</c:v>
                </c:pt>
                <c:pt idx="459">
                  <c:v>100.66354556736837</c:v>
                </c:pt>
                <c:pt idx="460">
                  <c:v>100.43225924053741</c:v>
                </c:pt>
                <c:pt idx="461">
                  <c:v>100.20576194196873</c:v>
                </c:pt>
                <c:pt idx="462">
                  <c:v>99.983968908794779</c:v>
                </c:pt>
                <c:pt idx="463">
                  <c:v>99.766795953688643</c:v>
                </c:pt>
                <c:pt idx="464">
                  <c:v>99.554159527309452</c:v>
                </c:pt>
                <c:pt idx="465">
                  <c:v>99.345976775435247</c:v>
                </c:pt>
                <c:pt idx="466">
                  <c:v>99.142165591064511</c:v>
                </c:pt>
                <c:pt idx="467">
                  <c:v>98.942644661758379</c:v>
                </c:pt>
                <c:pt idx="468">
                  <c:v>98.74733351248544</c:v>
                </c:pt>
                <c:pt idx="469">
                  <c:v>98.556152544225739</c:v>
                </c:pt>
                <c:pt idx="470">
                  <c:v>98.369023068577036</c:v>
                </c:pt>
                <c:pt idx="471">
                  <c:v>98.185867338600985</c:v>
                </c:pt>
                <c:pt idx="472">
                  <c:v>98.00660857613417</c:v>
                </c:pt>
                <c:pt idx="473">
                  <c:v>97.831170995782188</c:v>
                </c:pt>
                <c:pt idx="474">
                  <c:v>97.659479825804198</c:v>
                </c:pt>
                <c:pt idx="475">
                  <c:v>97.491461326085798</c:v>
                </c:pt>
                <c:pt idx="476">
                  <c:v>97.327042803390697</c:v>
                </c:pt>
                <c:pt idx="477">
                  <c:v>97.166152624070776</c:v>
                </c:pt>
                <c:pt idx="478">
                  <c:v>97.008720224406403</c:v>
                </c:pt>
                <c:pt idx="479">
                  <c:v>96.854676118739462</c:v>
                </c:pt>
                <c:pt idx="480">
                  <c:v>96.703951905555385</c:v>
                </c:pt>
                <c:pt idx="481">
                  <c:v>96.556480271659268</c:v>
                </c:pt>
                <c:pt idx="482">
                  <c:v>96.412194994585903</c:v>
                </c:pt>
                <c:pt idx="483">
                  <c:v>96.271030943374555</c:v>
                </c:pt>
                <c:pt idx="484">
                  <c:v>96.132924077833337</c:v>
                </c:pt>
                <c:pt idx="485">
                  <c:v>95.997811446409557</c:v>
                </c:pt>
                <c:pt idx="486">
                  <c:v>95.865631182777491</c:v>
                </c:pt>
                <c:pt idx="487">
                  <c:v>95.736322501246192</c:v>
                </c:pt>
                <c:pt idx="488">
                  <c:v>95.609825691087039</c:v>
                </c:pt>
                <c:pt idx="489">
                  <c:v>95.486082109872157</c:v>
                </c:pt>
                <c:pt idx="490">
                  <c:v>95.365034175910083</c:v>
                </c:pt>
                <c:pt idx="491">
                  <c:v>95.246625359860687</c:v>
                </c:pt>
                <c:pt idx="492">
                  <c:v>95.130800175604648</c:v>
                </c:pt>
                <c:pt idx="493">
                  <c:v>95.017504170439523</c:v>
                </c:pt>
                <c:pt idx="494">
                  <c:v>94.90668391466923</c:v>
                </c:pt>
                <c:pt idx="495">
                  <c:v>94.798286990648535</c:v>
                </c:pt>
                <c:pt idx="496">
                  <c:v>94.692261981341986</c:v>
                </c:pt>
                <c:pt idx="497">
                  <c:v>94.588558458451459</c:v>
                </c:pt>
                <c:pt idx="498">
                  <c:v>94.487126970162521</c:v>
                </c:pt>
                <c:pt idx="499">
                  <c:v>94.387919028558187</c:v>
                </c:pt>
                <c:pt idx="500">
                  <c:v>94.290887096743006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22-463D-81A0-68F554C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800192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00192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Small Signal Response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90149102601483E-2"/>
          <c:y val="6.7741019379933418E-2"/>
          <c:w val="0.86378579098067365"/>
          <c:h val="0.719583697871099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'Small Signal'!$AB$3</c:f>
              <c:strCache>
                <c:ptCount val="1"/>
                <c:pt idx="0">
                  <c:v>Gain Gvc CCM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Signal'!$AB$4:$AB$504</c:f>
              <c:numCache>
                <c:formatCode>General</c:formatCode>
                <c:ptCount val="501"/>
                <c:pt idx="0">
                  <c:v>25.490243213562124</c:v>
                </c:pt>
                <c:pt idx="1">
                  <c:v>25.490221303317444</c:v>
                </c:pt>
                <c:pt idx="2">
                  <c:v>25.490198386979401</c:v>
                </c:pt>
                <c:pt idx="3">
                  <c:v>25.490174418354986</c:v>
                </c:pt>
                <c:pt idx="4">
                  <c:v>25.49014934913086</c:v>
                </c:pt>
                <c:pt idx="5">
                  <c:v>25.490123128776254</c:v>
                </c:pt>
                <c:pt idx="6">
                  <c:v>25.49009570444078</c:v>
                </c:pt>
                <c:pt idx="7">
                  <c:v>25.490067020848613</c:v>
                </c:pt>
                <c:pt idx="8">
                  <c:v>25.490037020186698</c:v>
                </c:pt>
                <c:pt idx="9">
                  <c:v>25.49000564198872</c:v>
                </c:pt>
                <c:pt idx="10">
                  <c:v>25.489972823013236</c:v>
                </c:pt>
                <c:pt idx="11">
                  <c:v>25.489938497116555</c:v>
                </c:pt>
                <c:pt idx="12">
                  <c:v>25.489902595119254</c:v>
                </c:pt>
                <c:pt idx="13">
                  <c:v>25.489865044667525</c:v>
                </c:pt>
                <c:pt idx="14">
                  <c:v>25.48982577008735</c:v>
                </c:pt>
                <c:pt idx="15">
                  <c:v>25.489784692232092</c:v>
                </c:pt>
                <c:pt idx="16">
                  <c:v>25.489741728323338</c:v>
                </c:pt>
                <c:pt idx="17">
                  <c:v>25.489696791784809</c:v>
                </c:pt>
                <c:pt idx="18">
                  <c:v>25.489649792067897</c:v>
                </c:pt>
                <c:pt idx="19">
                  <c:v>25.489600634469415</c:v>
                </c:pt>
                <c:pt idx="20">
                  <c:v>25.489549219941683</c:v>
                </c:pt>
                <c:pt idx="21">
                  <c:v>25.489495444892913</c:v>
                </c:pt>
                <c:pt idx="22">
                  <c:v>25.489439200979362</c:v>
                </c:pt>
                <c:pt idx="23">
                  <c:v>25.489380374887478</c:v>
                </c:pt>
                <c:pt idx="24">
                  <c:v>25.489318848105938</c:v>
                </c:pt>
                <c:pt idx="25">
                  <c:v>25.489254496688126</c:v>
                </c:pt>
                <c:pt idx="26">
                  <c:v>25.489187191002483</c:v>
                </c:pt>
                <c:pt idx="27">
                  <c:v>25.489116795472825</c:v>
                </c:pt>
                <c:pt idx="28">
                  <c:v>25.489043168305443</c:v>
                </c:pt>
                <c:pt idx="29">
                  <c:v>25.488966161204978</c:v>
                </c:pt>
                <c:pt idx="30">
                  <c:v>25.488885619076257</c:v>
                </c:pt>
                <c:pt idx="31">
                  <c:v>25.488801379713774</c:v>
                </c:pt>
                <c:pt idx="32">
                  <c:v>25.488713273475216</c:v>
                </c:pt>
                <c:pt idx="33">
                  <c:v>25.488621122942131</c:v>
                </c:pt>
                <c:pt idx="34">
                  <c:v>25.488524742563673</c:v>
                </c:pt>
                <c:pt idx="35">
                  <c:v>25.488423938284516</c:v>
                </c:pt>
                <c:pt idx="36">
                  <c:v>25.488318507156112</c:v>
                </c:pt>
                <c:pt idx="37">
                  <c:v>25.488208236929772</c:v>
                </c:pt>
                <c:pt idx="38">
                  <c:v>25.488092905631817</c:v>
                </c:pt>
                <c:pt idx="39">
                  <c:v>25.487972281118701</c:v>
                </c:pt>
                <c:pt idx="40">
                  <c:v>25.487846120612517</c:v>
                </c:pt>
                <c:pt idx="41">
                  <c:v>25.487714170214591</c:v>
                </c:pt>
                <c:pt idx="42">
                  <c:v>25.487576164398451</c:v>
                </c:pt>
                <c:pt idx="43">
                  <c:v>25.487431825477763</c:v>
                </c:pt>
                <c:pt idx="44">
                  <c:v>25.487280863051783</c:v>
                </c:pt>
                <c:pt idx="45">
                  <c:v>25.487122973424832</c:v>
                </c:pt>
                <c:pt idx="46">
                  <c:v>25.486957838999658</c:v>
                </c:pt>
                <c:pt idx="47">
                  <c:v>25.486785127643088</c:v>
                </c:pt>
                <c:pt idx="48">
                  <c:v>25.486604492023819</c:v>
                </c:pt>
                <c:pt idx="49">
                  <c:v>25.486415568918321</c:v>
                </c:pt>
                <c:pt idx="50">
                  <c:v>25.486217978487975</c:v>
                </c:pt>
                <c:pt idx="51">
                  <c:v>25.486011323520938</c:v>
                </c:pt>
                <c:pt idx="52">
                  <c:v>25.485795188641823</c:v>
                </c:pt>
                <c:pt idx="53">
                  <c:v>25.48556913948417</c:v>
                </c:pt>
                <c:pt idx="54">
                  <c:v>25.48533272182685</c:v>
                </c:pt>
                <c:pt idx="55">
                  <c:v>25.485085460690602</c:v>
                </c:pt>
                <c:pt idx="56">
                  <c:v>25.484826859394207</c:v>
                </c:pt>
                <c:pt idx="57">
                  <c:v>25.484556398568692</c:v>
                </c:pt>
                <c:pt idx="58">
                  <c:v>25.484273535126274</c:v>
                </c:pt>
                <c:pt idx="59">
                  <c:v>25.483977701184017</c:v>
                </c:pt>
                <c:pt idx="60">
                  <c:v>25.483668302938401</c:v>
                </c:pt>
                <c:pt idx="61">
                  <c:v>25.483344719490066</c:v>
                </c:pt>
                <c:pt idx="62">
                  <c:v>25.483006301615735</c:v>
                </c:pt>
                <c:pt idx="63">
                  <c:v>25.482652370485074</c:v>
                </c:pt>
                <c:pt idx="64">
                  <c:v>25.482282216320897</c:v>
                </c:pt>
                <c:pt idx="65">
                  <c:v>25.481895096998883</c:v>
                </c:pt>
                <c:pt idx="66">
                  <c:v>25.481490236585202</c:v>
                </c:pt>
                <c:pt idx="67">
                  <c:v>25.481066823809936</c:v>
                </c:pt>
                <c:pt idx="68">
                  <c:v>25.480624010471644</c:v>
                </c:pt>
                <c:pt idx="69">
                  <c:v>25.48016090977185</c:v>
                </c:pt>
                <c:pt idx="70">
                  <c:v>25.479676594575725</c:v>
                </c:pt>
                <c:pt idx="71">
                  <c:v>25.479170095596089</c:v>
                </c:pt>
                <c:pt idx="72">
                  <c:v>25.478640399497582</c:v>
                </c:pt>
                <c:pt idx="73">
                  <c:v>25.478086446916798</c:v>
                </c:pt>
                <c:pt idx="74">
                  <c:v>25.477507130396173</c:v>
                </c:pt>
                <c:pt idx="75">
                  <c:v>25.476901292227527</c:v>
                </c:pt>
                <c:pt idx="76">
                  <c:v>25.476267722200653</c:v>
                </c:pt>
                <c:pt idx="77">
                  <c:v>25.475605155254307</c:v>
                </c:pt>
                <c:pt idx="78">
                  <c:v>25.474912269025261</c:v>
                </c:pt>
                <c:pt idx="79">
                  <c:v>25.47418768129079</c:v>
                </c:pt>
                <c:pt idx="80">
                  <c:v>25.473429947300296</c:v>
                </c:pt>
                <c:pt idx="81">
                  <c:v>25.472637556992485</c:v>
                </c:pt>
                <c:pt idx="82">
                  <c:v>25.471808932092614</c:v>
                </c:pt>
                <c:pt idx="83">
                  <c:v>25.47094242308582</c:v>
                </c:pt>
                <c:pt idx="84">
                  <c:v>25.470036306060223</c:v>
                </c:pt>
                <c:pt idx="85">
                  <c:v>25.469088779416815</c:v>
                </c:pt>
                <c:pt idx="86">
                  <c:v>25.468097960439366</c:v>
                </c:pt>
                <c:pt idx="87">
                  <c:v>25.467061881719761</c:v>
                </c:pt>
                <c:pt idx="88">
                  <c:v>25.465978487432572</c:v>
                </c:pt>
                <c:pt idx="89">
                  <c:v>25.464845629454413</c:v>
                </c:pt>
                <c:pt idx="90">
                  <c:v>25.46366106332124</c:v>
                </c:pt>
                <c:pt idx="91">
                  <c:v>25.462422444017704</c:v>
                </c:pt>
                <c:pt idx="92">
                  <c:v>25.461127321593562</c:v>
                </c:pt>
                <c:pt idx="93">
                  <c:v>25.459773136599708</c:v>
                </c:pt>
                <c:pt idx="94">
                  <c:v>25.458357215338381</c:v>
                </c:pt>
                <c:pt idx="95">
                  <c:v>25.456876764920402</c:v>
                </c:pt>
                <c:pt idx="96">
                  <c:v>25.455328868123374</c:v>
                </c:pt>
                <c:pt idx="97">
                  <c:v>25.453710478044744</c:v>
                </c:pt>
                <c:pt idx="98">
                  <c:v>25.452018412541587</c:v>
                </c:pt>
                <c:pt idx="99">
                  <c:v>25.450249348451376</c:v>
                </c:pt>
                <c:pt idx="100">
                  <c:v>25.448399815587198</c:v>
                </c:pt>
                <c:pt idx="101">
                  <c:v>25.446466190499166</c:v>
                </c:pt>
                <c:pt idx="102">
                  <c:v>25.444444689996875</c:v>
                </c:pt>
                <c:pt idx="103">
                  <c:v>25.442331364424774</c:v>
                </c:pt>
                <c:pt idx="104">
                  <c:v>25.44012209068423</c:v>
                </c:pt>
                <c:pt idx="105">
                  <c:v>25.437812564995241</c:v>
                </c:pt>
                <c:pt idx="106">
                  <c:v>25.435398295391479</c:v>
                </c:pt>
                <c:pt idx="107">
                  <c:v>25.432874593942302</c:v>
                </c:pt>
                <c:pt idx="108">
                  <c:v>25.430236568694816</c:v>
                </c:pt>
                <c:pt idx="109">
                  <c:v>25.42747911533074</c:v>
                </c:pt>
                <c:pt idx="110">
                  <c:v>25.424596908531747</c:v>
                </c:pt>
                <c:pt idx="111">
                  <c:v>25.421584393048381</c:v>
                </c:pt>
                <c:pt idx="112">
                  <c:v>25.41843577446711</c:v>
                </c:pt>
                <c:pt idx="113">
                  <c:v>25.415145009671431</c:v>
                </c:pt>
                <c:pt idx="114">
                  <c:v>25.411705796993157</c:v>
                </c:pt>
                <c:pt idx="115">
                  <c:v>25.408111566049598</c:v>
                </c:pt>
                <c:pt idx="116">
                  <c:v>25.404355467266392</c:v>
                </c:pt>
                <c:pt idx="117">
                  <c:v>25.400430361081689</c:v>
                </c:pt>
                <c:pt idx="118">
                  <c:v>25.396328806832081</c:v>
                </c:pt>
                <c:pt idx="119">
                  <c:v>25.392043051321721</c:v>
                </c:pt>
                <c:pt idx="120">
                  <c:v>25.387565017073612</c:v>
                </c:pt>
                <c:pt idx="121">
                  <c:v>25.382886290268431</c:v>
                </c:pt>
                <c:pt idx="122">
                  <c:v>25.377998108373063</c:v>
                </c:pt>
                <c:pt idx="123">
                  <c:v>25.372891347466396</c:v>
                </c:pt>
                <c:pt idx="124">
                  <c:v>25.367556509268706</c:v>
                </c:pt>
                <c:pt idx="125">
                  <c:v>25.361983707884512</c:v>
                </c:pt>
                <c:pt idx="126">
                  <c:v>25.356162656271955</c:v>
                </c:pt>
                <c:pt idx="127">
                  <c:v>25.350082652449988</c:v>
                </c:pt>
                <c:pt idx="128">
                  <c:v>25.343732565463188</c:v>
                </c:pt>
                <c:pt idx="129">
                  <c:v>25.337100821119826</c:v>
                </c:pt>
                <c:pt idx="130">
                  <c:v>25.3301753875297</c:v>
                </c:pt>
                <c:pt idx="131">
                  <c:v>25.32294376046282</c:v>
                </c:pt>
                <c:pt idx="132">
                  <c:v>25.315392948561446</c:v>
                </c:pt>
                <c:pt idx="133">
                  <c:v>25.307509458435305</c:v>
                </c:pt>
                <c:pt idx="134">
                  <c:v>25.299279279678743</c:v>
                </c:pt>
                <c:pt idx="135">
                  <c:v>25.290687869849037</c:v>
                </c:pt>
                <c:pt idx="136">
                  <c:v>25.281720139451814</c:v>
                </c:pt>
                <c:pt idx="137">
                  <c:v>25.272360436983146</c:v>
                </c:pt>
                <c:pt idx="138">
                  <c:v>25.262592534084575</c:v>
                </c:pt>
                <c:pt idx="139">
                  <c:v>25.25239961086897</c:v>
                </c:pt>
                <c:pt idx="140">
                  <c:v>25.241764241486479</c:v>
                </c:pt>
                <c:pt idx="141">
                  <c:v>25.230668379998669</c:v>
                </c:pt>
                <c:pt idx="142">
                  <c:v>25.219093346641912</c:v>
                </c:pt>
                <c:pt idx="143">
                  <c:v>25.207019814561981</c:v>
                </c:pt>
                <c:pt idx="144">
                  <c:v>25.194427797110567</c:v>
                </c:pt>
                <c:pt idx="145">
                  <c:v>25.181296635802557</c:v>
                </c:pt>
                <c:pt idx="146">
                  <c:v>25.167604989035667</c:v>
                </c:pt>
                <c:pt idx="147">
                  <c:v>25.153330821685088</c:v>
                </c:pt>
                <c:pt idx="148">
                  <c:v>25.13845139568997</c:v>
                </c:pt>
                <c:pt idx="149">
                  <c:v>25.12294326175666</c:v>
                </c:pt>
                <c:pt idx="150">
                  <c:v>25.106782252310129</c:v>
                </c:pt>
                <c:pt idx="151">
                  <c:v>25.089943475831689</c:v>
                </c:pt>
                <c:pt idx="152">
                  <c:v>25.072401312727173</c:v>
                </c:pt>
                <c:pt idx="153">
                  <c:v>25.054129412876666</c:v>
                </c:pt>
                <c:pt idx="154">
                  <c:v>25.035100695022127</c:v>
                </c:pt>
                <c:pt idx="155">
                  <c:v>25.015287348152782</c:v>
                </c:pt>
                <c:pt idx="156">
                  <c:v>24.994660835056031</c:v>
                </c:pt>
                <c:pt idx="157">
                  <c:v>24.973191898201812</c:v>
                </c:pt>
                <c:pt idx="158">
                  <c:v>24.950850568132093</c:v>
                </c:pt>
                <c:pt idx="159">
                  <c:v>24.927606174530602</c:v>
                </c:pt>
                <c:pt idx="160">
                  <c:v>24.903427360144185</c:v>
                </c:pt>
                <c:pt idx="161">
                  <c:v>24.878282097730491</c:v>
                </c:pt>
                <c:pt idx="162">
                  <c:v>24.852137710200534</c:v>
                </c:pt>
                <c:pt idx="163">
                  <c:v>24.824960894121567</c:v>
                </c:pt>
                <c:pt idx="164">
                  <c:v>24.79671774674026</c:v>
                </c:pt>
                <c:pt idx="165">
                  <c:v>24.767373796675059</c:v>
                </c:pt>
                <c:pt idx="166">
                  <c:v>24.736894038418956</c:v>
                </c:pt>
                <c:pt idx="167">
                  <c:v>24.705242970778265</c:v>
                </c:pt>
                <c:pt idx="168">
                  <c:v>24.672384639358931</c:v>
                </c:pt>
                <c:pt idx="169">
                  <c:v>24.638282683194209</c:v>
                </c:pt>
                <c:pt idx="170">
                  <c:v>24.602900385583347</c:v>
                </c:pt>
                <c:pt idx="171">
                  <c:v>24.566200729192957</c:v>
                </c:pt>
                <c:pt idx="172">
                  <c:v>24.528146455440446</c:v>
                </c:pt>
                <c:pt idx="173">
                  <c:v>24.488700128155145</c:v>
                </c:pt>
                <c:pt idx="174">
                  <c:v>24.447824201476781</c:v>
                </c:pt>
                <c:pt idx="175">
                  <c:v>24.405481091920109</c:v>
                </c:pt>
                <c:pt idx="176">
                  <c:v>24.361633254496088</c:v>
                </c:pt>
                <c:pt idx="177">
                  <c:v>24.316243262742823</c:v>
                </c:pt>
                <c:pt idx="178">
                  <c:v>24.269273892477507</c:v>
                </c:pt>
                <c:pt idx="179">
                  <c:v>24.220688209041164</c:v>
                </c:pt>
                <c:pt idx="180">
                  <c:v>24.170449657762695</c:v>
                </c:pt>
                <c:pt idx="181">
                  <c:v>24.118522157327856</c:v>
                </c:pt>
                <c:pt idx="182">
                  <c:v>24.064870195694329</c:v>
                </c:pt>
                <c:pt idx="183">
                  <c:v>24.009458928150679</c:v>
                </c:pt>
                <c:pt idx="184">
                  <c:v>23.952254277078019</c:v>
                </c:pt>
                <c:pt idx="185">
                  <c:v>23.893223032930994</c:v>
                </c:pt>
                <c:pt idx="186">
                  <c:v>23.832332955919849</c:v>
                </c:pt>
                <c:pt idx="187">
                  <c:v>23.769552877839551</c:v>
                </c:pt>
                <c:pt idx="188">
                  <c:v>23.704852803466014</c:v>
                </c:pt>
                <c:pt idx="189">
                  <c:v>23.638204010910179</c:v>
                </c:pt>
                <c:pt idx="190">
                  <c:v>23.56957915030344</c:v>
                </c:pt>
                <c:pt idx="191">
                  <c:v>23.498952340175041</c:v>
                </c:pt>
                <c:pt idx="192">
                  <c:v>23.42629926087282</c:v>
                </c:pt>
                <c:pt idx="193">
                  <c:v>23.351597244379722</c:v>
                </c:pt>
                <c:pt idx="194">
                  <c:v>23.274825359885625</c:v>
                </c:pt>
                <c:pt idx="195">
                  <c:v>23.195964494487839</c:v>
                </c:pt>
                <c:pt idx="196">
                  <c:v>23.114997428416054</c:v>
                </c:pt>
                <c:pt idx="197">
                  <c:v>23.031908904208439</c:v>
                </c:pt>
                <c:pt idx="198">
                  <c:v>22.946685689300644</c:v>
                </c:pt>
                <c:pt idx="199">
                  <c:v>22.859316631536718</c:v>
                </c:pt>
                <c:pt idx="200">
                  <c:v>22.76979270715966</c:v>
                </c:pt>
                <c:pt idx="201">
                  <c:v>22.678107060898178</c:v>
                </c:pt>
                <c:pt idx="202">
                  <c:v>22.58425503782837</c:v>
                </c:pt>
                <c:pt idx="203">
                  <c:v>22.48823420675717</c:v>
                </c:pt>
                <c:pt idx="204">
                  <c:v>22.390044374943855</c:v>
                </c:pt>
                <c:pt idx="205">
                  <c:v>22.289687594052531</c:v>
                </c:pt>
                <c:pt idx="206">
                  <c:v>22.187168157300476</c:v>
                </c:pt>
                <c:pt idx="207">
                  <c:v>22.082492587846609</c:v>
                </c:pt>
                <c:pt idx="208">
                  <c:v>21.97566961853714</c:v>
                </c:pt>
                <c:pt idx="209">
                  <c:v>21.866710163200448</c:v>
                </c:pt>
                <c:pt idx="210">
                  <c:v>21.755627279754567</c:v>
                </c:pt>
                <c:pt idx="211">
                  <c:v>21.642436125456207</c:v>
                </c:pt>
                <c:pt idx="212">
                  <c:v>21.527153904685488</c:v>
                </c:pt>
                <c:pt idx="213">
                  <c:v>21.409799809714904</c:v>
                </c:pt>
                <c:pt idx="214">
                  <c:v>21.290394954964089</c:v>
                </c:pt>
                <c:pt idx="215">
                  <c:v>21.168962305285064</c:v>
                </c:pt>
                <c:pt idx="216">
                  <c:v>21.045526598860601</c:v>
                </c:pt>
                <c:pt idx="217">
                  <c:v>20.920114265326841</c:v>
                </c:pt>
                <c:pt idx="218">
                  <c:v>20.79275333975361</c:v>
                </c:pt>
                <c:pt idx="219">
                  <c:v>20.663473373131648</c:v>
                </c:pt>
                <c:pt idx="220">
                  <c:v>20.532305340019988</c:v>
                </c:pt>
                <c:pt idx="221">
                  <c:v>20.399281544008719</c:v>
                </c:pt>
                <c:pt idx="222">
                  <c:v>20.264435521643946</c:v>
                </c:pt>
                <c:pt idx="223">
                  <c:v>20.127801945447871</c:v>
                </c:pt>
                <c:pt idx="224">
                  <c:v>19.989416526647844</c:v>
                </c:pt>
                <c:pt idx="225">
                  <c:v>19.849315918201839</c:v>
                </c:pt>
                <c:pt idx="226">
                  <c:v>19.707537618680483</c:v>
                </c:pt>
                <c:pt idx="227">
                  <c:v>19.564119877528643</c:v>
                </c:pt>
                <c:pt idx="228">
                  <c:v>19.419101602196658</c:v>
                </c:pt>
                <c:pt idx="229">
                  <c:v>19.27252226758845</c:v>
                </c:pt>
                <c:pt idx="230">
                  <c:v>19.124421828233992</c:v>
                </c:pt>
                <c:pt idx="231">
                  <c:v>18.974840633550343</c:v>
                </c:pt>
                <c:pt idx="232">
                  <c:v>18.823819346514117</c:v>
                </c:pt>
                <c:pt idx="233">
                  <c:v>18.671398866020841</c:v>
                </c:pt>
                <c:pt idx="234">
                  <c:v>18.517620253169934</c:v>
                </c:pt>
                <c:pt idx="235">
                  <c:v>18.362524661666406</c:v>
                </c:pt>
                <c:pt idx="236">
                  <c:v>18.206153272494948</c:v>
                </c:pt>
                <c:pt idx="237">
                  <c:v>18.048547232980333</c:v>
                </c:pt>
                <c:pt idx="238">
                  <c:v>17.889747600313953</c:v>
                </c:pt>
                <c:pt idx="239">
                  <c:v>17.729795289590584</c:v>
                </c:pt>
                <c:pt idx="240">
                  <c:v>17.568731026368958</c:v>
                </c:pt>
                <c:pt idx="241">
                  <c:v>17.406595303740193</c:v>
                </c:pt>
                <c:pt idx="242">
                  <c:v>17.24342834386206</c:v>
                </c:pt>
                <c:pt idx="243">
                  <c:v>17.079270063893141</c:v>
                </c:pt>
                <c:pt idx="244">
                  <c:v>16.914160046240355</c:v>
                </c:pt>
                <c:pt idx="245">
                  <c:v>16.748137513014598</c:v>
                </c:pt>
                <c:pt idx="246">
                  <c:v>16.581241304574121</c:v>
                </c:pt>
                <c:pt idx="247">
                  <c:v>16.413509862020327</c:v>
                </c:pt>
                <c:pt idx="248">
                  <c:v>16.244981213502495</c:v>
                </c:pt>
                <c:pt idx="249">
                  <c:v>16.075692964175122</c:v>
                </c:pt>
                <c:pt idx="250">
                  <c:v>15.905682289648608</c:v>
                </c:pt>
                <c:pt idx="251">
                  <c:v>15.734985932765662</c:v>
                </c:pt>
                <c:pt idx="252">
                  <c:v>15.563640203535412</c:v>
                </c:pt>
                <c:pt idx="253">
                  <c:v>15.391680982051206</c:v>
                </c:pt>
                <c:pt idx="254">
                  <c:v>15.219143724222629</c:v>
                </c:pt>
                <c:pt idx="255">
                  <c:v>15.046063470148287</c:v>
                </c:pt>
                <c:pt idx="256">
                  <c:v>14.872474854958471</c:v>
                </c:pt>
                <c:pt idx="257">
                  <c:v>14.698412121962443</c:v>
                </c:pt>
                <c:pt idx="258">
                  <c:v>14.523909137931653</c:v>
                </c:pt>
                <c:pt idx="259">
                  <c:v>14.348999410360339</c:v>
                </c:pt>
                <c:pt idx="260">
                  <c:v>14.173716106543846</c:v>
                </c:pt>
                <c:pt idx="261">
                  <c:v>13.99809207432174</c:v>
                </c:pt>
                <c:pt idx="262">
                  <c:v>13.822159864336385</c:v>
                </c:pt>
                <c:pt idx="263">
                  <c:v>13.645951753660945</c:v>
                </c:pt>
                <c:pt idx="264">
                  <c:v>13.469499770657531</c:v>
                </c:pt>
                <c:pt idx="265">
                  <c:v>13.292835720927016</c:v>
                </c:pt>
                <c:pt idx="266">
                  <c:v>13.11599121421853</c:v>
                </c:pt>
                <c:pt idx="267">
                  <c:v>12.938997692169682</c:v>
                </c:pt>
                <c:pt idx="268">
                  <c:v>12.761886456750172</c:v>
                </c:pt>
                <c:pt idx="269">
                  <c:v>12.584688699287801</c:v>
                </c:pt>
                <c:pt idx="270">
                  <c:v>12.407435529953506</c:v>
                </c:pt>
                <c:pt idx="271">
                  <c:v>12.230158007589559</c:v>
                </c:pt>
                <c:pt idx="272">
                  <c:v>12.052887169761565</c:v>
                </c:pt>
                <c:pt idx="273">
                  <c:v>11.875654062919676</c:v>
                </c:pt>
                <c:pt idx="274">
                  <c:v>11.698489772552609</c:v>
                </c:pt>
                <c:pt idx="275">
                  <c:v>11.521425453217994</c:v>
                </c:pt>
                <c:pt idx="276">
                  <c:v>11.344492358335154</c:v>
                </c:pt>
                <c:pt idx="277">
                  <c:v>11.167721869619553</c:v>
                </c:pt>
                <c:pt idx="278">
                  <c:v>10.991145526043127</c:v>
                </c:pt>
                <c:pt idx="279">
                  <c:v>10.814795052197248</c:v>
                </c:pt>
                <c:pt idx="280">
                  <c:v>10.63870238593484</c:v>
                </c:pt>
                <c:pt idx="281">
                  <c:v>10.462899705166684</c:v>
                </c:pt>
                <c:pt idx="282">
                  <c:v>10.287419453679515</c:v>
                </c:pt>
                <c:pt idx="283">
                  <c:v>10.112294365844228</c:v>
                </c:pt>
                <c:pt idx="284">
                  <c:v>9.9375574900758892</c:v>
                </c:pt>
                <c:pt idx="285">
                  <c:v>9.7632422109033268</c:v>
                </c:pt>
                <c:pt idx="286">
                  <c:v>9.5893822695035968</c:v>
                </c:pt>
                <c:pt idx="287">
                  <c:v>9.416011782550429</c:v>
                </c:pt>
                <c:pt idx="288">
                  <c:v>9.2431652592219944</c:v>
                </c:pt>
                <c:pt idx="289">
                  <c:v>9.0708776162114457</c:v>
                </c:pt>
                <c:pt idx="290">
                  <c:v>8.8991841905748679</c:v>
                </c:pt>
                <c:pt idx="291">
                  <c:v>8.7281207502556484</c:v>
                </c:pt>
                <c:pt idx="292">
                  <c:v>8.5577235021136886</c:v>
                </c:pt>
                <c:pt idx="293">
                  <c:v>8.3880290972908345</c:v>
                </c:pt>
                <c:pt idx="294">
                  <c:v>8.2190746337425065</c:v>
                </c:pt>
                <c:pt idx="295">
                  <c:v>8.0508976557612293</c:v>
                </c:pt>
                <c:pt idx="296">
                  <c:v>7.8835361503255363</c:v>
                </c:pt>
                <c:pt idx="297">
                  <c:v>7.7170285401029783</c:v>
                </c:pt>
                <c:pt idx="298">
                  <c:v>7.5514136729465777</c:v>
                </c:pt>
                <c:pt idx="299">
                  <c:v>7.386730807723648</c:v>
                </c:pt>
                <c:pt idx="300">
                  <c:v>7.2230195963276476</c:v>
                </c:pt>
                <c:pt idx="301">
                  <c:v>7.0603200617331012</c:v>
                </c:pt>
                <c:pt idx="302">
                  <c:v>6.898672571961618</c:v>
                </c:pt>
                <c:pt idx="303">
                  <c:v>6.7381178098454706</c:v>
                </c:pt>
                <c:pt idx="304">
                  <c:v>6.5786967384909936</c:v>
                </c:pt>
                <c:pt idx="305">
                  <c:v>6.4204505623598385</c:v>
                </c:pt>
                <c:pt idx="306">
                  <c:v>6.263420683912547</c:v>
                </c:pt>
                <c:pt idx="307">
                  <c:v>6.1076486557792347</c:v>
                </c:pt>
                <c:pt idx="308">
                  <c:v>5.9531761284548734</c:v>
                </c:pt>
                <c:pt idx="309">
                  <c:v>5.8000447935375945</c:v>
                </c:pt>
                <c:pt idx="310">
                  <c:v>5.6482963225726586</c:v>
                </c:pt>
                <c:pt idx="311">
                  <c:v>5.4979723015866959</c:v>
                </c:pt>
                <c:pt idx="312">
                  <c:v>5.3491141614452911</c:v>
                </c:pt>
                <c:pt idx="313">
                  <c:v>5.2017631041994425</c:v>
                </c:pt>
                <c:pt idx="314">
                  <c:v>5.055960025627436</c:v>
                </c:pt>
                <c:pt idx="315">
                  <c:v>4.9117454342251419</c:v>
                </c:pt>
                <c:pt idx="316">
                  <c:v>4.7691593669357033</c:v>
                </c:pt>
                <c:pt idx="317">
                  <c:v>4.6282413019551836</c:v>
                </c:pt>
                <c:pt idx="318">
                  <c:v>4.4890300689957821</c:v>
                </c:pt>
                <c:pt idx="319">
                  <c:v>4.3515637574258452</c:v>
                </c:pt>
                <c:pt idx="320">
                  <c:v>4.2158796227524284</c:v>
                </c:pt>
                <c:pt idx="321">
                  <c:v>4.0820139919470213</c:v>
                </c:pt>
                <c:pt idx="322">
                  <c:v>3.9500021681542208</c:v>
                </c:pt>
                <c:pt idx="323">
                  <c:v>3.8198783353530081</c:v>
                </c:pt>
                <c:pt idx="324">
                  <c:v>3.6916754635719498</c:v>
                </c:pt>
                <c:pt idx="325">
                  <c:v>3.5654252152814356</c:v>
                </c:pt>
                <c:pt idx="326">
                  <c:v>3.4411578536050507</c:v>
                </c:pt>
                <c:pt idx="327">
                  <c:v>3.3189021530038572</c:v>
                </c:pt>
                <c:pt idx="328">
                  <c:v>3.1986853130944874</c:v>
                </c:pt>
                <c:pt idx="329">
                  <c:v>3.0805328762587569</c:v>
                </c:pt>
                <c:pt idx="330">
                  <c:v>2.9644686496948083</c:v>
                </c:pt>
                <c:pt idx="331">
                  <c:v>2.850514632544352</c:v>
                </c:pt>
                <c:pt idx="332">
                  <c:v>2.7386909487040123</c:v>
                </c:pt>
                <c:pt idx="333">
                  <c:v>2.6290157859014762</c:v>
                </c:pt>
                <c:pt idx="334">
                  <c:v>2.5215053415732811</c:v>
                </c:pt>
                <c:pt idx="335">
                  <c:v>2.416173776040516</c:v>
                </c:pt>
                <c:pt idx="336">
                  <c:v>2.3130331734216152</c:v>
                </c:pt>
                <c:pt idx="337">
                  <c:v>2.2120935106661439</c:v>
                </c:pt>
                <c:pt idx="338">
                  <c:v>2.1133626350276371</c:v>
                </c:pt>
                <c:pt idx="339">
                  <c:v>2.016846250227244</c:v>
                </c:pt>
                <c:pt idx="340">
                  <c:v>1.9225479114881663</c:v>
                </c:pt>
                <c:pt idx="341">
                  <c:v>1.8304690295440997</c:v>
                </c:pt>
                <c:pt idx="342">
                  <c:v>1.740608883655439</c:v>
                </c:pt>
                <c:pt idx="343">
                  <c:v>1.6529646435850185</c:v>
                </c:pt>
                <c:pt idx="344">
                  <c:v>1.5675314004156184</c:v>
                </c:pt>
                <c:pt idx="345">
                  <c:v>1.484302206015665</c:v>
                </c:pt>
                <c:pt idx="346">
                  <c:v>1.4032681208916287</c:v>
                </c:pt>
                <c:pt idx="347">
                  <c:v>1.3244182700990146</c:v>
                </c:pt>
                <c:pt idx="348">
                  <c:v>1.2477399068242545</c:v>
                </c:pt>
                <c:pt idx="349">
                  <c:v>1.1732184831920018</c:v>
                </c:pt>
                <c:pt idx="350">
                  <c:v>1.1008377278087551</c:v>
                </c:pt>
                <c:pt idx="351">
                  <c:v>1.0305797295051422</c:v>
                </c:pt>
                <c:pt idx="352">
                  <c:v>0.96242502671160057</c:v>
                </c:pt>
                <c:pt idx="353">
                  <c:v>0.89635270186911242</c:v>
                </c:pt>
                <c:pt idx="354">
                  <c:v>0.83234048026270324</c:v>
                </c:pt>
                <c:pt idx="355">
                  <c:v>0.77036483264927003</c:v>
                </c:pt>
                <c:pt idx="356">
                  <c:v>0.71040108105087185</c:v>
                </c:pt>
                <c:pt idx="357">
                  <c:v>0.65242350708535213</c:v>
                </c:pt>
                <c:pt idx="358">
                  <c:v>0.59640546221740132</c:v>
                </c:pt>
                <c:pt idx="359">
                  <c:v>0.54231947932873237</c:v>
                </c:pt>
                <c:pt idx="360">
                  <c:v>0.49013738502999549</c:v>
                </c:pt>
                <c:pt idx="361">
                  <c:v>0.43983041216077856</c:v>
                </c:pt>
                <c:pt idx="362">
                  <c:v>0.39136931196232067</c:v>
                </c:pt>
                <c:pt idx="363">
                  <c:v>0.34472446543538543</c:v>
                </c:pt>
                <c:pt idx="364">
                  <c:v>0.29986599344277809</c:v>
                </c:pt>
                <c:pt idx="365">
                  <c:v>0.25676386515065008</c:v>
                </c:pt>
                <c:pt idx="366">
                  <c:v>0.21538800445144118</c:v>
                </c:pt>
                <c:pt idx="367">
                  <c:v>0.17570839405257982</c:v>
                </c:pt>
                <c:pt idx="368">
                  <c:v>0.13769517695990835</c:v>
                </c:pt>
                <c:pt idx="369">
                  <c:v>0.10131875513210442</c:v>
                </c:pt>
                <c:pt idx="370">
                  <c:v>6.6549885124225355E-2</c:v>
                </c:pt>
                <c:pt idx="371">
                  <c:v>3.335977058306059E-2</c:v>
                </c:pt>
                <c:pt idx="372">
                  <c:v>1.7201514978573865E-3</c:v>
                </c:pt>
                <c:pt idx="373">
                  <c:v>-2.8396609847393992E-2</c:v>
                </c:pt>
                <c:pt idx="374">
                  <c:v>-5.701744624063855E-2</c:v>
                </c:pt>
                <c:pt idx="375">
                  <c:v>-8.4168506206138222E-2</c:v>
                </c:pt>
                <c:pt idx="376">
                  <c:v>-0.10987507791675578</c:v>
                </c:pt>
                <c:pt idx="377">
                  <c:v>-0.1341615162712019</c:v>
                </c:pt>
                <c:pt idx="378">
                  <c:v>-0.15705117302443436</c:v>
                </c:pt>
                <c:pt idx="379">
                  <c:v>-0.17856632983612386</c:v>
                </c:pt>
                <c:pt idx="380">
                  <c:v>-0.19872813407524376</c:v>
                </c:pt>
                <c:pt idx="381">
                  <c:v>-0.21755653720121201</c:v>
                </c:pt>
                <c:pt idx="382">
                  <c:v>-0.2350702355228238</c:v>
                </c:pt>
                <c:pt idx="383">
                  <c:v>-0.25128661311889211</c:v>
                </c:pt>
                <c:pt idx="384">
                  <c:v>-0.26622168669105567</c:v>
                </c:pt>
                <c:pt idx="385">
                  <c:v>-0.27989005210981244</c:v>
                </c:pt>
                <c:pt idx="386">
                  <c:v>-0.29230483239925803</c:v>
                </c:pt>
                <c:pt idx="387">
                  <c:v>-0.30347762690413249</c:v>
                </c:pt>
                <c:pt idx="388">
                  <c:v>-0.31341846136933443</c:v>
                </c:pt>
                <c:pt idx="389">
                  <c:v>-0.32213573866192058</c:v>
                </c:pt>
                <c:pt idx="390">
                  <c:v>-0.32963618985666787</c:v>
                </c:pt>
                <c:pt idx="391">
                  <c:v>-0.33592482540615176</c:v>
                </c:pt>
                <c:pt idx="392">
                  <c:v>-0.34100488611129903</c:v>
                </c:pt>
                <c:pt idx="393">
                  <c:v>-0.34487779360764242</c:v>
                </c:pt>
                <c:pt idx="394">
                  <c:v>-0.3475431000804855</c:v>
                </c:pt>
                <c:pt idx="395">
                  <c:v>-0.34899843692326704</c:v>
                </c:pt>
                <c:pt idx="396">
                  <c:v>-0.34923946204830436</c:v>
                </c:pt>
                <c:pt idx="397">
                  <c:v>-0.34825980556650471</c:v>
                </c:pt>
                <c:pt idx="398">
                  <c:v>-0.34605101354465073</c:v>
                </c:pt>
                <c:pt idx="399">
                  <c:v>-0.34260248955654116</c:v>
                </c:pt>
                <c:pt idx="400">
                  <c:v>-0.33790143374048742</c:v>
                </c:pt>
                <c:pt idx="401">
                  <c:v>-0.331932779080369</c:v>
                </c:pt>
                <c:pt idx="402">
                  <c:v>-0.32467912462603665</c:v>
                </c:pt>
                <c:pt idx="403">
                  <c:v>-0.3161206653756235</c:v>
                </c:pt>
                <c:pt idx="404">
                  <c:v>-0.30623511854259056</c:v>
                </c:pt>
                <c:pt idx="405">
                  <c:v>-0.29499764593669131</c:v>
                </c:pt>
                <c:pt idx="406">
                  <c:v>-0.28238077219415914</c:v>
                </c:pt>
                <c:pt idx="407">
                  <c:v>-0.26835429860218313</c:v>
                </c:pt>
                <c:pt idx="408">
                  <c:v>-0.2528852122715754</c:v>
                </c:pt>
                <c:pt idx="409">
                  <c:v>-0.23593759043070064</c:v>
                </c:pt>
                <c:pt idx="410">
                  <c:v>-0.21747249962796028</c:v>
                </c:pt>
                <c:pt idx="411">
                  <c:v>-0.19744788966068574</c:v>
                </c:pt>
                <c:pt idx="412">
                  <c:v>-0.17581848207754586</c:v>
                </c:pt>
                <c:pt idx="413">
                  <c:v>-0.15253565314285639</c:v>
                </c:pt>
                <c:pt idx="414">
                  <c:v>-0.12754731120889773</c:v>
                </c:pt>
                <c:pt idx="415">
                  <c:v>-0.10079776850083766</c:v>
                </c:pt>
                <c:pt idx="416">
                  <c:v>-7.2227607414678763E-2</c:v>
                </c:pt>
                <c:pt idx="417">
                  <c:v>-4.1773541525139665E-2</c:v>
                </c:pt>
                <c:pt idx="418">
                  <c:v>-9.3682716413154912E-3</c:v>
                </c:pt>
                <c:pt idx="419">
                  <c:v>2.5059662587686771E-2</c:v>
                </c:pt>
                <c:pt idx="420">
                  <c:v>6.1586034804210973E-2</c:v>
                </c:pt>
                <c:pt idx="421">
                  <c:v>0.10029108683698437</c:v>
                </c:pt>
                <c:pt idx="422">
                  <c:v>0.1412596850616388</c:v>
                </c:pt>
                <c:pt idx="423">
                  <c:v>0.18458147652213081</c:v>
                </c:pt>
                <c:pt idx="424">
                  <c:v>0.23035104260811387</c:v>
                </c:pt>
                <c:pt idx="425">
                  <c:v>0.27866804745763352</c:v>
                </c:pt>
                <c:pt idx="426">
                  <c:v>0.3296373774783013</c:v>
                </c:pt>
                <c:pt idx="427">
                  <c:v>0.3833692674205621</c:v>
                </c:pt>
                <c:pt idx="428">
                  <c:v>0.4399794072349581</c:v>
                </c:pt>
                <c:pt idx="429">
                  <c:v>0.49958902246602754</c:v>
                </c:pt>
                <c:pt idx="430">
                  <c:v>0.56232491908997384</c:v>
                </c:pt>
                <c:pt idx="431">
                  <c:v>0.62831948140421567</c:v>
                </c:pt>
                <c:pt idx="432">
                  <c:v>0.69771060873971613</c:v>
                </c:pt>
                <c:pt idx="433">
                  <c:v>0.77064157321078985</c:v>
                </c:pt>
                <c:pt idx="434">
                  <c:v>0.84726077631772301</c:v>
                </c:pt>
                <c:pt idx="435">
                  <c:v>0.92772137672931287</c:v>
                </c:pt>
                <c:pt idx="436">
                  <c:v>1.0121807547501358</c:v>
                </c:pt>
                <c:pt idx="437">
                  <c:v>1.1007997704860559</c:v>
                </c:pt>
                <c:pt idx="438">
                  <c:v>1.1937417621675601</c:v>
                </c:pt>
                <c:pt idx="439">
                  <c:v>1.2911712179729782</c:v>
                </c:pt>
                <c:pt idx="440">
                  <c:v>1.3932520384268496</c:v>
                </c:pt>
                <c:pt idx="441">
                  <c:v>1.5001452863101126</c:v>
                </c:pt>
                <c:pt idx="442">
                  <c:v>1.6120062961735393</c:v>
                </c:pt>
                <c:pt idx="443">
                  <c:v>1.7289809850269222</c:v>
                </c:pt>
                <c:pt idx="444">
                  <c:v>1.851201168531337</c:v>
                </c:pt>
                <c:pt idx="445">
                  <c:v>1.9787786419452258</c:v>
                </c:pt>
                <c:pt idx="446">
                  <c:v>2.1117977311953404</c:v>
                </c:pt>
                <c:pt idx="447">
                  <c:v>2.2503059561113297</c:v>
                </c:pt>
                <c:pt idx="448">
                  <c:v>2.394302375231701</c:v>
                </c:pt>
                <c:pt idx="449">
                  <c:v>2.5437231013118344</c:v>
                </c:pt>
                <c:pt idx="450">
                  <c:v>2.6984233930389419</c:v>
                </c:pt>
                <c:pt idx="451">
                  <c:v>2.8581556502275069</c:v>
                </c:pt>
                <c:pt idx="452">
                  <c:v>3.0225425827467616</c:v>
                </c:pt>
                <c:pt idx="453">
                  <c:v>3.1910448142970544</c:v>
                </c:pt>
                <c:pt idx="454">
                  <c:v>3.3629222634373139</c:v>
                </c:pt>
                <c:pt idx="455">
                  <c:v>3.5371888804451093</c:v>
                </c:pt>
                <c:pt idx="456">
                  <c:v>3.7125608019578236</c:v>
                </c:pt>
                <c:pt idx="457">
                  <c:v>3.8873988391180774</c:v>
                </c:pt>
                <c:pt idx="458">
                  <c:v>4.0596475873175732</c:v>
                </c:pt>
                <c:pt idx="459">
                  <c:v>4.2267754847236061</c:v>
                </c:pt>
                <c:pt idx="460">
                  <c:v>4.3857229407422054</c:v>
                </c:pt>
                <c:pt idx="461">
                  <c:v>4.5328691207843805</c:v>
                </c:pt>
                <c:pt idx="462">
                  <c:v>4.6640316832254189</c:v>
                </c:pt>
                <c:pt idx="463">
                  <c:v>4.7745167450456156</c:v>
                </c:pt>
                <c:pt idx="464">
                  <c:v>4.8592369523569356</c:v>
                </c:pt>
                <c:pt idx="465">
                  <c:v>4.91291156405702</c:v>
                </c:pt>
                <c:pt idx="466">
                  <c:v>4.9303518843757166</c:v>
                </c:pt>
                <c:pt idx="467">
                  <c:v>4.9068176656123077</c:v>
                </c:pt>
                <c:pt idx="468">
                  <c:v>4.8384078466776721</c:v>
                </c:pt>
                <c:pt idx="469">
                  <c:v>4.7224287430522818</c:v>
                </c:pt>
                <c:pt idx="470">
                  <c:v>4.5576735735762588</c:v>
                </c:pt>
                <c:pt idx="471">
                  <c:v>4.3445562663973512</c:v>
                </c:pt>
                <c:pt idx="472">
                  <c:v>4.0850703294147976</c:v>
                </c:pt>
                <c:pt idx="473">
                  <c:v>3.7825818672918969</c:v>
                </c:pt>
                <c:pt idx="474">
                  <c:v>3.4415008195707641</c:v>
                </c:pt>
                <c:pt idx="475">
                  <c:v>3.0668941724346195</c:v>
                </c:pt>
                <c:pt idx="476">
                  <c:v>2.6641049320616976</c:v>
                </c:pt>
                <c:pt idx="477">
                  <c:v>2.2384251938131023</c:v>
                </c:pt>
                <c:pt idx="478">
                  <c:v>1.7948494246172262</c:v>
                </c:pt>
                <c:pt idx="479">
                  <c:v>1.3379133417376914</c:v>
                </c:pt>
                <c:pt idx="480">
                  <c:v>0.87160925849970983</c:v>
                </c:pt>
                <c:pt idx="481">
                  <c:v>0.39936144223054515</c:v>
                </c:pt>
                <c:pt idx="482">
                  <c:v>-7.5956541897769625E-2</c:v>
                </c:pt>
                <c:pt idx="483">
                  <c:v>-0.55197857995335331</c:v>
                </c:pt>
                <c:pt idx="484">
                  <c:v>-1.0267894495919989</c:v>
                </c:pt>
                <c:pt idx="485">
                  <c:v>-1.4988638701126622</c:v>
                </c:pt>
                <c:pt idx="486">
                  <c:v>-1.9670068979144069</c:v>
                </c:pt>
                <c:pt idx="487">
                  <c:v>-2.430298961148821</c:v>
                </c:pt>
                <c:pt idx="488">
                  <c:v>-2.8880471128019671</c:v>
                </c:pt>
                <c:pt idx="489">
                  <c:v>-3.3397429679815325</c:v>
                </c:pt>
                <c:pt idx="490">
                  <c:v>-3.7850271257468493</c:v>
                </c:pt>
                <c:pt idx="491">
                  <c:v>-4.2236595201099538</c:v>
                </c:pt>
                <c:pt idx="492">
                  <c:v>-4.6554949899007783</c:v>
                </c:pt>
                <c:pt idx="493">
                  <c:v>-5.0804633242493189</c:v>
                </c:pt>
                <c:pt idx="494">
                  <c:v>-5.498553075928637</c:v>
                </c:pt>
                <c:pt idx="495">
                  <c:v>-5.9097985042252024</c:v>
                </c:pt>
                <c:pt idx="496">
                  <c:v>-6.3142690912430011</c:v>
                </c:pt>
                <c:pt idx="497">
                  <c:v>-6.7120611584496785</c:v>
                </c:pt>
                <c:pt idx="498">
                  <c:v>-7.1032911874195754</c:v>
                </c:pt>
                <c:pt idx="499">
                  <c:v>-7.4880905172238945</c:v>
                </c:pt>
                <c:pt idx="500">
                  <c:v>-7.8782877045820427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4D19-9DBC-690DDB1D00CA}"/>
            </c:ext>
          </c:extLst>
        </c:ser>
        <c:ser>
          <c:idx val="4"/>
          <c:order val="2"/>
          <c:tx>
            <c:strRef>
              <c:f>'Small Signal'!$AF$3</c:f>
              <c:strCache>
                <c:ptCount val="1"/>
                <c:pt idx="0">
                  <c:v>Total Gain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Signal'!$AF$4:$AF$504</c:f>
              <c:numCache>
                <c:formatCode>General</c:formatCode>
                <c:ptCount val="501"/>
                <c:pt idx="0">
                  <c:v>51.047286756675057</c:v>
                </c:pt>
                <c:pt idx="1">
                  <c:v>50.852524105498397</c:v>
                </c:pt>
                <c:pt idx="2">
                  <c:v>50.657752856102611</c:v>
                </c:pt>
                <c:pt idx="3">
                  <c:v>50.462973473289523</c:v>
                </c:pt>
                <c:pt idx="4">
                  <c:v>50.268186405572294</c:v>
                </c:pt>
                <c:pt idx="5">
                  <c:v>50.073392086069092</c:v>
                </c:pt>
                <c:pt idx="6">
                  <c:v>49.878590933366908</c:v>
                </c:pt>
                <c:pt idx="7">
                  <c:v>49.683783352357196</c:v>
                </c:pt>
                <c:pt idx="8">
                  <c:v>49.488969735043696</c:v>
                </c:pt>
                <c:pt idx="9">
                  <c:v>49.294150461325387</c:v>
                </c:pt>
                <c:pt idx="10">
                  <c:v>49.099325899755954</c:v>
                </c:pt>
                <c:pt idx="11">
                  <c:v>48.904496408279897</c:v>
                </c:pt>
                <c:pt idx="12">
                  <c:v>48.70966233494832</c:v>
                </c:pt>
                <c:pt idx="13">
                  <c:v>48.514824018615343</c:v>
                </c:pt>
                <c:pt idx="14">
                  <c:v>48.319981789615838</c:v>
                </c:pt>
                <c:pt idx="15">
                  <c:v>48.1251359704262</c:v>
                </c:pt>
                <c:pt idx="16">
                  <c:v>47.930286876310056</c:v>
                </c:pt>
                <c:pt idx="17">
                  <c:v>47.735434815949304</c:v>
                </c:pt>
                <c:pt idx="18">
                  <c:v>47.540580092062129</c:v>
                </c:pt>
                <c:pt idx="19">
                  <c:v>47.345723002008938</c:v>
                </c:pt>
                <c:pt idx="20">
                  <c:v>47.150863838388076</c:v>
                </c:pt>
                <c:pt idx="21">
                  <c:v>46.956002889621246</c:v>
                </c:pt>
                <c:pt idx="22">
                  <c:v>46.76114044053142</c:v>
                </c:pt>
                <c:pt idx="23">
                  <c:v>46.566276772913199</c:v>
                </c:pt>
                <c:pt idx="24">
                  <c:v>46.371412166096135</c:v>
                </c:pt>
                <c:pt idx="25">
                  <c:v>46.176546897505048</c:v>
                </c:pt>
                <c:pt idx="26">
                  <c:v>45.98168124321387</c:v>
                </c:pt>
                <c:pt idx="27">
                  <c:v>45.786815478499008</c:v>
                </c:pt>
                <c:pt idx="28">
                  <c:v>45.591949878389244</c:v>
                </c:pt>
                <c:pt idx="29">
                  <c:v>45.397084718215936</c:v>
                </c:pt>
                <c:pt idx="30">
                  <c:v>45.202220274162684</c:v>
                </c:pt>
                <c:pt idx="31">
                  <c:v>45.007356823817922</c:v>
                </c:pt>
                <c:pt idx="32">
                  <c:v>44.812494646727913</c:v>
                </c:pt>
                <c:pt idx="33">
                  <c:v>44.617634024955493</c:v>
                </c:pt>
                <c:pt idx="34">
                  <c:v>44.422775243641993</c:v>
                </c:pt>
                <c:pt idx="35">
                  <c:v>44.227918591575396</c:v>
                </c:pt>
                <c:pt idx="36">
                  <c:v>44.033064361765454</c:v>
                </c:pt>
                <c:pt idx="37">
                  <c:v>43.838212852026444</c:v>
                </c:pt>
                <c:pt idx="38">
                  <c:v>43.643364365569518</c:v>
                </c:pt>
                <c:pt idx="39">
                  <c:v>43.448519211604406</c:v>
                </c:pt>
                <c:pt idx="40">
                  <c:v>43.253677705953315</c:v>
                </c:pt>
                <c:pt idx="41">
                  <c:v>43.058840171676181</c:v>
                </c:pt>
                <c:pt idx="42">
                  <c:v>42.864006939711345</c:v>
                </c:pt>
                <c:pt idx="43">
                  <c:v>42.669178349528899</c:v>
                </c:pt>
                <c:pt idx="44">
                  <c:v>42.474354749801734</c:v>
                </c:pt>
                <c:pt idx="45">
                  <c:v>42.279536499093311</c:v>
                </c:pt>
                <c:pt idx="46">
                  <c:v>42.0847239665638</c:v>
                </c:pt>
                <c:pt idx="47">
                  <c:v>41.889917532696352</c:v>
                </c:pt>
                <c:pt idx="48">
                  <c:v>41.695117590044958</c:v>
                </c:pt>
                <c:pt idx="49">
                  <c:v>41.500324544003263</c:v>
                </c:pt>
                <c:pt idx="50">
                  <c:v>41.305538813599689</c:v>
                </c:pt>
                <c:pt idx="51">
                  <c:v>41.110760832315457</c:v>
                </c:pt>
                <c:pt idx="52">
                  <c:v>40.915991048931325</c:v>
                </c:pt>
                <c:pt idx="53">
                  <c:v>40.721229928400994</c:v>
                </c:pt>
                <c:pt idx="54">
                  <c:v>40.526477952755698</c:v>
                </c:pt>
                <c:pt idx="55">
                  <c:v>40.33173562203902</c:v>
                </c:pt>
                <c:pt idx="56">
                  <c:v>40.137003455274943</c:v>
                </c:pt>
                <c:pt idx="57">
                  <c:v>39.94228199147112</c:v>
                </c:pt>
                <c:pt idx="58">
                  <c:v>39.747571790657041</c:v>
                </c:pt>
                <c:pt idx="59">
                  <c:v>39.552873434961612</c:v>
                </c:pt>
                <c:pt idx="60">
                  <c:v>39.358187529729186</c:v>
                </c:pt>
                <c:pt idx="61">
                  <c:v>39.163514704678107</c:v>
                </c:pt>
                <c:pt idx="62">
                  <c:v>38.968855615101653</c:v>
                </c:pt>
                <c:pt idx="63">
                  <c:v>38.774210943115136</c:v>
                </c:pt>
                <c:pt idx="64">
                  <c:v>38.579581398949543</c:v>
                </c:pt>
                <c:pt idx="65">
                  <c:v>38.384967722294647</c:v>
                </c:pt>
                <c:pt idx="66">
                  <c:v>38.190370683692564</c:v>
                </c:pt>
                <c:pt idx="67">
                  <c:v>37.995791085985758</c:v>
                </c:pt>
                <c:pt idx="68">
                  <c:v>37.801229765819443</c:v>
                </c:pt>
                <c:pt idx="69">
                  <c:v>37.606687595201379</c:v>
                </c:pt>
                <c:pt idx="70">
                  <c:v>37.412165483121321</c:v>
                </c:pt>
                <c:pt idx="71">
                  <c:v>37.21766437723285</c:v>
                </c:pt>
                <c:pt idx="72">
                  <c:v>37.0231852655984</c:v>
                </c:pt>
                <c:pt idx="73">
                  <c:v>36.828729178500453</c:v>
                </c:pt>
                <c:pt idx="74">
                  <c:v>36.634297190321973</c:v>
                </c:pt>
                <c:pt idx="75">
                  <c:v>36.439890421497168</c:v>
                </c:pt>
                <c:pt idx="76">
                  <c:v>36.245510040534967</c:v>
                </c:pt>
                <c:pt idx="77">
                  <c:v>36.051157266117926</c:v>
                </c:pt>
                <c:pt idx="78">
                  <c:v>35.856833369279386</c:v>
                </c:pt>
                <c:pt idx="79">
                  <c:v>35.662539675659907</c:v>
                </c:pt>
                <c:pt idx="80">
                  <c:v>35.468277567845213</c:v>
                </c:pt>
                <c:pt idx="81">
                  <c:v>35.274048487789202</c:v>
                </c:pt>
                <c:pt idx="82">
                  <c:v>35.079853939323158</c:v>
                </c:pt>
                <c:pt idx="83">
                  <c:v>34.885695490753463</c:v>
                </c:pt>
                <c:pt idx="84">
                  <c:v>34.691574777548908</c:v>
                </c:pt>
                <c:pt idx="85">
                  <c:v>34.497493505121071</c:v>
                </c:pt>
                <c:pt idx="86">
                  <c:v>34.303453451698587</c:v>
                </c:pt>
                <c:pt idx="87">
                  <c:v>34.10945647129715</c:v>
                </c:pt>
                <c:pt idx="88">
                  <c:v>33.915504496785488</c:v>
                </c:pt>
                <c:pt idx="89">
                  <c:v>33.721599543051276</c:v>
                </c:pt>
                <c:pt idx="90">
                  <c:v>33.52774371026544</c:v>
                </c:pt>
                <c:pt idx="91">
                  <c:v>33.33393918724591</c:v>
                </c:pt>
                <c:pt idx="92">
                  <c:v>33.140188254923316</c:v>
                </c:pt>
                <c:pt idx="93">
                  <c:v>32.946493289906371</c:v>
                </c:pt>
                <c:pt idx="94">
                  <c:v>32.752856768147772</c:v>
                </c:pt>
                <c:pt idx="95">
                  <c:v>32.559281268709952</c:v>
                </c:pt>
                <c:pt idx="96">
                  <c:v>32.365769477629399</c:v>
                </c:pt>
                <c:pt idx="97">
                  <c:v>32.172324191878182</c:v>
                </c:pt>
                <c:pt idx="98">
                  <c:v>31.978948323419949</c:v>
                </c:pt>
                <c:pt idx="99">
                  <c:v>31.785644903357614</c:v>
                </c:pt>
                <c:pt idx="100">
                  <c:v>31.592417086169952</c:v>
                </c:pt>
                <c:pt idx="101">
                  <c:v>31.399268154031386</c:v>
                </c:pt>
                <c:pt idx="102">
                  <c:v>31.206201521211433</c:v>
                </c:pt>
                <c:pt idx="103">
                  <c:v>31.01322073854594</c:v>
                </c:pt>
                <c:pt idx="104">
                  <c:v>30.820329497974171</c:v>
                </c:pt>
                <c:pt idx="105">
                  <c:v>30.627531637133092</c:v>
                </c:pt>
                <c:pt idx="106">
                  <c:v>30.434831143998963</c:v>
                </c:pt>
                <c:pt idx="107">
                  <c:v>30.242232161566402</c:v>
                </c:pt>
                <c:pt idx="108">
                  <c:v>30.04973899255144</c:v>
                </c:pt>
                <c:pt idx="109">
                  <c:v>29.8573561041059</c:v>
                </c:pt>
                <c:pt idx="110">
                  <c:v>29.665088132526726</c:v>
                </c:pt>
                <c:pt idx="111">
                  <c:v>29.472939887943806</c:v>
                </c:pt>
                <c:pt idx="112">
                  <c:v>29.280916358966692</c:v>
                </c:pt>
                <c:pt idx="113">
                  <c:v>29.089022717268751</c:v>
                </c:pt>
                <c:pt idx="114">
                  <c:v>28.897264322086222</c:v>
                </c:pt>
                <c:pt idx="115">
                  <c:v>28.705646724604744</c:v>
                </c:pt>
                <c:pt idx="116">
                  <c:v>28.514175672207735</c:v>
                </c:pt>
                <c:pt idx="117">
                  <c:v>28.322857112552967</c:v>
                </c:pt>
                <c:pt idx="118">
                  <c:v>28.13169719744463</c:v>
                </c:pt>
                <c:pt idx="119">
                  <c:v>27.94070228646607</c:v>
                </c:pt>
                <c:pt idx="120">
                  <c:v>27.749878950330327</c:v>
                </c:pt>
                <c:pt idx="121">
                  <c:v>27.559233973908164</c:v>
                </c:pt>
                <c:pt idx="122">
                  <c:v>27.368774358886245</c:v>
                </c:pt>
                <c:pt idx="123">
                  <c:v>27.178507326005946</c:v>
                </c:pt>
                <c:pt idx="124">
                  <c:v>26.988440316830193</c:v>
                </c:pt>
                <c:pt idx="125">
                  <c:v>26.798580994979751</c:v>
                </c:pt>
                <c:pt idx="126">
                  <c:v>26.608937246781306</c:v>
                </c:pt>
                <c:pt idx="127">
                  <c:v>26.419517181259518</c:v>
                </c:pt>
                <c:pt idx="128">
                  <c:v>26.230329129408677</c:v>
                </c:pt>
                <c:pt idx="129">
                  <c:v>26.041381642667464</c:v>
                </c:pt>
                <c:pt idx="130">
                  <c:v>25.852683490527117</c:v>
                </c:pt>
                <c:pt idx="131">
                  <c:v>25.664243657188123</c:v>
                </c:pt>
                <c:pt idx="132">
                  <c:v>25.476071337186994</c:v>
                </c:pt>
                <c:pt idx="133">
                  <c:v>25.288175929905279</c:v>
                </c:pt>
                <c:pt idx="134">
                  <c:v>25.100567032872817</c:v>
                </c:pt>
                <c:pt idx="135">
                  <c:v>24.913254433774082</c:v>
                </c:pt>
                <c:pt idx="136">
                  <c:v>24.726248101064055</c:v>
                </c:pt>
                <c:pt idx="137">
                  <c:v>24.539558173098179</c:v>
                </c:pt>
                <c:pt idx="138">
                  <c:v>24.353194945682393</c:v>
                </c:pt>
                <c:pt idx="139">
                  <c:v>24.167168857943587</c:v>
                </c:pt>
                <c:pt idx="140">
                  <c:v>23.98149047642918</c:v>
                </c:pt>
                <c:pt idx="141">
                  <c:v>23.796170477337363</c:v>
                </c:pt>
                <c:pt idx="142">
                  <c:v>23.611219626790284</c:v>
                </c:pt>
                <c:pt idx="143">
                  <c:v>23.426648759059958</c:v>
                </c:pt>
                <c:pt idx="144">
                  <c:v>23.242468752664848</c:v>
                </c:pt>
                <c:pt idx="145">
                  <c:v>23.058690504262408</c:v>
                </c:pt>
                <c:pt idx="146">
                  <c:v>22.875324900267426</c:v>
                </c:pt>
                <c:pt idx="147">
                  <c:v>22.692382786139962</c:v>
                </c:pt>
                <c:pt idx="148">
                  <c:v>22.509874933295368</c:v>
                </c:pt>
                <c:pt idx="149">
                  <c:v>22.327812003603945</c:v>
                </c:pt>
                <c:pt idx="150">
                  <c:v>22.146204511462685</c:v>
                </c:pt>
                <c:pt idx="151">
                  <c:v>21.96506278343983</c:v>
                </c:pt>
                <c:pt idx="152">
                  <c:v>21.784396915511646</c:v>
                </c:pt>
                <c:pt idx="153">
                  <c:v>21.604216727934489</c:v>
                </c:pt>
                <c:pt idx="154">
                  <c:v>21.424531717818329</c:v>
                </c:pt>
                <c:pt idx="155">
                  <c:v>21.245351009492939</c:v>
                </c:pt>
                <c:pt idx="156">
                  <c:v>21.066683302790072</c:v>
                </c:pt>
                <c:pt idx="157">
                  <c:v>20.888536819390762</c:v>
                </c:pt>
                <c:pt idx="158">
                  <c:v>20.7109192474216</c:v>
                </c:pt>
                <c:pt idx="159">
                  <c:v>20.533837684517103</c:v>
                </c:pt>
                <c:pt idx="160">
                  <c:v>20.357298579598613</c:v>
                </c:pt>
                <c:pt idx="161">
                  <c:v>20.181307673657606</c:v>
                </c:pt>
                <c:pt idx="162">
                  <c:v>20.005869939865967</c:v>
                </c:pt>
                <c:pt idx="163">
                  <c:v>19.830989523371848</c:v>
                </c:pt>
                <c:pt idx="164">
                  <c:v>19.656669681176968</c:v>
                </c:pt>
                <c:pt idx="165">
                  <c:v>19.482912722522705</c:v>
                </c:pt>
                <c:pt idx="166">
                  <c:v>19.309719950248095</c:v>
                </c:pt>
                <c:pt idx="167">
                  <c:v>19.137091603610148</c:v>
                </c:pt>
                <c:pt idx="168">
                  <c:v>18.965026803085408</c:v>
                </c:pt>
                <c:pt idx="169">
                  <c:v>18.793523497696068</c:v>
                </c:pt>
                <c:pt idx="170">
                  <c:v>18.622578415417735</c:v>
                </c:pt>
                <c:pt idx="171">
                  <c:v>18.452187017245532</c:v>
                </c:pt>
                <c:pt idx="172">
                  <c:v>18.282343455495571</c:v>
                </c:pt>
                <c:pt idx="173">
                  <c:v>18.113040536924629</c:v>
                </c:pt>
                <c:pt idx="174">
                  <c:v>17.944269691239342</c:v>
                </c:pt>
                <c:pt idx="175">
                  <c:v>17.776020945552855</c:v>
                </c:pt>
                <c:pt idx="176">
                  <c:v>17.608282905324206</c:v>
                </c:pt>
                <c:pt idx="177">
                  <c:v>17.441042742281944</c:v>
                </c:pt>
                <c:pt idx="178">
                  <c:v>17.274286189793393</c:v>
                </c:pt>
                <c:pt idx="179">
                  <c:v>17.107997546091831</c:v>
                </c:pt>
                <c:pt idx="180">
                  <c:v>16.942159685713914</c:v>
                </c:pt>
                <c:pt idx="181">
                  <c:v>16.776754079435957</c:v>
                </c:pt>
                <c:pt idx="182">
                  <c:v>16.61176082292253</c:v>
                </c:pt>
                <c:pt idx="183">
                  <c:v>16.447158674218233</c:v>
                </c:pt>
                <c:pt idx="184">
                  <c:v>16.282925100130644</c:v>
                </c:pt>
                <c:pt idx="185">
                  <c:v>16.119036331457963</c:v>
                </c:pt>
                <c:pt idx="186">
                  <c:v>15.955467426921757</c:v>
                </c:pt>
                <c:pt idx="187">
                  <c:v>15.79219234556569</c:v>
                </c:pt>
                <c:pt idx="188">
                  <c:v>15.629184027289044</c:v>
                </c:pt>
                <c:pt idx="189">
                  <c:v>15.466414481080921</c:v>
                </c:pt>
                <c:pt idx="190">
                  <c:v>15.303854880431976</c:v>
                </c:pt>
                <c:pt idx="191">
                  <c:v>15.141475665309825</c:v>
                </c:pt>
                <c:pt idx="192">
                  <c:v>14.979246650001862</c:v>
                </c:pt>
                <c:pt idx="193">
                  <c:v>14.817137136052684</c:v>
                </c:pt>
                <c:pt idx="194">
                  <c:v>14.6551160294583</c:v>
                </c:pt>
                <c:pt idx="195">
                  <c:v>14.49315196122323</c:v>
                </c:pt>
                <c:pt idx="196">
                  <c:v>14.331213410340624</c:v>
                </c:pt>
                <c:pt idx="197">
                  <c:v>14.169268828226077</c:v>
                </c:pt>
                <c:pt idx="198">
                  <c:v>14.007286763614092</c:v>
                </c:pt>
                <c:pt idx="199">
                  <c:v>13.845235986923635</c:v>
                </c:pt>
                <c:pt idx="200">
                  <c:v>13.683085613103572</c:v>
                </c:pt>
                <c:pt idx="201">
                  <c:v>13.520805221993433</c:v>
                </c:pt>
                <c:pt idx="202">
                  <c:v>13.358364975267031</c:v>
                </c:pt>
                <c:pt idx="203">
                  <c:v>13.195735729074448</c:v>
                </c:pt>
                <c:pt idx="204">
                  <c:v>13.03288914155357</c:v>
                </c:pt>
                <c:pt idx="205">
                  <c:v>12.869797774454419</c:v>
                </c:pt>
                <c:pt idx="206">
                  <c:v>12.706435188191286</c:v>
                </c:pt>
                <c:pt idx="207">
                  <c:v>12.542776029726197</c:v>
                </c:pt>
                <c:pt idx="208">
                  <c:v>12.37879611277538</c:v>
                </c:pt>
                <c:pt idx="209">
                  <c:v>12.21447248992491</c:v>
                </c:pt>
                <c:pt idx="210">
                  <c:v>12.049783516338811</c:v>
                </c:pt>
                <c:pt idx="211">
                  <c:v>11.884708904839824</c:v>
                </c:pt>
                <c:pt idx="212">
                  <c:v>11.719229772241965</c:v>
                </c:pt>
                <c:pt idx="213">
                  <c:v>11.553328676904561</c:v>
                </c:pt>
                <c:pt idx="214">
                  <c:v>11.386989647573225</c:v>
                </c:pt>
                <c:pt idx="215">
                  <c:v>11.22019820365473</c:v>
                </c:pt>
                <c:pt idx="216">
                  <c:v>11.052941367155981</c:v>
                </c:pt>
                <c:pt idx="217">
                  <c:v>10.885207666587435</c:v>
                </c:pt>
                <c:pt idx="218">
                  <c:v>10.716987133198657</c:v>
                </c:pt>
                <c:pt idx="219">
                  <c:v>10.548271289969431</c:v>
                </c:pt>
                <c:pt idx="220">
                  <c:v>10.379053133828156</c:v>
                </c:pt>
                <c:pt idx="221">
                  <c:v>10.209327111609262</c:v>
                </c:pt>
                <c:pt idx="222">
                  <c:v>10.039089090292599</c:v>
                </c:pt>
                <c:pt idx="223">
                  <c:v>9.8683363220884619</c:v>
                </c:pt>
                <c:pt idx="224">
                  <c:v>9.6970674049478873</c:v>
                </c:pt>
                <c:pt idx="225">
                  <c:v>9.5252822390822924</c:v>
                </c:pt>
                <c:pt idx="226">
                  <c:v>9.3529819800766525</c:v>
                </c:pt>
                <c:pt idx="227">
                  <c:v>9.1801689891711078</c:v>
                </c:pt>
                <c:pt idx="228">
                  <c:v>9.0068467812746</c:v>
                </c:pt>
                <c:pt idx="229">
                  <c:v>8.8330199712511828</c:v>
                </c:pt>
                <c:pt idx="230">
                  <c:v>8.6586942190003615</c:v>
                </c:pt>
                <c:pt idx="231">
                  <c:v>8.4838761738207964</c:v>
                </c:pt>
                <c:pt idx="232">
                  <c:v>8.3085734185214992</c:v>
                </c:pt>
                <c:pt idx="233">
                  <c:v>8.132794413705021</c:v>
                </c:pt>
                <c:pt idx="234">
                  <c:v>7.9565484426206687</c:v>
                </c:pt>
                <c:pt idx="235">
                  <c:v>7.7798455569413338</c:v>
                </c:pt>
                <c:pt idx="236">
                  <c:v>7.6026965237901099</c:v>
                </c:pt>
                <c:pt idx="237">
                  <c:v>7.4251127742995884</c:v>
                </c:pt>
                <c:pt idx="238">
                  <c:v>7.2471063539561644</c:v>
                </c:pt>
                <c:pt idx="239">
                  <c:v>7.0686898749442513</c:v>
                </c:pt>
                <c:pt idx="240">
                  <c:v>6.889876470673574</c:v>
                </c:pt>
                <c:pt idx="241">
                  <c:v>6.710679752639324</c:v>
                </c:pt>
                <c:pt idx="242">
                  <c:v>6.5311137697368302</c:v>
                </c:pt>
                <c:pt idx="243">
                  <c:v>6.3511929701218364</c:v>
                </c:pt>
                <c:pt idx="244">
                  <c:v>6.1709321656831584</c:v>
                </c:pt>
                <c:pt idx="245">
                  <c:v>5.9903464991697621</c:v>
                </c:pt>
                <c:pt idx="246">
                  <c:v>5.8094514139916242</c:v>
                </c:pt>
                <c:pt idx="247">
                  <c:v>5.6282626266947879</c:v>
                </c:pt>
                <c:pt idx="248">
                  <c:v>5.446796102093348</c:v>
                </c:pt>
                <c:pt idx="249">
                  <c:v>5.2650680310231373</c:v>
                </c:pt>
                <c:pt idx="250">
                  <c:v>5.0830948106716658</c:v>
                </c:pt>
                <c:pt idx="251">
                  <c:v>4.9008930274226579</c:v>
                </c:pt>
                <c:pt idx="252">
                  <c:v>4.7184794421471743</c:v>
                </c:pt>
                <c:pt idx="253">
                  <c:v>4.5358709778603323</c:v>
                </c:pt>
                <c:pt idx="254">
                  <c:v>4.353084709659079</c:v>
                </c:pt>
                <c:pt idx="255">
                  <c:v>4.1701378568486795</c:v>
                </c:pt>
                <c:pt idx="256">
                  <c:v>3.9870477771585406</c:v>
                </c:pt>
                <c:pt idx="257">
                  <c:v>3.8038319629498805</c:v>
                </c:pt>
                <c:pt idx="258">
                  <c:v>3.6205080393078966</c:v>
                </c:pt>
                <c:pt idx="259">
                  <c:v>3.4370937639145254</c:v>
                </c:pt>
                <c:pt idx="260">
                  <c:v>3.2536070285926151</c:v>
                </c:pt>
                <c:pt idx="261">
                  <c:v>3.0700658624137631</c:v>
                </c:pt>
                <c:pt idx="262">
                  <c:v>2.8864884362596612</c:v>
                </c:pt>
                <c:pt idx="263">
                  <c:v>2.7028930687274073</c:v>
                </c:pt>
                <c:pt idx="264">
                  <c:v>2.5192982332700424</c:v>
                </c:pt>
                <c:pt idx="265">
                  <c:v>2.3357225664612837</c:v>
                </c:pt>
                <c:pt idx="266">
                  <c:v>2.1521848772751415</c:v>
                </c:pt>
                <c:pt idx="267">
                  <c:v>1.9687041572720698</c:v>
                </c:pt>
                <c:pt idx="268">
                  <c:v>1.7852995915805927</c:v>
                </c:pt>
                <c:pt idx="269">
                  <c:v>1.6019905705657838</c:v>
                </c:pt>
                <c:pt idx="270">
                  <c:v>1.4187967020735019</c:v>
                </c:pt>
                <c:pt idx="271">
                  <c:v>1.2357378241407595</c:v>
                </c:pt>
                <c:pt idx="272">
                  <c:v>1.0528340180594853</c:v>
                </c:pt>
                <c:pt idx="273">
                  <c:v>0.87010562168187811</c:v>
                </c:pt>
                <c:pt idx="274">
                  <c:v>0.68757324285149224</c:v>
                </c:pt>
                <c:pt idx="275">
                  <c:v>0.5052577728451304</c:v>
                </c:pt>
                <c:pt idx="276">
                  <c:v>0.32318039970546941</c:v>
                </c:pt>
                <c:pt idx="277">
                  <c:v>0.14136262134426936</c:v>
                </c:pt>
                <c:pt idx="278">
                  <c:v>-4.0173741709224942E-2</c:v>
                </c:pt>
                <c:pt idx="279">
                  <c:v>-0.22140653404093591</c:v>
                </c:pt>
                <c:pt idx="280">
                  <c:v>-0.40231325369981974</c:v>
                </c:pt>
                <c:pt idx="281">
                  <c:v>-0.58287104129237122</c:v>
                </c:pt>
                <c:pt idx="282">
                  <c:v>-0.76305666996702826</c:v>
                </c:pt>
                <c:pt idx="283">
                  <c:v>-0.94284653642968408</c:v>
                </c:pt>
                <c:pt idx="284">
                  <c:v>-1.1222166531402813</c:v>
                </c:pt>
                <c:pt idx="285">
                  <c:v>-1.3011426418440646</c:v>
                </c:pt>
                <c:pt idx="286">
                  <c:v>-1.4795997285932856</c:v>
                </c:pt>
                <c:pt idx="287">
                  <c:v>-1.657562740423657</c:v>
                </c:pt>
                <c:pt idx="288">
                  <c:v>-1.8350061038522796</c:v>
                </c:pt>
                <c:pt idx="289">
                  <c:v>-2.0119038453662004</c:v>
                </c:pt>
                <c:pt idx="290">
                  <c:v>-2.1882295940793099</c:v>
                </c:pt>
                <c:pt idx="291">
                  <c:v>-2.3639565867322432</c:v>
                </c:pt>
                <c:pt idx="292">
                  <c:v>-2.5390576752183112</c:v>
                </c:pt>
                <c:pt idx="293">
                  <c:v>-2.7135053368168247</c:v>
                </c:pt>
                <c:pt idx="294">
                  <c:v>-2.8872716873161881</c:v>
                </c:pt>
                <c:pt idx="295">
                  <c:v>-3.0603284972113478</c:v>
                </c:pt>
                <c:pt idx="296">
                  <c:v>-3.2326472111549265</c:v>
                </c:pt>
                <c:pt idx="297">
                  <c:v>-3.4041989708415148</c:v>
                </c:pt>
                <c:pt idx="298">
                  <c:v>-3.5749546414978015</c:v>
                </c:pt>
                <c:pt idx="299">
                  <c:v>-3.7448848421457761</c:v>
                </c:pt>
                <c:pt idx="300">
                  <c:v>-3.9139599797980971</c:v>
                </c:pt>
                <c:pt idx="301">
                  <c:v>-4.0821502877312632</c:v>
                </c:pt>
                <c:pt idx="302">
                  <c:v>-4.2494258679742787</c:v>
                </c:pt>
                <c:pt idx="303">
                  <c:v>-4.4157567381298053</c:v>
                </c:pt>
                <c:pt idx="304">
                  <c:v>-4.5811128826286236</c:v>
                </c:pt>
                <c:pt idx="305">
                  <c:v>-4.7454643085000017</c:v>
                </c:pt>
                <c:pt idx="306">
                  <c:v>-4.9087811057117543</c:v>
                </c:pt>
                <c:pt idx="307">
                  <c:v>-5.0710335121130523</c:v>
                </c:pt>
                <c:pt idx="308">
                  <c:v>-5.232191982975924</c:v>
                </c:pt>
                <c:pt idx="309">
                  <c:v>-5.3922272651105683</c:v>
                </c:pt>
                <c:pt idx="310">
                  <c:v>-5.5511104754798861</c:v>
                </c:pt>
                <c:pt idx="311">
                  <c:v>-5.7088131842168579</c:v>
                </c:pt>
                <c:pt idx="312">
                  <c:v>-5.8653075018943053</c:v>
                </c:pt>
                <c:pt idx="313">
                  <c:v>-6.0205661708615663</c:v>
                </c:pt>
                <c:pt idx="314">
                  <c:v>-6.1745626604203681</c:v>
                </c:pt>
                <c:pt idx="315">
                  <c:v>-6.3272712655571608</c:v>
                </c:pt>
                <c:pt idx="316">
                  <c:v>-6.4786672089116841</c:v>
                </c:pt>
                <c:pt idx="317">
                  <c:v>-6.6287267456102263</c:v>
                </c:pt>
                <c:pt idx="318">
                  <c:v>-6.7774272705399978</c:v>
                </c:pt>
                <c:pt idx="319">
                  <c:v>-6.9247474276028296</c:v>
                </c:pt>
                <c:pt idx="320">
                  <c:v>-7.0706672204318846</c:v>
                </c:pt>
                <c:pt idx="321">
                  <c:v>-7.2151681240145757</c:v>
                </c:pt>
                <c:pt idx="322">
                  <c:v>-7.3582331966223826</c:v>
                </c:pt>
                <c:pt idx="323">
                  <c:v>-7.4998471914104723</c:v>
                </c:pt>
                <c:pt idx="324">
                  <c:v>-7.6399966670133415</c:v>
                </c:pt>
                <c:pt idx="325">
                  <c:v>-7.778670096433097</c:v>
                </c:pt>
                <c:pt idx="326">
                  <c:v>-7.9158579734938268</c:v>
                </c:pt>
                <c:pt idx="327">
                  <c:v>-8.0515529161152308</c:v>
                </c:pt>
                <c:pt idx="328">
                  <c:v>-8.1857497656443137</c:v>
                </c:pt>
                <c:pt idx="329">
                  <c:v>-8.3184456814830234</c:v>
                </c:pt>
                <c:pt idx="330">
                  <c:v>-8.4496402302467075</c:v>
                </c:pt>
                <c:pt idx="331">
                  <c:v>-8.5793354686994014</c:v>
                </c:pt>
                <c:pt idx="332">
                  <c:v>-8.7075360197305223</c:v>
                </c:pt>
                <c:pt idx="333">
                  <c:v>-8.8342491406579988</c:v>
                </c:pt>
                <c:pt idx="334">
                  <c:v>-8.9594847831808853</c:v>
                </c:pt>
                <c:pt idx="335">
                  <c:v>-9.0832556443381058</c:v>
                </c:pt>
                <c:pt idx="336">
                  <c:v>-9.2055772078813387</c:v>
                </c:pt>
                <c:pt idx="337">
                  <c:v>-9.326467775520598</c:v>
                </c:pt>
                <c:pt idx="338">
                  <c:v>-9.4459484875619921</c:v>
                </c:pt>
                <c:pt idx="339">
                  <c:v>-9.5640433325193737</c:v>
                </c:pt>
                <c:pt idx="340">
                  <c:v>-9.6807791453505629</c:v>
                </c:pt>
                <c:pt idx="341">
                  <c:v>-9.7961855940444025</c:v>
                </c:pt>
                <c:pt idx="342">
                  <c:v>-9.9102951543529212</c:v>
                </c:pt>
                <c:pt idx="343">
                  <c:v>-10.023143072545736</c:v>
                </c:pt>
                <c:pt idx="344">
                  <c:v>-10.13476731613672</c:v>
                </c:pt>
                <c:pt idx="345">
                  <c:v>-10.245208512611702</c:v>
                </c:pt>
                <c:pt idx="346">
                  <c:v>-10.354509876259694</c:v>
                </c:pt>
                <c:pt idx="347">
                  <c:v>-10.462717123286982</c:v>
                </c:pt>
                <c:pt idx="348">
                  <c:v>-10.569878375459909</c:v>
                </c:pt>
                <c:pt idx="349">
                  <c:v>-10.676044052594875</c:v>
                </c:pt>
                <c:pt idx="350">
                  <c:v>-10.781266754272789</c:v>
                </c:pt>
                <c:pt idx="351">
                  <c:v>-10.885601131219286</c:v>
                </c:pt>
                <c:pt idx="352">
                  <c:v>-10.989103746842634</c:v>
                </c:pt>
                <c:pt idx="353">
                  <c:v>-11.091832929475324</c:v>
                </c:pt>
                <c:pt idx="354">
                  <c:v>-11.193848615905877</c:v>
                </c:pt>
                <c:pt idx="355">
                  <c:v>-11.295212186831739</c:v>
                </c:pt>
                <c:pt idx="356">
                  <c:v>-11.395986294896479</c:v>
                </c:pt>
                <c:pt idx="357">
                  <c:v>-11.496234686005224</c:v>
                </c:pt>
                <c:pt idx="358">
                  <c:v>-11.596022014640196</c:v>
                </c:pt>
                <c:pt idx="359">
                  <c:v>-11.695413653917843</c:v>
                </c:pt>
                <c:pt idx="360">
                  <c:v>-11.794475501146973</c:v>
                </c:pt>
                <c:pt idx="361">
                  <c:v>-11.893273779663884</c:v>
                </c:pt>
                <c:pt idx="362">
                  <c:v>-11.991874837725753</c:v>
                </c:pt>
                <c:pt idx="363">
                  <c:v>-12.090344945258227</c:v>
                </c:pt>
                <c:pt idx="364">
                  <c:v>-12.18875008924951</c:v>
                </c:pt>
                <c:pt idx="365">
                  <c:v>-12.287155768591546</c:v>
                </c:pt>
                <c:pt idx="366">
                  <c:v>-12.385626789162718</c:v>
                </c:pt>
                <c:pt idx="367">
                  <c:v>-12.48422705994254</c:v>
                </c:pt>
                <c:pt idx="368">
                  <c:v>-12.583019390944878</c:v>
                </c:pt>
                <c:pt idx="369">
                  <c:v>-12.682065293741523</c:v>
                </c:pt>
                <c:pt idx="370">
                  <c:v>-12.781424785335451</c:v>
                </c:pt>
                <c:pt idx="371">
                  <c:v>-12.881156196127257</c:v>
                </c:pt>
                <c:pt idx="372">
                  <c:v>-12.981315982695998</c:v>
                </c:pt>
                <c:pt idx="373">
                  <c:v>-13.081958546088552</c:v>
                </c:pt>
                <c:pt idx="374">
                  <c:v>-13.183136056286472</c:v>
                </c:pt>
                <c:pt idx="375">
                  <c:v>-13.284898283481319</c:v>
                </c:pt>
                <c:pt idx="376">
                  <c:v>-13.387292436751466</c:v>
                </c:pt>
                <c:pt idx="377">
                  <c:v>-13.49036301069118</c:v>
                </c:pt>
                <c:pt idx="378">
                  <c:v>-13.594151640491337</c:v>
                </c:pt>
                <c:pt idx="379">
                  <c:v>-13.69869696591922</c:v>
                </c:pt>
                <c:pt idx="380">
                  <c:v>-13.804034504583489</c:v>
                </c:pt>
                <c:pt idx="381">
                  <c:v>-13.910196534809206</c:v>
                </c:pt>
                <c:pt idx="382">
                  <c:v>-14.017211988378381</c:v>
                </c:pt>
                <c:pt idx="383">
                  <c:v>-14.125106353318806</c:v>
                </c:pt>
                <c:pt idx="384">
                  <c:v>-14.233901586848226</c:v>
                </c:pt>
                <c:pt idx="385">
                  <c:v>-14.34361603850574</c:v>
                </c:pt>
                <c:pt idx="386">
                  <c:v>-14.454264383415008</c:v>
                </c:pt>
                <c:pt idx="387">
                  <c:v>-14.565857565550502</c:v>
                </c:pt>
                <c:pt idx="388">
                  <c:v>-14.678402750788411</c:v>
                </c:pt>
                <c:pt idx="389">
                  <c:v>-14.791903289447147</c:v>
                </c:pt>
                <c:pt idx="390">
                  <c:v>-14.906358687940129</c:v>
                </c:pt>
                <c:pt idx="391">
                  <c:v>-15.021764589087343</c:v>
                </c:pt>
                <c:pt idx="392">
                  <c:v>-15.138112760555924</c:v>
                </c:pt>
                <c:pt idx="393">
                  <c:v>-15.255391090832843</c:v>
                </c:pt>
                <c:pt idx="394">
                  <c:v>-15.373583592065156</c:v>
                </c:pt>
                <c:pt idx="395">
                  <c:v>-15.492670409047964</c:v>
                </c:pt>
                <c:pt idx="396">
                  <c:v>-15.612627833582122</c:v>
                </c:pt>
                <c:pt idx="397">
                  <c:v>-15.733428323384791</c:v>
                </c:pt>
                <c:pt idx="398">
                  <c:v>-15.855040524693331</c:v>
                </c:pt>
                <c:pt idx="399">
                  <c:v>-15.977429297672725</c:v>
                </c:pt>
                <c:pt idx="400">
                  <c:v>-16.100555743718807</c:v>
                </c:pt>
                <c:pt idx="401">
                  <c:v>-16.22437723372979</c:v>
                </c:pt>
                <c:pt idx="402">
                  <c:v>-16.348847436414694</c:v>
                </c:pt>
                <c:pt idx="403">
                  <c:v>-16.473916345711483</c:v>
                </c:pt>
                <c:pt idx="404">
                  <c:v>-16.599530306394009</c:v>
                </c:pt>
                <c:pt idx="405">
                  <c:v>-16.725632036965337</c:v>
                </c:pt>
                <c:pt idx="406">
                  <c:v>-16.85216064896159</c:v>
                </c:pt>
                <c:pt idx="407">
                  <c:v>-16.979051661823611</c:v>
                </c:pt>
                <c:pt idx="408">
                  <c:v>-17.106237012530162</c:v>
                </c:pt>
                <c:pt idx="409">
                  <c:v>-17.233645059240981</c:v>
                </c:pt>
                <c:pt idx="410">
                  <c:v>-17.361200578247232</c:v>
                </c:pt>
                <c:pt idx="411">
                  <c:v>-17.48882475359704</c:v>
                </c:pt>
                <c:pt idx="412">
                  <c:v>-17.616435158834083</c:v>
                </c:pt>
                <c:pt idx="413">
                  <c:v>-17.743945730371291</c:v>
                </c:pt>
                <c:pt idx="414">
                  <c:v>-17.871266732122582</c:v>
                </c:pt>
                <c:pt idx="415">
                  <c:v>-17.99830471111682</c:v>
                </c:pt>
                <c:pt idx="416">
                  <c:v>-18.124962443958104</c:v>
                </c:pt>
                <c:pt idx="417">
                  <c:v>-18.251138874132888</c:v>
                </c:pt>
                <c:pt idx="418">
                  <c:v>-18.376729040349652</c:v>
                </c:pt>
                <c:pt idx="419">
                  <c:v>-18.501623996294203</c:v>
                </c:pt>
                <c:pt idx="420">
                  <c:v>-18.625710722437727</c:v>
                </c:pt>
                <c:pt idx="421">
                  <c:v>-18.748872030825595</c:v>
                </c:pt>
                <c:pt idx="422">
                  <c:v>-18.870986464131725</c:v>
                </c:pt>
                <c:pt idx="423">
                  <c:v>-18.991928190702499</c:v>
                </c:pt>
                <c:pt idx="424">
                  <c:v>-19.111566897836774</c:v>
                </c:pt>
                <c:pt idx="425">
                  <c:v>-19.229767686202102</c:v>
                </c:pt>
                <c:pt idx="426">
                  <c:v>-19.346390969081991</c:v>
                </c:pt>
                <c:pt idx="427">
                  <c:v>-19.461292381130356</c:v>
                </c:pt>
                <c:pt idx="428">
                  <c:v>-19.574322702522764</c:v>
                </c:pt>
                <c:pt idx="429">
                  <c:v>-19.685327805890381</c:v>
                </c:pt>
                <c:pt idx="430">
                  <c:v>-19.794148635278532</c:v>
                </c:pt>
                <c:pt idx="431">
                  <c:v>-19.900621228677249</c:v>
                </c:pt>
                <c:pt idx="432">
                  <c:v>-20.004576798518741</c:v>
                </c:pt>
                <c:pt idx="433">
                  <c:v>-20.105841888094385</c:v>
                </c:pt>
                <c:pt idx="434">
                  <c:v>-20.204238626248898</c:v>
                </c:pt>
                <c:pt idx="435">
                  <c:v>-20.299585108197121</c:v>
                </c:pt>
                <c:pt idx="436">
                  <c:v>-20.391695937131935</c:v>
                </c:pt>
                <c:pt idx="437">
                  <c:v>-20.480382969781736</c:v>
                </c:pt>
                <c:pt idx="438">
                  <c:v>-20.565456319627057</c:v>
                </c:pt>
                <c:pt idx="439">
                  <c:v>-20.646725684600462</c:v>
                </c:pt>
                <c:pt idx="440">
                  <c:v>-20.72400208235652</c:v>
                </c:pt>
                <c:pt idx="441">
                  <c:v>-20.797100096330244</c:v>
                </c:pt>
                <c:pt idx="442">
                  <c:v>-20.865840760646666</c:v>
                </c:pt>
                <c:pt idx="443">
                  <c:v>-20.930055242450898</c:v>
                </c:pt>
                <c:pt idx="444">
                  <c:v>-20.989589517472997</c:v>
                </c:pt>
                <c:pt idx="445">
                  <c:v>-21.044310279707279</c:v>
                </c:pt>
                <c:pt idx="446">
                  <c:v>-21.094112379961604</c:v>
                </c:pt>
                <c:pt idx="447">
                  <c:v>-21.138928151355515</c:v>
                </c:pt>
                <c:pt idx="448">
                  <c:v>-21.178739052472199</c:v>
                </c:pt>
                <c:pt idx="449">
                  <c:v>-21.213590139137175</c:v>
                </c:pt>
                <c:pt idx="450">
                  <c:v>-21.243607959418426</c:v>
                </c:pt>
                <c:pt idx="451">
                  <c:v>-21.269022544663702</c:v>
                </c:pt>
                <c:pt idx="452">
                  <c:v>-21.290194226410787</c:v>
                </c:pt>
                <c:pt idx="453">
                  <c:v>-21.307646018130026</c:v>
                </c:pt>
                <c:pt idx="454">
                  <c:v>-21.322102219471368</c:v>
                </c:pt>
                <c:pt idx="455">
                  <c:v>-21.334533664499666</c:v>
                </c:pt>
                <c:pt idx="456">
                  <c:v>-21.34620955203145</c:v>
                </c:pt>
                <c:pt idx="457">
                  <c:v>-21.358754942406005</c:v>
                </c:pt>
                <c:pt idx="458">
                  <c:v>-21.374211632645945</c:v>
                </c:pt>
                <c:pt idx="459">
                  <c:v>-21.395098082870764</c:v>
                </c:pt>
                <c:pt idx="460">
                  <c:v>-21.424461272848806</c:v>
                </c:pt>
                <c:pt idx="461">
                  <c:v>-21.465909902359765</c:v>
                </c:pt>
                <c:pt idx="462">
                  <c:v>-21.523614639509717</c:v>
                </c:pt>
                <c:pt idx="463">
                  <c:v>-21.602258140540478</c:v>
                </c:pt>
                <c:pt idx="464">
                  <c:v>-21.706916964953983</c:v>
                </c:pt>
                <c:pt idx="465">
                  <c:v>-21.84286147773356</c:v>
                </c:pt>
                <c:pt idx="466">
                  <c:v>-22.015270402915625</c:v>
                </c:pt>
                <c:pt idx="467">
                  <c:v>-22.228874407231601</c:v>
                </c:pt>
                <c:pt idx="468">
                  <c:v>-22.487565348219313</c:v>
                </c:pt>
                <c:pt idx="469">
                  <c:v>-22.794028071205062</c:v>
                </c:pt>
                <c:pt idx="470">
                  <c:v>-23.149460869750502</c:v>
                </c:pt>
                <c:pt idx="471">
                  <c:v>-23.553441667245121</c:v>
                </c:pt>
                <c:pt idx="472">
                  <c:v>-24.003969134313984</c:v>
                </c:pt>
                <c:pt idx="473">
                  <c:v>-24.497669659971013</c:v>
                </c:pt>
                <c:pt idx="474">
                  <c:v>-25.030126101987701</c:v>
                </c:pt>
                <c:pt idx="475">
                  <c:v>-25.596264563934039</c:v>
                </c:pt>
                <c:pt idx="476">
                  <c:v>-26.190735410947205</c:v>
                </c:pt>
                <c:pt idx="477">
                  <c:v>-26.808240189985284</c:v>
                </c:pt>
                <c:pt idx="478">
                  <c:v>-27.443778337202282</c:v>
                </c:pt>
                <c:pt idx="479">
                  <c:v>-28.092808289253927</c:v>
                </c:pt>
                <c:pt idx="480">
                  <c:v>-28.751332127957923</c:v>
                </c:pt>
                <c:pt idx="481">
                  <c:v>-29.415920213046693</c:v>
                </c:pt>
                <c:pt idx="482">
                  <c:v>-30.083693829322378</c:v>
                </c:pt>
                <c:pt idx="483">
                  <c:v>-30.752281927037597</c:v>
                </c:pt>
                <c:pt idx="484">
                  <c:v>-31.419764553831836</c:v>
                </c:pt>
                <c:pt idx="485">
                  <c:v>-32.084611896663787</c:v>
                </c:pt>
                <c:pt idx="486">
                  <c:v>-32.745624669425816</c:v>
                </c:pt>
                <c:pt idx="487">
                  <c:v>-33.401879140029735</c:v>
                </c:pt>
                <c:pt idx="488">
                  <c:v>-34.05267837619057</c:v>
                </c:pt>
                <c:pt idx="489">
                  <c:v>-34.697510175677088</c:v>
                </c:pt>
                <c:pt idx="490">
                  <c:v>-35.336011481361204</c:v>
                </c:pt>
                <c:pt idx="491">
                  <c:v>-35.967938725686565</c:v>
                </c:pt>
                <c:pt idx="492">
                  <c:v>-36.593143394242581</c:v>
                </c:pt>
                <c:pt idx="493">
                  <c:v>-37.211552065191057</c:v>
                </c:pt>
                <c:pt idx="494">
                  <c:v>-37.823150216779666</c:v>
                </c:pt>
                <c:pt idx="495">
                  <c:v>-38.427969164605997</c:v>
                </c:pt>
                <c:pt idx="496">
                  <c:v>-39.02607557252751</c:v>
                </c:pt>
                <c:pt idx="497">
                  <c:v>-39.617563064021951</c:v>
                </c:pt>
                <c:pt idx="498">
                  <c:v>-40.202545537945468</c:v>
                </c:pt>
                <c:pt idx="499">
                  <c:v>-40.781151861130745</c:v>
                </c:pt>
                <c:pt idx="500">
                  <c:v>-41.36520822393571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41-4D19-9DBC-690DDB1D00CA}"/>
            </c:ext>
          </c:extLst>
        </c:ser>
        <c:ser>
          <c:idx val="6"/>
          <c:order val="4"/>
          <c:tx>
            <c:strRef>
              <c:f>'Small Signal'!$AD$3</c:f>
              <c:strCache>
                <c:ptCount val="1"/>
                <c:pt idx="0">
                  <c:v>Gain Gea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Signal'!$AD$4:$AD$504</c:f>
              <c:numCache>
                <c:formatCode>##0.0E+0</c:formatCode>
                <c:ptCount val="501"/>
                <c:pt idx="0">
                  <c:v>25.557043543112933</c:v>
                </c:pt>
                <c:pt idx="1">
                  <c:v>25.362302802180952</c:v>
                </c:pt>
                <c:pt idx="2">
                  <c:v>25.16755446912321</c:v>
                </c:pt>
                <c:pt idx="3">
                  <c:v>24.972799054934537</c:v>
                </c:pt>
                <c:pt idx="4">
                  <c:v>24.778037056441438</c:v>
                </c:pt>
                <c:pt idx="5">
                  <c:v>24.583268957292837</c:v>
                </c:pt>
                <c:pt idx="6">
                  <c:v>24.388495228926132</c:v>
                </c:pt>
                <c:pt idx="7">
                  <c:v>24.193716331508579</c:v>
                </c:pt>
                <c:pt idx="8">
                  <c:v>23.998932714856998</c:v>
                </c:pt>
                <c:pt idx="9">
                  <c:v>23.804144819336667</c:v>
                </c:pt>
                <c:pt idx="10">
                  <c:v>23.609353076742718</c:v>
                </c:pt>
                <c:pt idx="11">
                  <c:v>23.414557911163346</c:v>
                </c:pt>
                <c:pt idx="12">
                  <c:v>23.219759739829069</c:v>
                </c:pt>
                <c:pt idx="13">
                  <c:v>23.024958973947815</c:v>
                </c:pt>
                <c:pt idx="14">
                  <c:v>22.830156019528491</c:v>
                </c:pt>
                <c:pt idx="15">
                  <c:v>22.635351278194111</c:v>
                </c:pt>
                <c:pt idx="16">
                  <c:v>22.440545147986718</c:v>
                </c:pt>
                <c:pt idx="17">
                  <c:v>22.245738024164496</c:v>
                </c:pt>
                <c:pt idx="18">
                  <c:v>22.050930299994228</c:v>
                </c:pt>
                <c:pt idx="19">
                  <c:v>21.856122367539527</c:v>
                </c:pt>
                <c:pt idx="20">
                  <c:v>21.661314618446397</c:v>
                </c:pt>
                <c:pt idx="21">
                  <c:v>21.466507444728332</c:v>
                </c:pt>
                <c:pt idx="22">
                  <c:v>21.271701239552062</c:v>
                </c:pt>
                <c:pt idx="23">
                  <c:v>21.076896398025717</c:v>
                </c:pt>
                <c:pt idx="24">
                  <c:v>20.882093317990197</c:v>
                </c:pt>
                <c:pt idx="25">
                  <c:v>20.687292400816926</c:v>
                </c:pt>
                <c:pt idx="26">
                  <c:v>20.492494052211384</c:v>
                </c:pt>
                <c:pt idx="27">
                  <c:v>20.297698683026184</c:v>
                </c:pt>
                <c:pt idx="28">
                  <c:v>20.102906710083804</c:v>
                </c:pt>
                <c:pt idx="29">
                  <c:v>19.908118557010958</c:v>
                </c:pt>
                <c:pt idx="30">
                  <c:v>19.713334655086427</c:v>
                </c:pt>
                <c:pt idx="31">
                  <c:v>19.518555444104148</c:v>
                </c:pt>
                <c:pt idx="32">
                  <c:v>19.323781373252697</c:v>
                </c:pt>
                <c:pt idx="33">
                  <c:v>19.129012902013361</c:v>
                </c:pt>
                <c:pt idx="34">
                  <c:v>18.934250501078321</c:v>
                </c:pt>
                <c:pt idx="35">
                  <c:v>18.73949465329088</c:v>
                </c:pt>
                <c:pt idx="36">
                  <c:v>18.544745854609342</c:v>
                </c:pt>
                <c:pt idx="37">
                  <c:v>18.350004615096669</c:v>
                </c:pt>
                <c:pt idx="38">
                  <c:v>18.155271459937701</c:v>
                </c:pt>
                <c:pt idx="39">
                  <c:v>17.960546930485709</c:v>
                </c:pt>
                <c:pt idx="40">
                  <c:v>17.765831585340798</c:v>
                </c:pt>
                <c:pt idx="41">
                  <c:v>17.571126001461586</c:v>
                </c:pt>
                <c:pt idx="42">
                  <c:v>17.376430775312894</c:v>
                </c:pt>
                <c:pt idx="43">
                  <c:v>17.181746524051135</c:v>
                </c:pt>
                <c:pt idx="44">
                  <c:v>16.987073886749954</c:v>
                </c:pt>
                <c:pt idx="45">
                  <c:v>16.792413525668476</c:v>
                </c:pt>
                <c:pt idx="46">
                  <c:v>16.597766127564142</c:v>
                </c:pt>
                <c:pt idx="47">
                  <c:v>16.403132405053263</c:v>
                </c:pt>
                <c:pt idx="48">
                  <c:v>16.208513098021143</c:v>
                </c:pt>
                <c:pt idx="49">
                  <c:v>16.013908975084941</c:v>
                </c:pt>
                <c:pt idx="50">
                  <c:v>15.819320835111712</c:v>
                </c:pt>
                <c:pt idx="51">
                  <c:v>15.624749508794519</c:v>
                </c:pt>
                <c:pt idx="52">
                  <c:v>15.430195860289501</c:v>
                </c:pt>
                <c:pt idx="53">
                  <c:v>15.235660788916825</c:v>
                </c:pt>
                <c:pt idx="54">
                  <c:v>15.041145230928844</c:v>
                </c:pt>
                <c:pt idx="55">
                  <c:v>14.846650161348418</c:v>
                </c:pt>
                <c:pt idx="56">
                  <c:v>14.652176595880738</c:v>
                </c:pt>
                <c:pt idx="57">
                  <c:v>14.457725592902424</c:v>
                </c:pt>
                <c:pt idx="58">
                  <c:v>14.263298255530765</c:v>
                </c:pt>
                <c:pt idx="59">
                  <c:v>14.068895733777591</c:v>
                </c:pt>
                <c:pt idx="60">
                  <c:v>13.874519226790785</c:v>
                </c:pt>
                <c:pt idx="61">
                  <c:v>13.680169985188044</c:v>
                </c:pt>
                <c:pt idx="62">
                  <c:v>13.48584931348592</c:v>
                </c:pt>
                <c:pt idx="63">
                  <c:v>13.291558572630066</c:v>
                </c:pt>
                <c:pt idx="64">
                  <c:v>13.097299182628648</c:v>
                </c:pt>
                <c:pt idx="65">
                  <c:v>12.903072625295763</c:v>
                </c:pt>
                <c:pt idx="66">
                  <c:v>12.708880447107362</c:v>
                </c:pt>
                <c:pt idx="67">
                  <c:v>12.514724262175822</c:v>
                </c:pt>
                <c:pt idx="68">
                  <c:v>12.320605755347799</c:v>
                </c:pt>
                <c:pt idx="69">
                  <c:v>12.126526685429532</c:v>
                </c:pt>
                <c:pt idx="70">
                  <c:v>11.932488888545594</c:v>
                </c:pt>
                <c:pt idx="71">
                  <c:v>11.738494281636758</c:v>
                </c:pt>
                <c:pt idx="72">
                  <c:v>11.544544866100818</c:v>
                </c:pt>
                <c:pt idx="73">
                  <c:v>11.350642731583651</c:v>
                </c:pt>
                <c:pt idx="74">
                  <c:v>11.1567900599258</c:v>
                </c:pt>
                <c:pt idx="75">
                  <c:v>10.962989129269642</c:v>
                </c:pt>
                <c:pt idx="76">
                  <c:v>10.76924231833431</c:v>
                </c:pt>
                <c:pt idx="77">
                  <c:v>10.575552110863615</c:v>
                </c:pt>
                <c:pt idx="78">
                  <c:v>10.381921100254122</c:v>
                </c:pt>
                <c:pt idx="79">
                  <c:v>10.188351994369116</c:v>
                </c:pt>
                <c:pt idx="80">
                  <c:v>9.9948476205449168</c:v>
                </c:pt>
                <c:pt idx="81">
                  <c:v>9.8014109307967185</c:v>
                </c:pt>
                <c:pt idx="82">
                  <c:v>9.6080450072305457</c:v>
                </c:pt>
                <c:pt idx="83">
                  <c:v>9.4147530676676396</c:v>
                </c:pt>
                <c:pt idx="84">
                  <c:v>9.221538471488687</c:v>
                </c:pt>
                <c:pt idx="85">
                  <c:v>9.0284047257042541</c:v>
                </c:pt>
                <c:pt idx="86">
                  <c:v>8.8353554912592216</c:v>
                </c:pt>
                <c:pt idx="87">
                  <c:v>8.6423945895773926</c:v>
                </c:pt>
                <c:pt idx="88">
                  <c:v>8.4495260093529119</c:v>
                </c:pt>
                <c:pt idx="89">
                  <c:v>8.2567539135968619</c:v>
                </c:pt>
                <c:pt idx="90">
                  <c:v>8.0640826469442004</c:v>
                </c:pt>
                <c:pt idx="91">
                  <c:v>7.8715167432282076</c:v>
                </c:pt>
                <c:pt idx="92">
                  <c:v>7.6790609333297546</c:v>
                </c:pt>
                <c:pt idx="93">
                  <c:v>7.486720153306667</c:v>
                </c:pt>
                <c:pt idx="94">
                  <c:v>7.2944995528093894</c:v>
                </c:pt>
                <c:pt idx="95">
                  <c:v>7.102404503789554</c:v>
                </c:pt>
                <c:pt idx="96">
                  <c:v>6.9104406095060238</c:v>
                </c:pt>
                <c:pt idx="97">
                  <c:v>6.7186137138334381</c:v>
                </c:pt>
                <c:pt idx="98">
                  <c:v>6.5269299108783621</c:v>
                </c:pt>
                <c:pt idx="99">
                  <c:v>6.3353955549062366</c:v>
                </c:pt>
                <c:pt idx="100">
                  <c:v>6.1440172705827525</c:v>
                </c:pt>
                <c:pt idx="101">
                  <c:v>5.9528019635322202</c:v>
                </c:pt>
                <c:pt idx="102">
                  <c:v>5.7617568312145568</c:v>
                </c:pt>
                <c:pt idx="103">
                  <c:v>5.5708893741211671</c:v>
                </c:pt>
                <c:pt idx="104">
                  <c:v>5.3802074072899417</c:v>
                </c:pt>
                <c:pt idx="105">
                  <c:v>5.1897190721378506</c:v>
                </c:pt>
                <c:pt idx="106">
                  <c:v>4.9994328486074826</c:v>
                </c:pt>
                <c:pt idx="107">
                  <c:v>4.8093575676241009</c:v>
                </c:pt>
                <c:pt idx="108">
                  <c:v>4.6195024238566234</c:v>
                </c:pt>
                <c:pt idx="109">
                  <c:v>4.4298769887751606</c:v>
                </c:pt>
                <c:pt idx="110">
                  <c:v>4.2404912239949812</c:v>
                </c:pt>
                <c:pt idx="111">
                  <c:v>4.051355494895426</c:v>
                </c:pt>
                <c:pt idx="112">
                  <c:v>3.8624805844995844</c:v>
                </c:pt>
                <c:pt idx="113">
                  <c:v>3.6738777075973217</c:v>
                </c:pt>
                <c:pt idx="114">
                  <c:v>3.485558525093067</c:v>
                </c:pt>
                <c:pt idx="115">
                  <c:v>3.2975351585551471</c:v>
                </c:pt>
                <c:pt idx="116">
                  <c:v>3.1098202049413439</c:v>
                </c:pt>
                <c:pt idx="117">
                  <c:v>2.9224267514712796</c:v>
                </c:pt>
                <c:pt idx="118">
                  <c:v>2.7353683906125488</c:v>
                </c:pt>
                <c:pt idx="119">
                  <c:v>2.5486592351443509</c:v>
                </c:pt>
                <c:pt idx="120">
                  <c:v>2.362313933256714</c:v>
                </c:pt>
                <c:pt idx="121">
                  <c:v>2.176347683639734</c:v>
                </c:pt>
                <c:pt idx="122">
                  <c:v>1.990776250513183</c:v>
                </c:pt>
                <c:pt idx="123">
                  <c:v>1.80561597853955</c:v>
                </c:pt>
                <c:pt idx="124">
                  <c:v>1.620883807561488</c:v>
                </c:pt>
                <c:pt idx="125">
                  <c:v>1.4365972870952384</c:v>
                </c:pt>
                <c:pt idx="126">
                  <c:v>1.2527745905093504</c:v>
                </c:pt>
                <c:pt idx="127">
                  <c:v>1.0694345288095306</c:v>
                </c:pt>
                <c:pt idx="128">
                  <c:v>0.88659656394548991</c:v>
                </c:pt>
                <c:pt idx="129">
                  <c:v>0.70428082154763838</c:v>
                </c:pt>
                <c:pt idx="130">
                  <c:v>0.52250810299741834</c:v>
                </c:pt>
                <c:pt idx="131">
                  <c:v>0.34129989672530436</c:v>
                </c:pt>
                <c:pt idx="132">
                  <c:v>0.16067838862554679</c:v>
                </c:pt>
                <c:pt idx="133">
                  <c:v>-1.9333528530025294E-2</c:v>
                </c:pt>
                <c:pt idx="134">
                  <c:v>-0.1987122468059267</c:v>
                </c:pt>
                <c:pt idx="135">
                  <c:v>-0.37743343607495461</c:v>
                </c:pt>
                <c:pt idx="136">
                  <c:v>-0.55547203838775994</c:v>
                </c:pt>
                <c:pt idx="137">
                  <c:v>-0.73280226388496494</c:v>
                </c:pt>
                <c:pt idx="138">
                  <c:v>-0.90939758840218143</c:v>
                </c:pt>
                <c:pt idx="139">
                  <c:v>-1.0852307529253833</c:v>
                </c:pt>
                <c:pt idx="140">
                  <c:v>-1.2602737650572999</c:v>
                </c:pt>
                <c:pt idx="141">
                  <c:v>-1.4344979026613067</c:v>
                </c:pt>
                <c:pt idx="142">
                  <c:v>-1.6078737198516293</c:v>
                </c:pt>
                <c:pt idx="143">
                  <c:v>-1.7803710555020249</c:v>
                </c:pt>
                <c:pt idx="144">
                  <c:v>-1.9519590444457189</c:v>
                </c:pt>
                <c:pt idx="145">
                  <c:v>-2.1226061315401497</c:v>
                </c:pt>
                <c:pt idx="146">
                  <c:v>-2.2922800887682397</c:v>
                </c:pt>
                <c:pt idx="147">
                  <c:v>-2.4609480355451265</c:v>
                </c:pt>
                <c:pt idx="148">
                  <c:v>-2.6285764623946029</c:v>
                </c:pt>
                <c:pt idx="149">
                  <c:v>-2.7951312581527139</c:v>
                </c:pt>
                <c:pt idx="150">
                  <c:v>-2.9605777408474427</c:v>
                </c:pt>
                <c:pt idx="151">
                  <c:v>-3.1248806923918595</c:v>
                </c:pt>
                <c:pt idx="152">
                  <c:v>-3.2880043972155262</c:v>
                </c:pt>
                <c:pt idx="153">
                  <c:v>-3.4499126849421762</c:v>
                </c:pt>
                <c:pt idx="154">
                  <c:v>-3.6105689772037977</c:v>
                </c:pt>
                <c:pt idx="155">
                  <c:v>-3.7699363386598419</c:v>
                </c:pt>
                <c:pt idx="156">
                  <c:v>-3.9279775322659582</c:v>
                </c:pt>
                <c:pt idx="157">
                  <c:v>-4.0846550788110489</c:v>
                </c:pt>
                <c:pt idx="158">
                  <c:v>-4.2399313207104932</c:v>
                </c:pt>
                <c:pt idx="159">
                  <c:v>-4.3937684900135014</c:v>
                </c:pt>
                <c:pt idx="160">
                  <c:v>-4.5461287805455717</c:v>
                </c:pt>
                <c:pt idx="161">
                  <c:v>-4.6969744240728852</c:v>
                </c:pt>
                <c:pt idx="162">
                  <c:v>-4.846267770334566</c:v>
                </c:pt>
                <c:pt idx="163">
                  <c:v>-4.9939713707497182</c:v>
                </c:pt>
                <c:pt idx="164">
                  <c:v>-5.140048065563291</c:v>
                </c:pt>
                <c:pt idx="165">
                  <c:v>-5.2844610741523557</c:v>
                </c:pt>
                <c:pt idx="166">
                  <c:v>-5.4271740881708617</c:v>
                </c:pt>
                <c:pt idx="167">
                  <c:v>-5.5681513671681158</c:v>
                </c:pt>
                <c:pt idx="168">
                  <c:v>-5.7073578362735242</c:v>
                </c:pt>
                <c:pt idx="169">
                  <c:v>-5.8447591854981411</c:v>
                </c:pt>
                <c:pt idx="170">
                  <c:v>-5.9803219701656127</c:v>
                </c:pt>
                <c:pt idx="171">
                  <c:v>-6.1140137119474245</c:v>
                </c:pt>
                <c:pt idx="172">
                  <c:v>-6.2458029999448765</c:v>
                </c:pt>
                <c:pt idx="173">
                  <c:v>-6.3756595912305141</c:v>
                </c:pt>
                <c:pt idx="174">
                  <c:v>-6.503554510237441</c:v>
                </c:pt>
                <c:pt idx="175">
                  <c:v>-6.6294601463672542</c:v>
                </c:pt>
                <c:pt idx="176">
                  <c:v>-6.7533503491718827</c:v>
                </c:pt>
                <c:pt idx="177">
                  <c:v>-6.875200520460881</c:v>
                </c:pt>
                <c:pt idx="178">
                  <c:v>-6.9949877026841136</c:v>
                </c:pt>
                <c:pt idx="179">
                  <c:v>-7.1126906629493325</c:v>
                </c:pt>
                <c:pt idx="180">
                  <c:v>-7.2282899720487803</c:v>
                </c:pt>
                <c:pt idx="181">
                  <c:v>-7.3417680778918983</c:v>
                </c:pt>
                <c:pt idx="182">
                  <c:v>-7.4531093727717979</c:v>
                </c:pt>
                <c:pt idx="183">
                  <c:v>-7.5623002539324453</c:v>
                </c:pt>
                <c:pt idx="184">
                  <c:v>-7.6693291769473761</c:v>
                </c:pt>
                <c:pt idx="185">
                  <c:v>-7.7741867014730301</c:v>
                </c:pt>
                <c:pt idx="186">
                  <c:v>-7.876865528998092</c:v>
                </c:pt>
                <c:pt idx="187">
                  <c:v>-7.9773605322738614</c:v>
                </c:pt>
                <c:pt idx="188">
                  <c:v>-8.0756687761769701</c:v>
                </c:pt>
                <c:pt idx="189">
                  <c:v>-8.1717895298292582</c:v>
                </c:pt>
                <c:pt idx="190">
                  <c:v>-8.2657242698714644</c:v>
                </c:pt>
                <c:pt idx="191">
                  <c:v>-8.3574766748652163</c:v>
                </c:pt>
                <c:pt idx="192">
                  <c:v>-8.4470526108709585</c:v>
                </c:pt>
                <c:pt idx="193">
                  <c:v>-8.5344601083270373</c:v>
                </c:pt>
                <c:pt idx="194">
                  <c:v>-8.6197093304273249</c:v>
                </c:pt>
                <c:pt idx="195">
                  <c:v>-8.7028125332646091</c:v>
                </c:pt>
                <c:pt idx="196">
                  <c:v>-8.7837840180754299</c:v>
                </c:pt>
                <c:pt idx="197">
                  <c:v>-8.8626400759823625</c:v>
                </c:pt>
                <c:pt idx="198">
                  <c:v>-8.939398925686552</c:v>
                </c:pt>
                <c:pt idx="199">
                  <c:v>-9.0140806446130828</c:v>
                </c:pt>
                <c:pt idx="200">
                  <c:v>-9.0867070940560879</c:v>
                </c:pt>
                <c:pt idx="201">
                  <c:v>-9.1573018389047451</c:v>
                </c:pt>
                <c:pt idx="202">
                  <c:v>-9.2258900625613389</c:v>
                </c:pt>
                <c:pt idx="203">
                  <c:v>-9.292498477682722</c:v>
                </c:pt>
                <c:pt idx="204">
                  <c:v>-9.3571552333902854</c:v>
                </c:pt>
                <c:pt idx="205">
                  <c:v>-9.4198898195981116</c:v>
                </c:pt>
                <c:pt idx="206">
                  <c:v>-9.4807329691091908</c:v>
                </c:pt>
                <c:pt idx="207">
                  <c:v>-9.5397165581204124</c:v>
                </c:pt>
                <c:pt idx="208">
                  <c:v>-9.59687350576176</c:v>
                </c:pt>
                <c:pt idx="209">
                  <c:v>-9.6522376732755379</c:v>
                </c:pt>
                <c:pt idx="210">
                  <c:v>-9.7058437634157553</c:v>
                </c:pt>
                <c:pt idx="211">
                  <c:v>-9.757727220616383</c:v>
                </c:pt>
                <c:pt idx="212">
                  <c:v>-9.8079241324435227</c:v>
                </c:pt>
                <c:pt idx="213">
                  <c:v>-9.8564711328103431</c:v>
                </c:pt>
                <c:pt idx="214">
                  <c:v>-9.9034053073908641</c:v>
                </c:pt>
                <c:pt idx="215">
                  <c:v>-9.9487641016303332</c:v>
                </c:pt>
                <c:pt idx="216">
                  <c:v>-9.99258523170462</c:v>
                </c:pt>
                <c:pt idx="217">
                  <c:v>-10.034906598739406</c:v>
                </c:pt>
                <c:pt idx="218">
                  <c:v>-10.075766206554952</c:v>
                </c:pt>
                <c:pt idx="219">
                  <c:v>-10.115202083162217</c:v>
                </c:pt>
                <c:pt idx="220">
                  <c:v>-10.153252206191832</c:v>
                </c:pt>
                <c:pt idx="221">
                  <c:v>-10.189954432399457</c:v>
                </c:pt>
                <c:pt idx="222">
                  <c:v>-10.225346431351348</c:v>
                </c:pt>
                <c:pt idx="223">
                  <c:v>-10.259465623359409</c:v>
                </c:pt>
                <c:pt idx="224">
                  <c:v>-10.292349121699957</c:v>
                </c:pt>
                <c:pt idx="225">
                  <c:v>-10.324033679119546</c:v>
                </c:pt>
                <c:pt idx="226">
                  <c:v>-10.354555638603831</c:v>
                </c:pt>
                <c:pt idx="227">
                  <c:v>-10.383950888357536</c:v>
                </c:pt>
                <c:pt idx="228">
                  <c:v>-10.412254820922058</c:v>
                </c:pt>
                <c:pt idx="229">
                  <c:v>-10.439502296337267</c:v>
                </c:pt>
                <c:pt idx="230">
                  <c:v>-10.46572760923363</c:v>
                </c:pt>
                <c:pt idx="231">
                  <c:v>-10.490964459729547</c:v>
                </c:pt>
                <c:pt idx="232">
                  <c:v>-10.515245927992618</c:v>
                </c:pt>
                <c:pt idx="233">
                  <c:v>-10.53860445231582</c:v>
                </c:pt>
                <c:pt idx="234">
                  <c:v>-10.561071810549265</c:v>
                </c:pt>
                <c:pt idx="235">
                  <c:v>-10.582679104725072</c:v>
                </c:pt>
                <c:pt idx="236">
                  <c:v>-10.603456748704838</c:v>
                </c:pt>
                <c:pt idx="237">
                  <c:v>-10.623434458680745</c:v>
                </c:pt>
                <c:pt idx="238">
                  <c:v>-10.642641246357789</c:v>
                </c:pt>
                <c:pt idx="239">
                  <c:v>-10.661105414646332</c:v>
                </c:pt>
                <c:pt idx="240">
                  <c:v>-10.678854555695384</c:v>
                </c:pt>
                <c:pt idx="241">
                  <c:v>-10.695915551100869</c:v>
                </c:pt>
                <c:pt idx="242">
                  <c:v>-10.71231457412523</c:v>
                </c:pt>
                <c:pt idx="243">
                  <c:v>-10.728077093771304</c:v>
                </c:pt>
                <c:pt idx="244">
                  <c:v>-10.743227880557196</c:v>
                </c:pt>
                <c:pt idx="245">
                  <c:v>-10.757791013844836</c:v>
                </c:pt>
                <c:pt idx="246">
                  <c:v>-10.771789890582497</c:v>
                </c:pt>
                <c:pt idx="247">
                  <c:v>-10.785247235325539</c:v>
                </c:pt>
                <c:pt idx="248">
                  <c:v>-10.798185111409147</c:v>
                </c:pt>
                <c:pt idx="249">
                  <c:v>-10.810624933151985</c:v>
                </c:pt>
                <c:pt idx="250">
                  <c:v>-10.822587478976942</c:v>
                </c:pt>
                <c:pt idx="251">
                  <c:v>-10.834092905343004</c:v>
                </c:pt>
                <c:pt idx="252">
                  <c:v>-10.845160761388238</c:v>
                </c:pt>
                <c:pt idx="253">
                  <c:v>-10.855810004190873</c:v>
                </c:pt>
                <c:pt idx="254">
                  <c:v>-10.86605901456355</c:v>
                </c:pt>
                <c:pt idx="255">
                  <c:v>-10.875925613299607</c:v>
                </c:pt>
                <c:pt idx="256">
                  <c:v>-10.88542707779993</c:v>
                </c:pt>
                <c:pt idx="257">
                  <c:v>-10.894580159012563</c:v>
                </c:pt>
                <c:pt idx="258">
                  <c:v>-10.903401098623757</c:v>
                </c:pt>
                <c:pt idx="259">
                  <c:v>-10.911905646445813</c:v>
                </c:pt>
                <c:pt idx="260">
                  <c:v>-10.920109077951231</c:v>
                </c:pt>
                <c:pt idx="261">
                  <c:v>-10.928026211907977</c:v>
                </c:pt>
                <c:pt idx="262">
                  <c:v>-10.935671428076724</c:v>
                </c:pt>
                <c:pt idx="263">
                  <c:v>-10.943058684933538</c:v>
                </c:pt>
                <c:pt idx="264">
                  <c:v>-10.950201537387489</c:v>
                </c:pt>
                <c:pt idx="265">
                  <c:v>-10.957113154465732</c:v>
                </c:pt>
                <c:pt idx="266">
                  <c:v>-10.963806336943389</c:v>
                </c:pt>
                <c:pt idx="267">
                  <c:v>-10.970293534897612</c:v>
                </c:pt>
                <c:pt idx="268">
                  <c:v>-10.97658686516958</c:v>
                </c:pt>
                <c:pt idx="269">
                  <c:v>-10.982698128722017</c:v>
                </c:pt>
                <c:pt idx="270">
                  <c:v>-10.988638827880004</c:v>
                </c:pt>
                <c:pt idx="271">
                  <c:v>-10.994420183448799</c:v>
                </c:pt>
                <c:pt idx="272">
                  <c:v>-11.00005315170208</c:v>
                </c:pt>
                <c:pt idx="273">
                  <c:v>-11.005548441237798</c:v>
                </c:pt>
                <c:pt idx="274">
                  <c:v>-11.010916529701117</c:v>
                </c:pt>
                <c:pt idx="275">
                  <c:v>-11.016167680372863</c:v>
                </c:pt>
                <c:pt idx="276">
                  <c:v>-11.021311958629685</c:v>
                </c:pt>
                <c:pt idx="277">
                  <c:v>-11.026359248275284</c:v>
                </c:pt>
                <c:pt idx="278">
                  <c:v>-11.031319267752352</c:v>
                </c:pt>
                <c:pt idx="279">
                  <c:v>-11.036201586238183</c:v>
                </c:pt>
                <c:pt idx="280">
                  <c:v>-11.04101563963466</c:v>
                </c:pt>
                <c:pt idx="281">
                  <c:v>-11.045770746459056</c:v>
                </c:pt>
                <c:pt idx="282">
                  <c:v>-11.050476123646543</c:v>
                </c:pt>
                <c:pt idx="283">
                  <c:v>-11.055140902273912</c:v>
                </c:pt>
                <c:pt idx="284">
                  <c:v>-11.05977414321617</c:v>
                </c:pt>
                <c:pt idx="285">
                  <c:v>-11.064384852747391</c:v>
                </c:pt>
                <c:pt idx="286">
                  <c:v>-11.068981998096882</c:v>
                </c:pt>
                <c:pt idx="287">
                  <c:v>-11.073574522974086</c:v>
                </c:pt>
                <c:pt idx="288">
                  <c:v>-11.078171363074274</c:v>
                </c:pt>
                <c:pt idx="289">
                  <c:v>-11.082781461577646</c:v>
                </c:pt>
                <c:pt idx="290">
                  <c:v>-11.087413784654178</c:v>
                </c:pt>
                <c:pt idx="291">
                  <c:v>-11.092077336987892</c:v>
                </c:pt>
                <c:pt idx="292">
                  <c:v>-11.096781177332</c:v>
                </c:pt>
                <c:pt idx="293">
                  <c:v>-11.101534434107659</c:v>
                </c:pt>
                <c:pt idx="294">
                  <c:v>-11.106346321058695</c:v>
                </c:pt>
                <c:pt idx="295">
                  <c:v>-11.111226152972577</c:v>
                </c:pt>
                <c:pt idx="296">
                  <c:v>-11.116183361480463</c:v>
                </c:pt>
                <c:pt idx="297">
                  <c:v>-11.121227510944493</c:v>
                </c:pt>
                <c:pt idx="298">
                  <c:v>-11.126368314444379</c:v>
                </c:pt>
                <c:pt idx="299">
                  <c:v>-11.131615649869424</c:v>
                </c:pt>
                <c:pt idx="300">
                  <c:v>-11.136979576125745</c:v>
                </c:pt>
                <c:pt idx="301">
                  <c:v>-11.142470349464364</c:v>
                </c:pt>
                <c:pt idx="302">
                  <c:v>-11.148098439935897</c:v>
                </c:pt>
                <c:pt idx="303">
                  <c:v>-11.153874547975276</c:v>
                </c:pt>
                <c:pt idx="304">
                  <c:v>-11.159809621119617</c:v>
                </c:pt>
                <c:pt idx="305">
                  <c:v>-11.16591487085984</c:v>
                </c:pt>
                <c:pt idx="306">
                  <c:v>-11.172201789624301</c:v>
                </c:pt>
                <c:pt idx="307">
                  <c:v>-11.178682167892287</c:v>
                </c:pt>
                <c:pt idx="308">
                  <c:v>-11.185368111430797</c:v>
                </c:pt>
                <c:pt idx="309">
                  <c:v>-11.192272058648163</c:v>
                </c:pt>
                <c:pt idx="310">
                  <c:v>-11.199406798052545</c:v>
                </c:pt>
                <c:pt idx="311">
                  <c:v>-11.206785485803554</c:v>
                </c:pt>
                <c:pt idx="312">
                  <c:v>-11.214421663339596</c:v>
                </c:pt>
                <c:pt idx="313">
                  <c:v>-11.222329275061009</c:v>
                </c:pt>
                <c:pt idx="314">
                  <c:v>-11.230522686047804</c:v>
                </c:pt>
                <c:pt idx="315">
                  <c:v>-11.239016699782303</c:v>
                </c:pt>
                <c:pt idx="316">
                  <c:v>-11.247826575847387</c:v>
                </c:pt>
                <c:pt idx="317">
                  <c:v>-11.25696804756541</c:v>
                </c:pt>
                <c:pt idx="318">
                  <c:v>-11.26645733953578</c:v>
                </c:pt>
                <c:pt idx="319">
                  <c:v>-11.276311185028675</c:v>
                </c:pt>
                <c:pt idx="320">
                  <c:v>-11.286546843184313</c:v>
                </c:pt>
                <c:pt idx="321">
                  <c:v>-11.297182115961597</c:v>
                </c:pt>
                <c:pt idx="322">
                  <c:v>-11.308235364776603</c:v>
                </c:pt>
                <c:pt idx="323">
                  <c:v>-11.319725526763481</c:v>
                </c:pt>
                <c:pt idx="324">
                  <c:v>-11.331672130585291</c:v>
                </c:pt>
                <c:pt idx="325">
                  <c:v>-11.344095311714533</c:v>
                </c:pt>
                <c:pt idx="326">
                  <c:v>-11.357015827098877</c:v>
                </c:pt>
                <c:pt idx="327">
                  <c:v>-11.370455069119087</c:v>
                </c:pt>
                <c:pt idx="328">
                  <c:v>-11.384435078738802</c:v>
                </c:pt>
                <c:pt idx="329">
                  <c:v>-11.398978557741779</c:v>
                </c:pt>
                <c:pt idx="330">
                  <c:v>-11.414108879941516</c:v>
                </c:pt>
                <c:pt idx="331">
                  <c:v>-11.429850101243753</c:v>
                </c:pt>
                <c:pt idx="332">
                  <c:v>-11.446226968434534</c:v>
                </c:pt>
                <c:pt idx="333">
                  <c:v>-11.463264926559475</c:v>
                </c:pt>
                <c:pt idx="334">
                  <c:v>-11.480990124754166</c:v>
                </c:pt>
                <c:pt idx="335">
                  <c:v>-11.499429420378622</c:v>
                </c:pt>
                <c:pt idx="336">
                  <c:v>-11.518610381302954</c:v>
                </c:pt>
                <c:pt idx="337">
                  <c:v>-11.538561286186741</c:v>
                </c:pt>
                <c:pt idx="338">
                  <c:v>-11.55931112258963</c:v>
                </c:pt>
                <c:pt idx="339">
                  <c:v>-11.580889582746618</c:v>
                </c:pt>
                <c:pt idx="340">
                  <c:v>-11.603327056838729</c:v>
                </c:pt>
                <c:pt idx="341">
                  <c:v>-11.626654623588502</c:v>
                </c:pt>
                <c:pt idx="342">
                  <c:v>-11.65090403800836</c:v>
                </c:pt>
                <c:pt idx="343">
                  <c:v>-11.676107716130755</c:v>
                </c:pt>
                <c:pt idx="344">
                  <c:v>-11.702298716552338</c:v>
                </c:pt>
                <c:pt idx="345">
                  <c:v>-11.729510718627367</c:v>
                </c:pt>
                <c:pt idx="346">
                  <c:v>-11.757777997151322</c:v>
                </c:pt>
                <c:pt idx="347">
                  <c:v>-11.787135393385997</c:v>
                </c:pt>
                <c:pt idx="348">
                  <c:v>-11.817618282284164</c:v>
                </c:pt>
                <c:pt idx="349">
                  <c:v>-11.849262535786877</c:v>
                </c:pt>
                <c:pt idx="350">
                  <c:v>-11.882104482081544</c:v>
                </c:pt>
                <c:pt idx="351">
                  <c:v>-11.916180860724428</c:v>
                </c:pt>
                <c:pt idx="352">
                  <c:v>-11.951528773554234</c:v>
                </c:pt>
                <c:pt idx="353">
                  <c:v>-11.988185631344436</c:v>
                </c:pt>
                <c:pt idx="354">
                  <c:v>-12.026189096168579</c:v>
                </c:pt>
                <c:pt idx="355">
                  <c:v>-12.065577019481008</c:v>
                </c:pt>
                <c:pt idx="356">
                  <c:v>-12.106387375947351</c:v>
                </c:pt>
                <c:pt idx="357">
                  <c:v>-12.148658193090576</c:v>
                </c:pt>
                <c:pt idx="358">
                  <c:v>-12.192427476857597</c:v>
                </c:pt>
                <c:pt idx="359">
                  <c:v>-12.237733133246575</c:v>
                </c:pt>
                <c:pt idx="360">
                  <c:v>-12.284612886176969</c:v>
                </c:pt>
                <c:pt idx="361">
                  <c:v>-12.333104191824663</c:v>
                </c:pt>
                <c:pt idx="362">
                  <c:v>-12.383244149688073</c:v>
                </c:pt>
                <c:pt idx="363">
                  <c:v>-12.435069410693613</c:v>
                </c:pt>
                <c:pt idx="364">
                  <c:v>-12.488616082692287</c:v>
                </c:pt>
                <c:pt idx="365">
                  <c:v>-12.543919633742197</c:v>
                </c:pt>
                <c:pt idx="366">
                  <c:v>-12.601014793614159</c:v>
                </c:pt>
                <c:pt idx="367">
                  <c:v>-12.65993545399512</c:v>
                </c:pt>
                <c:pt idx="368">
                  <c:v>-12.720714567904787</c:v>
                </c:pt>
                <c:pt idx="369">
                  <c:v>-12.783384048873627</c:v>
                </c:pt>
                <c:pt idx="370">
                  <c:v>-12.847974670459676</c:v>
                </c:pt>
                <c:pt idx="371">
                  <c:v>-12.914515966710319</c:v>
                </c:pt>
                <c:pt idx="372">
                  <c:v>-12.983036134193854</c:v>
                </c:pt>
                <c:pt idx="373">
                  <c:v>-13.053561936241158</c:v>
                </c:pt>
                <c:pt idx="374">
                  <c:v>-13.126118610045832</c:v>
                </c:pt>
                <c:pt idx="375">
                  <c:v>-13.20072977727518</c:v>
                </c:pt>
                <c:pt idx="376">
                  <c:v>-13.277417358834709</c:v>
                </c:pt>
                <c:pt idx="377">
                  <c:v>-13.356201494419977</c:v>
                </c:pt>
                <c:pt idx="378">
                  <c:v>-13.437100467466902</c:v>
                </c:pt>
                <c:pt idx="379">
                  <c:v>-13.520130636083096</c:v>
                </c:pt>
                <c:pt idx="380">
                  <c:v>-13.605306370508245</c:v>
                </c:pt>
                <c:pt idx="381">
                  <c:v>-13.692639997607994</c:v>
                </c:pt>
                <c:pt idx="382">
                  <c:v>-13.782141752855557</c:v>
                </c:pt>
                <c:pt idx="383">
                  <c:v>-13.873819740199913</c:v>
                </c:pt>
                <c:pt idx="384">
                  <c:v>-13.967679900157171</c:v>
                </c:pt>
                <c:pt idx="385">
                  <c:v>-14.063725986395927</c:v>
                </c:pt>
                <c:pt idx="386">
                  <c:v>-14.16195955101575</c:v>
                </c:pt>
                <c:pt idx="387">
                  <c:v>-14.262379938646369</c:v>
                </c:pt>
                <c:pt idx="388">
                  <c:v>-14.364984289419077</c:v>
                </c:pt>
                <c:pt idx="389">
                  <c:v>-14.469767550785226</c:v>
                </c:pt>
                <c:pt idx="390">
                  <c:v>-14.576722498083461</c:v>
                </c:pt>
                <c:pt idx="391">
                  <c:v>-14.685839763681191</c:v>
                </c:pt>
                <c:pt idx="392">
                  <c:v>-14.797107874444624</c:v>
                </c:pt>
                <c:pt idx="393">
                  <c:v>-14.910513297225201</c:v>
                </c:pt>
                <c:pt idx="394">
                  <c:v>-15.02604049198467</c:v>
                </c:pt>
                <c:pt idx="395">
                  <c:v>-15.143671972124697</c:v>
                </c:pt>
                <c:pt idx="396">
                  <c:v>-15.263388371533818</c:v>
                </c:pt>
                <c:pt idx="397">
                  <c:v>-15.385168517818286</c:v>
                </c:pt>
                <c:pt idx="398">
                  <c:v>-15.50898951114868</c:v>
                </c:pt>
                <c:pt idx="399">
                  <c:v>-15.634826808116184</c:v>
                </c:pt>
                <c:pt idx="400">
                  <c:v>-15.762654309978322</c:v>
                </c:pt>
                <c:pt idx="401">
                  <c:v>-15.892444454649421</c:v>
                </c:pt>
                <c:pt idx="402">
                  <c:v>-16.024168311788657</c:v>
                </c:pt>
                <c:pt idx="403">
                  <c:v>-16.157795680335859</c:v>
                </c:pt>
                <c:pt idx="404">
                  <c:v>-16.293295187851417</c:v>
                </c:pt>
                <c:pt idx="405">
                  <c:v>-16.430634391028644</c:v>
                </c:pt>
                <c:pt idx="406">
                  <c:v>-16.569779876767431</c:v>
                </c:pt>
                <c:pt idx="407">
                  <c:v>-16.710697363221428</c:v>
                </c:pt>
                <c:pt idx="408">
                  <c:v>-16.853351800258586</c:v>
                </c:pt>
                <c:pt idx="409">
                  <c:v>-16.99770746881028</c:v>
                </c:pt>
                <c:pt idx="410">
                  <c:v>-17.143728078619272</c:v>
                </c:pt>
                <c:pt idx="411">
                  <c:v>-17.291376863936353</c:v>
                </c:pt>
                <c:pt idx="412">
                  <c:v>-17.440616676756537</c:v>
                </c:pt>
                <c:pt idx="413">
                  <c:v>-17.591410077228435</c:v>
                </c:pt>
                <c:pt idx="414">
                  <c:v>-17.743719420913685</c:v>
                </c:pt>
                <c:pt idx="415">
                  <c:v>-17.897506942615983</c:v>
                </c:pt>
                <c:pt idx="416">
                  <c:v>-18.052734836543426</c:v>
                </c:pt>
                <c:pt idx="417">
                  <c:v>-18.209365332607749</c:v>
                </c:pt>
                <c:pt idx="418">
                  <c:v>-18.367360768708338</c:v>
                </c:pt>
                <c:pt idx="419">
                  <c:v>-18.52668365888189</c:v>
                </c:pt>
                <c:pt idx="420">
                  <c:v>-18.687296757241938</c:v>
                </c:pt>
                <c:pt idx="421">
                  <c:v>-18.849163117662581</c:v>
                </c:pt>
                <c:pt idx="422">
                  <c:v>-19.012246149193363</c:v>
                </c:pt>
                <c:pt idx="423">
                  <c:v>-19.176509667224629</c:v>
                </c:pt>
                <c:pt idx="424">
                  <c:v>-19.341917940444887</c:v>
                </c:pt>
                <c:pt idx="425">
                  <c:v>-19.508435733659734</c:v>
                </c:pt>
                <c:pt idx="426">
                  <c:v>-19.676028346560294</c:v>
                </c:pt>
                <c:pt idx="427">
                  <c:v>-19.844661648550918</c:v>
                </c:pt>
                <c:pt idx="428">
                  <c:v>-20.014302109757722</c:v>
                </c:pt>
                <c:pt idx="429">
                  <c:v>-20.184916828356407</c:v>
                </c:pt>
                <c:pt idx="430">
                  <c:v>-20.356473554368506</c:v>
                </c:pt>
                <c:pt idx="431">
                  <c:v>-20.528940710081464</c:v>
                </c:pt>
                <c:pt idx="432">
                  <c:v>-20.702287407258456</c:v>
                </c:pt>
                <c:pt idx="433">
                  <c:v>-20.876483461305174</c:v>
                </c:pt>
                <c:pt idx="434">
                  <c:v>-21.05149940256662</c:v>
                </c:pt>
                <c:pt idx="435">
                  <c:v>-21.227306484926434</c:v>
                </c:pt>
                <c:pt idx="436">
                  <c:v>-21.403876691882072</c:v>
                </c:pt>
                <c:pt idx="437">
                  <c:v>-21.581182740267792</c:v>
                </c:pt>
                <c:pt idx="438">
                  <c:v>-21.759198081794615</c:v>
                </c:pt>
                <c:pt idx="439">
                  <c:v>-21.937896902573438</c:v>
                </c:pt>
                <c:pt idx="440">
                  <c:v>-22.117254120783368</c:v>
                </c:pt>
                <c:pt idx="441">
                  <c:v>-22.297245382640355</c:v>
                </c:pt>
                <c:pt idx="442">
                  <c:v>-22.477847056820206</c:v>
                </c:pt>
                <c:pt idx="443">
                  <c:v>-22.65903622747782</c:v>
                </c:pt>
                <c:pt idx="444">
                  <c:v>-22.840790686004333</c:v>
                </c:pt>
                <c:pt idx="445">
                  <c:v>-23.023088921652505</c:v>
                </c:pt>
                <c:pt idx="446">
                  <c:v>-23.205910111156946</c:v>
                </c:pt>
                <c:pt idx="447">
                  <c:v>-23.389234107466844</c:v>
                </c:pt>
                <c:pt idx="448">
                  <c:v>-23.573041427703899</c:v>
                </c:pt>
                <c:pt idx="449">
                  <c:v>-23.757313240449008</c:v>
                </c:pt>
                <c:pt idx="450">
                  <c:v>-23.94203135245737</c:v>
                </c:pt>
                <c:pt idx="451">
                  <c:v>-24.127178194891208</c:v>
                </c:pt>
                <c:pt idx="452">
                  <c:v>-24.312736809157549</c:v>
                </c:pt>
                <c:pt idx="453">
                  <c:v>-24.49869083242708</c:v>
                </c:pt>
                <c:pt idx="454">
                  <c:v>-24.68502448290868</c:v>
                </c:pt>
                <c:pt idx="455">
                  <c:v>-24.871722544944777</c:v>
                </c:pt>
                <c:pt idx="456">
                  <c:v>-25.058770353989274</c:v>
                </c:pt>
                <c:pt idx="457">
                  <c:v>-25.246153781524082</c:v>
                </c:pt>
                <c:pt idx="458">
                  <c:v>-25.433859219963519</c:v>
                </c:pt>
                <c:pt idx="459">
                  <c:v>-25.621873567594371</c:v>
                </c:pt>
                <c:pt idx="460">
                  <c:v>-25.810184213591011</c:v>
                </c:pt>
                <c:pt idx="461">
                  <c:v>-25.998779023144145</c:v>
                </c:pt>
                <c:pt idx="462">
                  <c:v>-26.187646322735134</c:v>
                </c:pt>
                <c:pt idx="463">
                  <c:v>-26.376774885586094</c:v>
                </c:pt>
                <c:pt idx="464">
                  <c:v>-26.56615391731092</c:v>
                </c:pt>
                <c:pt idx="465">
                  <c:v>-26.755773041790579</c:v>
                </c:pt>
                <c:pt idx="466">
                  <c:v>-26.945622287291343</c:v>
                </c:pt>
                <c:pt idx="467">
                  <c:v>-27.135692072843909</c:v>
                </c:pt>
                <c:pt idx="468">
                  <c:v>-27.325973194896985</c:v>
                </c:pt>
                <c:pt idx="469">
                  <c:v>-27.516456814257346</c:v>
                </c:pt>
                <c:pt idx="470">
                  <c:v>-27.707134443326762</c:v>
                </c:pt>
                <c:pt idx="471">
                  <c:v>-27.897997933642472</c:v>
                </c:pt>
                <c:pt idx="472">
                  <c:v>-28.089039463728781</c:v>
                </c:pt>
                <c:pt idx="473">
                  <c:v>-28.280251527262909</c:v>
                </c:pt>
                <c:pt idx="474">
                  <c:v>-28.471626921558464</c:v>
                </c:pt>
                <c:pt idx="475">
                  <c:v>-28.663158736368658</c:v>
                </c:pt>
                <c:pt idx="476">
                  <c:v>-28.854840343008902</c:v>
                </c:pt>
                <c:pt idx="477">
                  <c:v>-29.046665383798388</c:v>
                </c:pt>
                <c:pt idx="478">
                  <c:v>-29.238627761819508</c:v>
                </c:pt>
                <c:pt idx="479">
                  <c:v>-29.43072163099162</c:v>
                </c:pt>
                <c:pt idx="480">
                  <c:v>-29.622941386457633</c:v>
                </c:pt>
                <c:pt idx="481">
                  <c:v>-29.815281655277239</c:v>
                </c:pt>
                <c:pt idx="482">
                  <c:v>-30.007737287424607</c:v>
                </c:pt>
                <c:pt idx="483">
                  <c:v>-30.200303347084244</c:v>
                </c:pt>
                <c:pt idx="484">
                  <c:v>-30.392975104239838</c:v>
                </c:pt>
                <c:pt idx="485">
                  <c:v>-30.585748026551126</c:v>
                </c:pt>
                <c:pt idx="486">
                  <c:v>-30.778617771511406</c:v>
                </c:pt>
                <c:pt idx="487">
                  <c:v>-30.971580178880917</c:v>
                </c:pt>
                <c:pt idx="488">
                  <c:v>-31.164631263388603</c:v>
                </c:pt>
                <c:pt idx="489">
                  <c:v>-31.357767207695556</c:v>
                </c:pt>
                <c:pt idx="490">
                  <c:v>-31.550984355614354</c:v>
                </c:pt>
                <c:pt idx="491">
                  <c:v>-31.744279205576611</c:v>
                </c:pt>
                <c:pt idx="492">
                  <c:v>-31.937648404341804</c:v>
                </c:pt>
                <c:pt idx="493">
                  <c:v>-32.131088740941735</c:v>
                </c:pt>
                <c:pt idx="494">
                  <c:v>-32.324597140851033</c:v>
                </c:pt>
                <c:pt idx="495">
                  <c:v>-32.518170660380797</c:v>
                </c:pt>
                <c:pt idx="496">
                  <c:v>-32.711806481284512</c:v>
                </c:pt>
                <c:pt idx="497">
                  <c:v>-32.905501905572272</c:v>
                </c:pt>
                <c:pt idx="498">
                  <c:v>-33.099254350525896</c:v>
                </c:pt>
                <c:pt idx="499">
                  <c:v>-33.293061343906849</c:v>
                </c:pt>
                <c:pt idx="500">
                  <c:v>-33.486920519353667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41-4D19-9DBC-690DDB1D00CA}"/>
            </c:ext>
          </c:extLst>
        </c:ser>
        <c:ser>
          <c:idx val="0"/>
          <c:order val="6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Signal'!$J$511:$J$612</c:f>
              <c:numCache>
                <c:formatCode>General</c:formatCode>
                <c:ptCount val="102"/>
                <c:pt idx="0">
                  <c:v>37.660600000000002</c:v>
                </c:pt>
                <c:pt idx="1">
                  <c:v>40.938000000000002</c:v>
                </c:pt>
                <c:pt idx="2">
                  <c:v>45.019300000000001</c:v>
                </c:pt>
                <c:pt idx="3">
                  <c:v>41.562100000000001</c:v>
                </c:pt>
                <c:pt idx="4">
                  <c:v>43.169699999999999</c:v>
                </c:pt>
                <c:pt idx="5">
                  <c:v>42.245800000000003</c:v>
                </c:pt>
                <c:pt idx="6">
                  <c:v>41.420299999999997</c:v>
                </c:pt>
                <c:pt idx="7">
                  <c:v>41.924500000000002</c:v>
                </c:pt>
                <c:pt idx="8">
                  <c:v>40.187199999999997</c:v>
                </c:pt>
                <c:pt idx="9">
                  <c:v>38.4514</c:v>
                </c:pt>
                <c:pt idx="10">
                  <c:v>36.996499999999997</c:v>
                </c:pt>
                <c:pt idx="11">
                  <c:v>35.101599999999998</c:v>
                </c:pt>
                <c:pt idx="12">
                  <c:v>33.128500000000003</c:v>
                </c:pt>
                <c:pt idx="13">
                  <c:v>31.1892</c:v>
                </c:pt>
                <c:pt idx="14">
                  <c:v>29.313400000000001</c:v>
                </c:pt>
                <c:pt idx="15">
                  <c:v>27.4208</c:v>
                </c:pt>
                <c:pt idx="16">
                  <c:v>25.543299999999999</c:v>
                </c:pt>
                <c:pt idx="17">
                  <c:v>23.7925</c:v>
                </c:pt>
                <c:pt idx="18">
                  <c:v>22.151800000000001</c:v>
                </c:pt>
                <c:pt idx="19">
                  <c:v>20.708300000000001</c:v>
                </c:pt>
                <c:pt idx="20">
                  <c:v>19.408200000000001</c:v>
                </c:pt>
                <c:pt idx="21">
                  <c:v>18.206299999999999</c:v>
                </c:pt>
                <c:pt idx="22">
                  <c:v>16.799600000000002</c:v>
                </c:pt>
                <c:pt idx="23">
                  <c:v>15.136699999999999</c:v>
                </c:pt>
                <c:pt idx="24">
                  <c:v>13.201000000000001</c:v>
                </c:pt>
                <c:pt idx="25">
                  <c:v>11.1213</c:v>
                </c:pt>
                <c:pt idx="26">
                  <c:v>9.0173299999999994</c:v>
                </c:pt>
                <c:pt idx="27">
                  <c:v>6.94102</c:v>
                </c:pt>
                <c:pt idx="28">
                  <c:v>4.9103399999999997</c:v>
                </c:pt>
                <c:pt idx="29">
                  <c:v>2.9131499999999999</c:v>
                </c:pt>
                <c:pt idx="30">
                  <c:v>0.95159800000000005</c:v>
                </c:pt>
                <c:pt idx="31">
                  <c:v>-0.97999400000000003</c:v>
                </c:pt>
                <c:pt idx="32">
                  <c:v>-3.0378500000000002</c:v>
                </c:pt>
                <c:pt idx="33">
                  <c:v>-5.0957600000000003</c:v>
                </c:pt>
                <c:pt idx="34">
                  <c:v>-6.9738800000000003</c:v>
                </c:pt>
                <c:pt idx="35">
                  <c:v>-8.6015200000000007</c:v>
                </c:pt>
                <c:pt idx="36">
                  <c:v>-9.9493500000000008</c:v>
                </c:pt>
                <c:pt idx="37">
                  <c:v>-10.9834</c:v>
                </c:pt>
                <c:pt idx="38">
                  <c:v>-11.75</c:v>
                </c:pt>
                <c:pt idx="39">
                  <c:v>-12.6732</c:v>
                </c:pt>
                <c:pt idx="40">
                  <c:v>-13.494400000000001</c:v>
                </c:pt>
                <c:pt idx="41">
                  <c:v>-14.252599999999999</c:v>
                </c:pt>
                <c:pt idx="42">
                  <c:v>-14.984500000000001</c:v>
                </c:pt>
                <c:pt idx="43">
                  <c:v>-15.6913</c:v>
                </c:pt>
                <c:pt idx="44">
                  <c:v>-16.584</c:v>
                </c:pt>
                <c:pt idx="45">
                  <c:v>-18.080200000000001</c:v>
                </c:pt>
                <c:pt idx="46">
                  <c:v>-23.304200000000002</c:v>
                </c:pt>
                <c:pt idx="47">
                  <c:v>-38.991999999999997</c:v>
                </c:pt>
                <c:pt idx="48">
                  <c:v>-30.333600000000001</c:v>
                </c:pt>
                <c:pt idx="49">
                  <c:v>-25.927700000000002</c:v>
                </c:pt>
                <c:pt idx="50">
                  <c:v>-25.588000000000001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1-4D19-9DBC-690DDB1D00CA}"/>
            </c:ext>
          </c:extLst>
        </c:ser>
        <c:ser>
          <c:idx val="8"/>
          <c:order val="8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Signal'!$N$511:$N$612</c:f>
              <c:numCache>
                <c:formatCode>General</c:formatCode>
                <c:ptCount val="102"/>
                <c:pt idx="0">
                  <c:v>18.21</c:v>
                </c:pt>
                <c:pt idx="1">
                  <c:v>18.2605</c:v>
                </c:pt>
                <c:pt idx="2">
                  <c:v>18.195399999999999</c:v>
                </c:pt>
                <c:pt idx="3">
                  <c:v>18.6417</c:v>
                </c:pt>
                <c:pt idx="4">
                  <c:v>18.401</c:v>
                </c:pt>
                <c:pt idx="5">
                  <c:v>18.456</c:v>
                </c:pt>
                <c:pt idx="6">
                  <c:v>18.449200000000001</c:v>
                </c:pt>
                <c:pt idx="7">
                  <c:v>18.566299999999998</c:v>
                </c:pt>
                <c:pt idx="8">
                  <c:v>18.429400000000001</c:v>
                </c:pt>
                <c:pt idx="9">
                  <c:v>18.380700000000001</c:v>
                </c:pt>
                <c:pt idx="10">
                  <c:v>18.421800000000001</c:v>
                </c:pt>
                <c:pt idx="11">
                  <c:v>18.415299999999998</c:v>
                </c:pt>
                <c:pt idx="12">
                  <c:v>18.372299999999999</c:v>
                </c:pt>
                <c:pt idx="13">
                  <c:v>18.3811</c:v>
                </c:pt>
                <c:pt idx="14">
                  <c:v>18.360399999999998</c:v>
                </c:pt>
                <c:pt idx="15">
                  <c:v>18.352900000000002</c:v>
                </c:pt>
                <c:pt idx="16">
                  <c:v>18.329999999999998</c:v>
                </c:pt>
                <c:pt idx="17">
                  <c:v>18.350000000000001</c:v>
                </c:pt>
                <c:pt idx="18">
                  <c:v>18.415500000000002</c:v>
                </c:pt>
                <c:pt idx="19">
                  <c:v>18.587599999999998</c:v>
                </c:pt>
                <c:pt idx="20">
                  <c:v>18.744800000000001</c:v>
                </c:pt>
                <c:pt idx="21">
                  <c:v>18.844999999999999</c:v>
                </c:pt>
                <c:pt idx="22">
                  <c:v>18.576599999999999</c:v>
                </c:pt>
                <c:pt idx="23">
                  <c:v>17.8185</c:v>
                </c:pt>
                <c:pt idx="24">
                  <c:v>16.533100000000001</c:v>
                </c:pt>
                <c:pt idx="25">
                  <c:v>14.869</c:v>
                </c:pt>
                <c:pt idx="26">
                  <c:v>13.0419</c:v>
                </c:pt>
                <c:pt idx="27">
                  <c:v>11.1648</c:v>
                </c:pt>
                <c:pt idx="28">
                  <c:v>9.2243700000000004</c:v>
                </c:pt>
                <c:pt idx="29">
                  <c:v>7.2900400000000003</c:v>
                </c:pt>
                <c:pt idx="30">
                  <c:v>5.4023700000000003</c:v>
                </c:pt>
                <c:pt idx="31">
                  <c:v>3.5295200000000002</c:v>
                </c:pt>
                <c:pt idx="32">
                  <c:v>1.69167</c:v>
                </c:pt>
                <c:pt idx="33">
                  <c:v>-7.7088799999999999E-2</c:v>
                </c:pt>
                <c:pt idx="34">
                  <c:v>-1.73281</c:v>
                </c:pt>
                <c:pt idx="35">
                  <c:v>-3.2250700000000001</c:v>
                </c:pt>
                <c:pt idx="36">
                  <c:v>-4.5564999999999998</c:v>
                </c:pt>
                <c:pt idx="37">
                  <c:v>-5.5935600000000001</c:v>
                </c:pt>
                <c:pt idx="38">
                  <c:v>-6.4191700000000003</c:v>
                </c:pt>
                <c:pt idx="39">
                  <c:v>-6.9911099999999999</c:v>
                </c:pt>
                <c:pt idx="40">
                  <c:v>-7.3113000000000001</c:v>
                </c:pt>
                <c:pt idx="41">
                  <c:v>-7.4893900000000002</c:v>
                </c:pt>
                <c:pt idx="42">
                  <c:v>-7.4759000000000002</c:v>
                </c:pt>
                <c:pt idx="43">
                  <c:v>-7.1994300000000004</c:v>
                </c:pt>
                <c:pt idx="44">
                  <c:v>-6.92408</c:v>
                </c:pt>
                <c:pt idx="45">
                  <c:v>-6.6042899999999998</c:v>
                </c:pt>
                <c:pt idx="46">
                  <c:v>-8.0669299999999993</c:v>
                </c:pt>
                <c:pt idx="47">
                  <c:v>-13.757400000000001</c:v>
                </c:pt>
                <c:pt idx="48">
                  <c:v>-23.852499999999999</c:v>
                </c:pt>
                <c:pt idx="49">
                  <c:v>-23.9956</c:v>
                </c:pt>
                <c:pt idx="50">
                  <c:v>-14.6715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41-4D19-9DBC-690DDB1D00CA}"/>
            </c:ext>
          </c:extLst>
        </c:ser>
        <c:ser>
          <c:idx val="10"/>
          <c:order val="10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Signal'!$R$511:$R$612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6288"/>
        <c:axId val="1"/>
      </c:scatterChart>
      <c:scatterChart>
        <c:scatterStyle val="smoothMarker"/>
        <c:varyColors val="0"/>
        <c:ser>
          <c:idx val="3"/>
          <c:order val="1"/>
          <c:tx>
            <c:strRef>
              <c:f>'Small Signal'!$AC$3</c:f>
              <c:strCache>
                <c:ptCount val="1"/>
                <c:pt idx="0">
                  <c:v>Phase Gvc CCM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Signal'!$AC$4:$AC$504</c:f>
              <c:numCache>
                <c:formatCode>General</c:formatCode>
                <c:ptCount val="501"/>
                <c:pt idx="0">
                  <c:v>-0.62985482328601416</c:v>
                </c:pt>
                <c:pt idx="1">
                  <c:v>-0.64415425983396313</c:v>
                </c:pt>
                <c:pt idx="2">
                  <c:v>-0.65877828423867613</c:v>
                </c:pt>
                <c:pt idx="3">
                  <c:v>-0.67373426104132472</c:v>
                </c:pt>
                <c:pt idx="4">
                  <c:v>-0.68902972164019571</c:v>
                </c:pt>
                <c:pt idx="5">
                  <c:v>-0.70467236805469069</c:v>
                </c:pt>
                <c:pt idx="6">
                  <c:v>-0.72067007677306438</c:v>
                </c:pt>
                <c:pt idx="7">
                  <c:v>-0.73703090268573501</c:v>
                </c:pt>
                <c:pt idx="8">
                  <c:v>-0.753763083105911</c:v>
                </c:pt>
                <c:pt idx="9">
                  <c:v>-0.77087504187951217</c:v>
                </c:pt>
                <c:pt idx="10">
                  <c:v>-0.78837539358606057</c:v>
                </c:pt>
                <c:pt idx="11">
                  <c:v>-0.80627294783271253</c:v>
                </c:pt>
                <c:pt idx="12">
                  <c:v>-0.82457671364308394</c:v>
                </c:pt>
                <c:pt idx="13">
                  <c:v>-0.84329590394314635</c:v>
                </c:pt>
                <c:pt idx="14">
                  <c:v>-0.86243994014600756</c:v>
                </c:pt>
                <c:pt idx="15">
                  <c:v>-0.8820184568375965</c:v>
                </c:pt>
                <c:pt idx="16">
                  <c:v>-0.90204130656556636</c:v>
                </c:pt>
                <c:pt idx="17">
                  <c:v>-0.92251856473322835</c:v>
                </c:pt>
                <c:pt idx="18">
                  <c:v>-0.94346053460089063</c:v>
                </c:pt>
                <c:pt idx="19">
                  <c:v>-0.96487775239658879</c:v>
                </c:pt>
                <c:pt idx="20">
                  <c:v>-0.98678099253859075</c:v>
                </c:pt>
                <c:pt idx="21">
                  <c:v>-1.0091812729717449</c:v>
                </c:pt>
                <c:pt idx="22">
                  <c:v>-1.0320898606200684</c:v>
                </c:pt>
                <c:pt idx="23">
                  <c:v>-1.0555182769577331</c:v>
                </c:pt>
                <c:pt idx="24">
                  <c:v>-1.079478303700941</c:v>
                </c:pt>
                <c:pt idx="25">
                  <c:v>-1.1039819886228537</c:v>
                </c:pt>
                <c:pt idx="26">
                  <c:v>-1.1290416514940504</c:v>
                </c:pt>
                <c:pt idx="27">
                  <c:v>-1.154669890150994</c:v>
                </c:pt>
                <c:pt idx="28">
                  <c:v>-1.1808795866946222</c:v>
                </c:pt>
                <c:pt idx="29">
                  <c:v>-1.207683913821906</c:v>
                </c:pt>
                <c:pt idx="30">
                  <c:v>-1.2350963412925271</c:v>
                </c:pt>
                <c:pt idx="31">
                  <c:v>-1.2631306425334021</c:v>
                </c:pt>
                <c:pt idx="32">
                  <c:v>-1.2918009013831453</c:v>
                </c:pt>
                <c:pt idx="33">
                  <c:v>-1.3211215189795718</c:v>
                </c:pt>
                <c:pt idx="34">
                  <c:v>-1.3511072207922077</c:v>
                </c:pt>
                <c:pt idx="35">
                  <c:v>-1.3817730638026666</c:v>
                </c:pt>
                <c:pt idx="36">
                  <c:v>-1.4131344438351954</c:v>
                </c:pt>
                <c:pt idx="37">
                  <c:v>-1.4452071030401841</c:v>
                </c:pt>
                <c:pt idx="38">
                  <c:v>-1.4780071375329611</c:v>
                </c:pt>
                <c:pt idx="39">
                  <c:v>-1.5115510051903835</c:v>
                </c:pt>
                <c:pt idx="40">
                  <c:v>-1.5458555336078292</c:v>
                </c:pt>
                <c:pt idx="41">
                  <c:v>-1.5809379282191129</c:v>
                </c:pt>
                <c:pt idx="42">
                  <c:v>-1.6168157805816286</c:v>
                </c:pt>
                <c:pt idx="43">
                  <c:v>-1.6535070768292115</c:v>
                </c:pt>
                <c:pt idx="44">
                  <c:v>-1.6910302062953613</c:v>
                </c:pt>
                <c:pt idx="45">
                  <c:v>-1.7294039703087232</c:v>
                </c:pt>
                <c:pt idx="46">
                  <c:v>-1.768647591163504</c:v>
                </c:pt>
                <c:pt idx="47">
                  <c:v>-1.8087807212670519</c:v>
                </c:pt>
                <c:pt idx="48">
                  <c:v>-1.8498234524664994</c:v>
                </c:pt>
                <c:pt idx="49">
                  <c:v>-1.891796325556915</c:v>
                </c:pt>
                <c:pt idx="50">
                  <c:v>-1.9347203399727968</c:v>
                </c:pt>
                <c:pt idx="51">
                  <c:v>-1.9786169636648219</c:v>
                </c:pt>
                <c:pt idx="52">
                  <c:v>-2.0235081431637951</c:v>
                </c:pt>
                <c:pt idx="53">
                  <c:v>-2.0694163138333801</c:v>
                </c:pt>
                <c:pt idx="54">
                  <c:v>-2.1163644103130665</c:v>
                </c:pt>
                <c:pt idx="55">
                  <c:v>-2.1643758771531743</c:v>
                </c:pt>
                <c:pt idx="56">
                  <c:v>-2.2134746796425042</c:v>
                </c:pt>
                <c:pt idx="57">
                  <c:v>-2.2636853148303362</c:v>
                </c:pt>
                <c:pt idx="58">
                  <c:v>-2.3150328227431656</c:v>
                </c:pt>
                <c:pt idx="59">
                  <c:v>-2.3675427977969425</c:v>
                </c:pt>
                <c:pt idx="60">
                  <c:v>-2.4212414004052438</c:v>
                </c:pt>
                <c:pt idx="61">
                  <c:v>-2.4761553687835427</c:v>
                </c:pt>
                <c:pt idx="62">
                  <c:v>-2.5323120309490728</c:v>
                </c:pt>
                <c:pt idx="63">
                  <c:v>-2.5897393169162335</c:v>
                </c:pt>
                <c:pt idx="64">
                  <c:v>-2.6484657710864488</c:v>
                </c:pt>
                <c:pt idx="65">
                  <c:v>-2.7085205648311392</c:v>
                </c:pt>
                <c:pt idx="66">
                  <c:v>-2.7699335092664739</c:v>
                </c:pt>
                <c:pt idx="67">
                  <c:v>-2.8327350682177284</c:v>
                </c:pt>
                <c:pt idx="68">
                  <c:v>-2.8969563713706168</c:v>
                </c:pt>
                <c:pt idx="69">
                  <c:v>-2.9626292276064565</c:v>
                </c:pt>
                <c:pt idx="70">
                  <c:v>-3.0297861385179035</c:v>
                </c:pt>
                <c:pt idx="71">
                  <c:v>-3.0984603121007916</c:v>
                </c:pt>
                <c:pt idx="72">
                  <c:v>-3.1686856766168963</c:v>
                </c:pt>
                <c:pt idx="73">
                  <c:v>-3.2404968946228427</c:v>
                </c:pt>
                <c:pt idx="74">
                  <c:v>-3.313929377157744</c:v>
                </c:pt>
                <c:pt idx="75">
                  <c:v>-3.3890192980838583</c:v>
                </c:pt>
                <c:pt idx="76">
                  <c:v>-3.4658036085704538</c:v>
                </c:pt>
                <c:pt idx="77">
                  <c:v>-3.5443200517134925</c:v>
                </c:pt>
                <c:pt idx="78">
                  <c:v>-3.6246071772805322</c:v>
                </c:pt>
                <c:pt idx="79">
                  <c:v>-3.7067043565693876</c:v>
                </c:pt>
                <c:pt idx="80">
                  <c:v>-3.7906517973691112</c:v>
                </c:pt>
                <c:pt idx="81">
                  <c:v>-3.8764905590095582</c:v>
                </c:pt>
                <c:pt idx="82">
                  <c:v>-3.9642625674843592</c:v>
                </c:pt>
                <c:pt idx="83">
                  <c:v>-4.0540106306316313</c:v>
                </c:pt>
                <c:pt idx="84">
                  <c:v>-4.1457784533545228</c:v>
                </c:pt>
                <c:pt idx="85">
                  <c:v>-4.2396106528621145</c:v>
                </c:pt>
                <c:pt idx="86">
                  <c:v>-4.3355527739096305</c:v>
                </c:pt>
                <c:pt idx="87">
                  <c:v>-4.4336513040152559</c:v>
                </c:pt>
                <c:pt idx="88">
                  <c:v>-4.5339536886283351</c:v>
                </c:pt>
                <c:pt idx="89">
                  <c:v>-4.6365083462218983</c:v>
                </c:pt>
                <c:pt idx="90">
                  <c:v>-4.7413646832808176</c:v>
                </c:pt>
                <c:pt idx="91">
                  <c:v>-4.8485731091529889</c:v>
                </c:pt>
                <c:pt idx="92">
                  <c:v>-4.9581850507301448</c:v>
                </c:pt>
                <c:pt idx="93">
                  <c:v>-5.0702529669213074</c:v>
                </c:pt>
                <c:pt idx="94">
                  <c:v>-5.1848303628786345</c:v>
                </c:pt>
                <c:pt idx="95">
                  <c:v>-5.3019718039331964</c:v>
                </c:pt>
                <c:pt idx="96">
                  <c:v>-5.421732929194822</c:v>
                </c:pt>
                <c:pt idx="97">
                  <c:v>-5.5441704647663892</c:v>
                </c:pt>
                <c:pt idx="98">
                  <c:v>-5.6693422365190491</c:v>
                </c:pt>
                <c:pt idx="99">
                  <c:v>-5.7973071823725562</c:v>
                </c:pt>
                <c:pt idx="100">
                  <c:v>-5.9281253640189435</c:v>
                </c:pt>
                <c:pt idx="101">
                  <c:v>-6.0618579780239346</c:v>
                </c:pt>
                <c:pt idx="102">
                  <c:v>-6.1985673662384766</c:v>
                </c:pt>
                <c:pt idx="103">
                  <c:v>-6.3383170254425885</c:v>
                </c:pt>
                <c:pt idx="104">
                  <c:v>-6.4811716161457138</c:v>
                </c:pt>
                <c:pt idx="105">
                  <c:v>-6.6271969704555467</c:v>
                </c:pt>
                <c:pt idx="106">
                  <c:v>-6.7764600989283155</c:v>
                </c:pt>
                <c:pt idx="107">
                  <c:v>-6.9290291963013857</c:v>
                </c:pt>
                <c:pt idx="108">
                  <c:v>-7.0849736460088231</c:v>
                </c:pt>
                <c:pt idx="109">
                  <c:v>-7.244364023369501</c:v>
                </c:pt>
                <c:pt idx="110">
                  <c:v>-7.4072720973343218</c:v>
                </c:pt>
                <c:pt idx="111">
                  <c:v>-7.5737708306691962</c:v>
                </c:pt>
                <c:pt idx="112">
                  <c:v>-7.7439343784463022</c:v>
                </c:pt>
                <c:pt idx="113">
                  <c:v>-7.9178380847051235</c:v>
                </c:pt>
                <c:pt idx="114">
                  <c:v>-8.0955584771413545</c:v>
                </c:pt>
                <c:pt idx="115">
                  <c:v>-8.2771732596691212</c:v>
                </c:pt>
                <c:pt idx="116">
                  <c:v>-8.4627613026978263</c:v>
                </c:pt>
                <c:pt idx="117">
                  <c:v>-8.6524026309532438</c:v>
                </c:pt>
                <c:pt idx="118">
                  <c:v>-8.8461784086665105</c:v>
                </c:pt>
                <c:pt idx="119">
                  <c:v>-9.0441709219432482</c:v>
                </c:pt>
                <c:pt idx="120">
                  <c:v>-9.2464635581181085</c:v>
                </c:pt>
                <c:pt idx="121">
                  <c:v>-9.4531407818885924</c:v>
                </c:pt>
                <c:pt idx="122">
                  <c:v>-9.6642881080162137</c:v>
                </c:pt>
                <c:pt idx="123">
                  <c:v>-9.8799920703684254</c:v>
                </c:pt>
                <c:pt idx="124">
                  <c:v>-10.100340187071573</c:v>
                </c:pt>
                <c:pt idx="125">
                  <c:v>-10.325420921529489</c:v>
                </c:pt>
                <c:pt idx="126">
                  <c:v>-10.555323639059306</c:v>
                </c:pt>
                <c:pt idx="127">
                  <c:v>-10.790138558882083</c:v>
                </c:pt>
                <c:pt idx="128">
                  <c:v>-11.029956701200591</c:v>
                </c:pt>
                <c:pt idx="129">
                  <c:v>-11.274869829084835</c:v>
                </c:pt>
                <c:pt idx="130">
                  <c:v>-11.524970384883266</c:v>
                </c:pt>
                <c:pt idx="131">
                  <c:v>-11.780351420865257</c:v>
                </c:pt>
                <c:pt idx="132">
                  <c:v>-12.041106523796808</c:v>
                </c:pt>
                <c:pt idx="133">
                  <c:v>-12.307329733146435</c:v>
                </c:pt>
                <c:pt idx="134">
                  <c:v>-12.579115452610973</c:v>
                </c:pt>
                <c:pt idx="135">
                  <c:v>-12.856558354653531</c:v>
                </c:pt>
                <c:pt idx="136">
                  <c:v>-13.139753277735378</c:v>
                </c:pt>
                <c:pt idx="137">
                  <c:v>-13.428795115934657</c:v>
                </c:pt>
                <c:pt idx="138">
                  <c:v>-13.723778700637519</c:v>
                </c:pt>
                <c:pt idx="139">
                  <c:v>-14.024798673995228</c:v>
                </c:pt>
                <c:pt idx="140">
                  <c:v>-14.331949353850005</c:v>
                </c:pt>
                <c:pt idx="141">
                  <c:v>-14.645324589835266</c:v>
                </c:pt>
                <c:pt idx="142">
                  <c:v>-14.96501761037567</c:v>
                </c:pt>
                <c:pt idx="143">
                  <c:v>-15.291120860321232</c:v>
                </c:pt>
                <c:pt idx="144">
                  <c:v>-15.623725828973361</c:v>
                </c:pt>
                <c:pt idx="145">
                  <c:v>-15.962922868284853</c:v>
                </c:pt>
                <c:pt idx="146">
                  <c:v>-16.308801001036048</c:v>
                </c:pt>
                <c:pt idx="147">
                  <c:v>-16.661447718833209</c:v>
                </c:pt>
                <c:pt idx="148">
                  <c:v>-17.020948769799752</c:v>
                </c:pt>
                <c:pt idx="149">
                  <c:v>-17.387387935884217</c:v>
                </c:pt>
                <c:pt idx="150">
                  <c:v>-17.760846799748276</c:v>
                </c:pt>
                <c:pt idx="151">
                  <c:v>-18.141404501258663</c:v>
                </c:pt>
                <c:pt idx="152">
                  <c:v>-18.529137483663163</c:v>
                </c:pt>
                <c:pt idx="153">
                  <c:v>-18.924119229597959</c:v>
                </c:pt>
                <c:pt idx="154">
                  <c:v>-19.326419987146814</c:v>
                </c:pt>
                <c:pt idx="155">
                  <c:v>-19.736106486256297</c:v>
                </c:pt>
                <c:pt idx="156">
                  <c:v>-20.15324164589056</c:v>
                </c:pt>
                <c:pt idx="157">
                  <c:v>-20.577884272408841</c:v>
                </c:pt>
                <c:pt idx="158">
                  <c:v>-21.010088749749269</c:v>
                </c:pt>
                <c:pt idx="159">
                  <c:v>-21.449904722105661</c:v>
                </c:pt>
                <c:pt idx="160">
                  <c:v>-21.897376769900724</c:v>
                </c:pt>
                <c:pt idx="161">
                  <c:v>-22.35254407997791</c:v>
                </c:pt>
                <c:pt idx="162">
                  <c:v>-22.815440111058447</c:v>
                </c:pt>
                <c:pt idx="163">
                  <c:v>-23.286092255636191</c:v>
                </c:pt>
                <c:pt idx="164">
                  <c:v>-23.764521499624877</c:v>
                </c:pt>
                <c:pt idx="165">
                  <c:v>-24.250742081195369</c:v>
                </c:pt>
                <c:pt idx="166">
                  <c:v>-24.744761150390314</c:v>
                </c:pt>
                <c:pt idx="167">
                  <c:v>-25.246578431228524</c:v>
                </c:pt>
                <c:pt idx="168">
                  <c:v>-25.756185888161163</c:v>
                </c:pt>
                <c:pt idx="169">
                  <c:v>-26.273567398857391</c:v>
                </c:pt>
                <c:pt idx="170">
                  <c:v>-26.798698435441583</c:v>
                </c:pt>
                <c:pt idx="171">
                  <c:v>-27.331545756409014</c:v>
                </c:pt>
                <c:pt idx="172">
                  <c:v>-27.872067111565105</c:v>
                </c:pt>
                <c:pt idx="173">
                  <c:v>-28.420210962434208</c:v>
                </c:pt>
                <c:pt idx="174">
                  <c:v>-28.975916220650834</c:v>
                </c:pt>
                <c:pt idx="175">
                  <c:v>-29.539112006935817</c:v>
                </c:pt>
                <c:pt idx="176">
                  <c:v>-30.109717433286193</c:v>
                </c:pt>
                <c:pt idx="177">
                  <c:v>-30.687641411043625</c:v>
                </c:pt>
                <c:pt idx="178">
                  <c:v>-31.27278248749867</c:v>
                </c:pt>
                <c:pt idx="179">
                  <c:v>-31.865028713661243</c:v>
                </c:pt>
                <c:pt idx="180">
                  <c:v>-32.464257545780683</c:v>
                </c:pt>
                <c:pt idx="181">
                  <c:v>-33.070335783086485</c:v>
                </c:pt>
                <c:pt idx="182">
                  <c:v>-33.683119544132843</c:v>
                </c:pt>
                <c:pt idx="183">
                  <c:v>-34.302454283939198</c:v>
                </c:pt>
                <c:pt idx="184">
                  <c:v>-34.928174853966112</c:v>
                </c:pt>
                <c:pt idx="185">
                  <c:v>-35.560105606704596</c:v>
                </c:pt>
                <c:pt idx="186">
                  <c:v>-36.198060546434348</c:v>
                </c:pt>
                <c:pt idx="187">
                  <c:v>-36.841843527389848</c:v>
                </c:pt>
                <c:pt idx="188">
                  <c:v>-37.491248500261101</c:v>
                </c:pt>
                <c:pt idx="189">
                  <c:v>-38.146059807606342</c:v>
                </c:pt>
                <c:pt idx="190">
                  <c:v>-38.806052528371517</c:v>
                </c:pt>
                <c:pt idx="191">
                  <c:v>-39.47099287132054</c:v>
                </c:pt>
                <c:pt idx="192">
                  <c:v>-40.140638616753236</c:v>
                </c:pt>
                <c:pt idx="193">
                  <c:v>-40.814739605475147</c:v>
                </c:pt>
                <c:pt idx="194">
                  <c:v>-41.493038273527411</c:v>
                </c:pt>
                <c:pt idx="195">
                  <c:v>-42.175270230776135</c:v>
                </c:pt>
                <c:pt idx="196">
                  <c:v>-42.861164881004079</c:v>
                </c:pt>
                <c:pt idx="197">
                  <c:v>-43.550446080743889</c:v>
                </c:pt>
                <c:pt idx="198">
                  <c:v>-44.242832833691494</c:v>
                </c:pt>
                <c:pt idx="199">
                  <c:v>-44.93804001715926</c:v>
                </c:pt>
                <c:pt idx="200">
                  <c:v>-45.635779136688043</c:v>
                </c:pt>
                <c:pt idx="201">
                  <c:v>-46.335759104627584</c:v>
                </c:pt>
                <c:pt idx="202">
                  <c:v>-47.037687038236129</c:v>
                </c:pt>
                <c:pt idx="203">
                  <c:v>-47.74126907262707</c:v>
                </c:pt>
                <c:pt idx="204">
                  <c:v>-48.446211183727748</c:v>
                </c:pt>
                <c:pt idx="205">
                  <c:v>-49.152220016303609</c:v>
                </c:pt>
                <c:pt idx="206">
                  <c:v>-49.859003712043119</c:v>
                </c:pt>
                <c:pt idx="207">
                  <c:v>-50.566272732697435</c:v>
                </c:pt>
                <c:pt idx="208">
                  <c:v>-51.273740673330892</c:v>
                </c:pt>
                <c:pt idx="209">
                  <c:v>-51.981125060850346</c:v>
                </c:pt>
                <c:pt idx="210">
                  <c:v>-52.688148133144033</c:v>
                </c:pt>
                <c:pt idx="211">
                  <c:v>-53.394537594386684</c:v>
                </c:pt>
                <c:pt idx="212">
                  <c:v>-54.100027342318384</c:v>
                </c:pt>
                <c:pt idx="213">
                  <c:v>-54.804358163635861</c:v>
                </c:pt>
                <c:pt idx="214">
                  <c:v>-55.507278393943913</c:v>
                </c:pt>
                <c:pt idx="215">
                  <c:v>-56.208544539126777</c:v>
                </c:pt>
                <c:pt idx="216">
                  <c:v>-56.907921855364386</c:v>
                </c:pt>
                <c:pt idx="217">
                  <c:v>-57.605184885461711</c:v>
                </c:pt>
                <c:pt idx="218">
                  <c:v>-58.300117949572197</c:v>
                </c:pt>
                <c:pt idx="219">
                  <c:v>-58.992515588839893</c:v>
                </c:pt>
                <c:pt idx="220">
                  <c:v>-59.682182960910559</c:v>
                </c:pt>
                <c:pt idx="221">
                  <c:v>-60.368936186694761</c:v>
                </c:pt>
                <c:pt idx="222">
                  <c:v>-61.05260264817467</c:v>
                </c:pt>
                <c:pt idx="223">
                  <c:v>-61.733021237445328</c:v>
                </c:pt>
                <c:pt idx="224">
                  <c:v>-62.41004255754639</c:v>
                </c:pt>
                <c:pt idx="225">
                  <c:v>-63.083529076006698</c:v>
                </c:pt>
                <c:pt idx="226">
                  <c:v>-63.75335523231648</c:v>
                </c:pt>
                <c:pt idx="227">
                  <c:v>-64.419407500852685</c:v>
                </c:pt>
                <c:pt idx="228">
                  <c:v>-65.081584411024082</c:v>
                </c:pt>
                <c:pt idx="229">
                  <c:v>-65.739796526623437</c:v>
                </c:pt>
                <c:pt idx="230">
                  <c:v>-66.393966386566305</c:v>
                </c:pt>
                <c:pt idx="231">
                  <c:v>-67.044028409334146</c:v>
                </c:pt>
                <c:pt idx="232">
                  <c:v>-67.689928763570592</c:v>
                </c:pt>
                <c:pt idx="233">
                  <c:v>-68.331625207347329</c:v>
                </c:pt>
                <c:pt idx="234">
                  <c:v>-68.969086898682704</c:v>
                </c:pt>
                <c:pt idx="235">
                  <c:v>-69.602294179911425</c:v>
                </c:pt>
                <c:pt idx="236">
                  <c:v>-70.231238338495331</c:v>
                </c:pt>
                <c:pt idx="237">
                  <c:v>-70.855921346849513</c:v>
                </c:pt>
                <c:pt idx="238">
                  <c:v>-71.476355583691657</c:v>
                </c:pt>
                <c:pt idx="239">
                  <c:v>-72.092563539358281</c:v>
                </c:pt>
                <c:pt idx="240">
                  <c:v>-72.704577507445251</c:v>
                </c:pt>
                <c:pt idx="241">
                  <c:v>-73.312439265014817</c:v>
                </c:pt>
                <c:pt idx="242">
                  <c:v>-73.916199743511356</c:v>
                </c:pt>
                <c:pt idx="243">
                  <c:v>-74.515918692387075</c:v>
                </c:pt>
                <c:pt idx="244">
                  <c:v>-75.111664337316128</c:v>
                </c:pt>
                <c:pt idx="245">
                  <c:v>-75.70351303472998</c:v>
                </c:pt>
                <c:pt idx="246">
                  <c:v>-76.291548924271822</c:v>
                </c:pt>
                <c:pt idx="247">
                  <c:v>-76.875863580612233</c:v>
                </c:pt>
                <c:pt idx="248">
                  <c:v>-77.456555665936236</c:v>
                </c:pt>
                <c:pt idx="249">
                  <c:v>-78.033730584262656</c:v>
                </c:pt>
                <c:pt idx="250">
                  <c:v>-78.607500138611883</c:v>
                </c:pt>
                <c:pt idx="251">
                  <c:v>-79.177982191913941</c:v>
                </c:pt>
                <c:pt idx="252">
                  <c:v>-79.745300332400475</c:v>
                </c:pt>
                <c:pt idx="253">
                  <c:v>-80.309583544107738</c:v>
                </c:pt>
                <c:pt idx="254">
                  <c:v>-80.870965882993531</c:v>
                </c:pt>
                <c:pt idx="255">
                  <c:v>-81.429586159049492</c:v>
                </c:pt>
                <c:pt idx="256">
                  <c:v>-81.985587624689742</c:v>
                </c:pt>
                <c:pt idx="257">
                  <c:v>-82.539117669587057</c:v>
                </c:pt>
                <c:pt idx="258">
                  <c:v>-83.090327522036674</c:v>
                </c:pt>
                <c:pt idx="259">
                  <c:v>-83.6393719568336</c:v>
                </c:pt>
                <c:pt idx="260">
                  <c:v>-84.186409009573424</c:v>
                </c:pt>
                <c:pt idx="261">
                  <c:v>-84.731599697206235</c:v>
                </c:pt>
                <c:pt idx="262">
                  <c:v>-85.275107744605265</c:v>
                </c:pt>
                <c:pt idx="263">
                  <c:v>-85.817099316851767</c:v>
                </c:pt>
                <c:pt idx="264">
                  <c:v>-86.357742756876405</c:v>
                </c:pt>
                <c:pt idx="265">
                  <c:v>-86.89720832805321</c:v>
                </c:pt>
                <c:pt idx="266">
                  <c:v>-87.435667961292282</c:v>
                </c:pt>
                <c:pt idx="267">
                  <c:v>-87.973295006141967</c:v>
                </c:pt>
                <c:pt idx="268">
                  <c:v>-88.510263985376199</c:v>
                </c:pt>
                <c:pt idx="269">
                  <c:v>-89.046750352513584</c:v>
                </c:pt>
                <c:pt idx="270">
                  <c:v>-89.582930251695757</c:v>
                </c:pt>
                <c:pt idx="271">
                  <c:v>-90.118980279329548</c:v>
                </c:pt>
                <c:pt idx="272">
                  <c:v>-90.655077246886037</c:v>
                </c:pt>
                <c:pt idx="273">
                  <c:v>-91.191397944241729</c:v>
                </c:pt>
                <c:pt idx="274">
                  <c:v>-91.728118902941162</c:v>
                </c:pt>
                <c:pt idx="275">
                  <c:v>-92.265416158765007</c:v>
                </c:pt>
                <c:pt idx="276">
                  <c:v>-92.803465012987175</c:v>
                </c:pt>
                <c:pt idx="277">
                  <c:v>-93.342439791718647</c:v>
                </c:pt>
                <c:pt idx="278">
                  <c:v>-93.882513602749938</c:v>
                </c:pt>
                <c:pt idx="279">
                  <c:v>-94.423858089319822</c:v>
                </c:pt>
                <c:pt idx="280">
                  <c:v>-94.966643180275824</c:v>
                </c:pt>
                <c:pt idx="281">
                  <c:v>-95.511036836095812</c:v>
                </c:pt>
                <c:pt idx="282">
                  <c:v>-96.057204790306955</c:v>
                </c:pt>
                <c:pt idx="283">
                  <c:v>-96.605310285853008</c:v>
                </c:pt>
                <c:pt idx="284">
                  <c:v>-97.155513806019343</c:v>
                </c:pt>
                <c:pt idx="285">
                  <c:v>-97.707972799578826</c:v>
                </c:pt>
                <c:pt idx="286">
                  <c:v>-98.262841399869245</c:v>
                </c:pt>
                <c:pt idx="287">
                  <c:v>-98.820270137587741</c:v>
                </c:pt>
                <c:pt idx="288">
                  <c:v>-99.380405647157687</c:v>
                </c:pt>
                <c:pt idx="289">
                  <c:v>-99.943390366592595</c:v>
                </c:pt>
                <c:pt idx="290">
                  <c:v>-100.5093622308721</c:v>
                </c:pt>
                <c:pt idx="291">
                  <c:v>-101.07845435894137</c:v>
                </c:pt>
                <c:pt idx="292">
                  <c:v>-101.6507947345316</c:v>
                </c:pt>
                <c:pt idx="293">
                  <c:v>-102.22650588111111</c:v>
                </c:pt>
                <c:pt idx="294">
                  <c:v>-102.80570453138634</c:v>
                </c:pt>
                <c:pt idx="295">
                  <c:v>-103.38850129189092</c:v>
                </c:pt>
                <c:pt idx="296">
                  <c:v>-103.97500030332175</c:v>
                </c:pt>
                <c:pt idx="297">
                  <c:v>-104.56529889741283</c:v>
                </c:pt>
                <c:pt idx="298">
                  <c:v>-105.15948725127095</c:v>
                </c:pt>
                <c:pt idx="299">
                  <c:v>-105.75764804023454</c:v>
                </c:pt>
                <c:pt idx="300">
                  <c:v>-106.35985609045994</c:v>
                </c:pt>
                <c:pt idx="301">
                  <c:v>-106.96617803258374</c:v>
                </c:pt>
                <c:pt idx="302">
                  <c:v>-107.5766719579524</c:v>
                </c:pt>
                <c:pt idx="303">
                  <c:v>-108.19138707905495</c:v>
                </c:pt>
                <c:pt idx="304">
                  <c:v>-108.8103633959376</c:v>
                </c:pt>
                <c:pt idx="305">
                  <c:v>-109.4336313705162</c:v>
                </c:pt>
                <c:pt idx="306">
                  <c:v>-110.06121161083252</c:v>
                </c:pt>
                <c:pt idx="307">
                  <c:v>-110.69311456742625</c:v>
                </c:pt>
                <c:pt idx="308">
                  <c:v>-111.32934024410879</c:v>
                </c:pt>
                <c:pt idx="309">
                  <c:v>-111.96987792551533</c:v>
                </c:pt>
                <c:pt idx="310">
                  <c:v>-112.61470592391525</c:v>
                </c:pt>
                <c:pt idx="311">
                  <c:v>-113.26379134780346</c:v>
                </c:pt>
                <c:pt idx="312">
                  <c:v>-113.91708989486314</c:v>
                </c:pt>
                <c:pt idx="313">
                  <c:v>-114.57454567189907</c:v>
                </c:pt>
                <c:pt idx="314">
                  <c:v>-115.23609104434327</c:v>
                </c:pt>
                <c:pt idx="315">
                  <c:v>-115.90164651790347</c:v>
                </c:pt>
                <c:pt idx="316">
                  <c:v>-116.57112065486353</c:v>
                </c:pt>
                <c:pt idx="317">
                  <c:v>-117.2444100274566</c:v>
                </c:pt>
                <c:pt idx="318">
                  <c:v>-117.9213992105972</c:v>
                </c:pt>
                <c:pt idx="319">
                  <c:v>-118.60196081610938</c:v>
                </c:pt>
                <c:pt idx="320">
                  <c:v>-119.28595557038783</c:v>
                </c:pt>
                <c:pt idx="321">
                  <c:v>-119.97323243719924</c:v>
                </c:pt>
                <c:pt idx="322">
                  <c:v>-120.66362878707307</c:v>
                </c:pt>
                <c:pt idx="323">
                  <c:v>-121.35697061442933</c:v>
                </c:pt>
                <c:pt idx="324">
                  <c:v>-122.05307280327054</c:v>
                </c:pt>
                <c:pt idx="325">
                  <c:v>-122.75173944190426</c:v>
                </c:pt>
                <c:pt idx="326">
                  <c:v>-123.45276418678685</c:v>
                </c:pt>
                <c:pt idx="327">
                  <c:v>-124.15593067518046</c:v>
                </c:pt>
                <c:pt idx="328">
                  <c:v>-124.86101298589313</c:v>
                </c:pt>
                <c:pt idx="329">
                  <c:v>-125.56777614694731</c:v>
                </c:pt>
                <c:pt idx="330">
                  <c:v>-126.27597668859248</c:v>
                </c:pt>
                <c:pt idx="331">
                  <c:v>-126.98536323963759</c:v>
                </c:pt>
                <c:pt idx="332">
                  <c:v>-127.69567716465937</c:v>
                </c:pt>
                <c:pt idx="333">
                  <c:v>-128.40665323923204</c:v>
                </c:pt>
                <c:pt idx="334">
                  <c:v>-129.11802035992704</c:v>
                </c:pt>
                <c:pt idx="335">
                  <c:v>-129.82950228546824</c:v>
                </c:pt>
                <c:pt idx="336">
                  <c:v>-130.54081840509937</c:v>
                </c:pt>
                <c:pt idx="337">
                  <c:v>-131.25168452992696</c:v>
                </c:pt>
                <c:pt idx="338">
                  <c:v>-131.96181370274152</c:v>
                </c:pt>
                <c:pt idx="339">
                  <c:v>-132.67091702163168</c:v>
                </c:pt>
                <c:pt idx="340">
                  <c:v>-133.3787044725496</c:v>
                </c:pt>
                <c:pt idx="341">
                  <c:v>-134.08488576588582</c:v>
                </c:pt>
                <c:pt idx="342">
                  <c:v>-134.78917117208394</c:v>
                </c:pt>
                <c:pt idx="343">
                  <c:v>-135.49127235133025</c:v>
                </c:pt>
                <c:pt idx="344">
                  <c:v>-136.19090317244087</c:v>
                </c:pt>
                <c:pt idx="345">
                  <c:v>-136.88778051618985</c:v>
                </c:pt>
                <c:pt idx="346">
                  <c:v>-137.58162505850854</c:v>
                </c:pt>
                <c:pt idx="347">
                  <c:v>-138.27216202922935</c:v>
                </c:pt>
                <c:pt idx="348">
                  <c:v>-138.95912194230834</c:v>
                </c:pt>
                <c:pt idx="349">
                  <c:v>-139.64224129380079</c:v>
                </c:pt>
                <c:pt idx="350">
                  <c:v>-140.3212632242126</c:v>
                </c:pt>
                <c:pt idx="351">
                  <c:v>-140.99593814223161</c:v>
                </c:pt>
                <c:pt idx="352">
                  <c:v>-141.66602430727201</c:v>
                </c:pt>
                <c:pt idx="353">
                  <c:v>-142.33128836866578</c:v>
                </c:pt>
                <c:pt idx="354">
                  <c:v>-142.99150585979845</c:v>
                </c:pt>
                <c:pt idx="355">
                  <c:v>-143.64646164590718</c:v>
                </c:pt>
                <c:pt idx="356">
                  <c:v>-144.29595032472179</c:v>
                </c:pt>
                <c:pt idx="357">
                  <c:v>-144.93977657953582</c:v>
                </c:pt>
                <c:pt idx="358">
                  <c:v>-145.57775548473293</c:v>
                </c:pt>
                <c:pt idx="359">
                  <c:v>-146.20971276418948</c:v>
                </c:pt>
                <c:pt idx="360">
                  <c:v>-146.83548500334805</c:v>
                </c:pt>
                <c:pt idx="361">
                  <c:v>-147.4549198161117</c:v>
                </c:pt>
                <c:pt idx="362">
                  <c:v>-148.06787596803477</c:v>
                </c:pt>
                <c:pt idx="363">
                  <c:v>-148.6742234575762</c:v>
                </c:pt>
                <c:pt idx="364">
                  <c:v>-149.27384355744283</c:v>
                </c:pt>
                <c:pt idx="365">
                  <c:v>-149.86662881827203</c:v>
                </c:pt>
                <c:pt idx="366">
                  <c:v>-150.45248303710389</c:v>
                </c:pt>
                <c:pt idx="367">
                  <c:v>-151.03132119325312</c:v>
                </c:pt>
                <c:pt idx="368">
                  <c:v>-151.60306935430239</c:v>
                </c:pt>
                <c:pt idx="369">
                  <c:v>-152.16766455506379</c:v>
                </c:pt>
                <c:pt idx="370">
                  <c:v>-152.72505465239706</c:v>
                </c:pt>
                <c:pt idx="371">
                  <c:v>-153.27519815882491</c:v>
                </c:pt>
                <c:pt idx="372">
                  <c:v>-153.81806405790724</c:v>
                </c:pt>
                <c:pt idx="373">
                  <c:v>-154.35363160431496</c:v>
                </c:pt>
                <c:pt idx="374">
                  <c:v>-154.88189011153221</c:v>
                </c:pt>
                <c:pt idx="375">
                  <c:v>-155.4028387300657</c:v>
                </c:pt>
                <c:pt idx="376">
                  <c:v>-155.91648621898537</c:v>
                </c:pt>
                <c:pt idx="377">
                  <c:v>-156.42285071355502</c:v>
                </c:pt>
                <c:pt idx="378">
                  <c:v>-156.92195949163354</c:v>
                </c:pt>
                <c:pt idx="379">
                  <c:v>-157.41384874144438</c:v>
                </c:pt>
                <c:pt idx="380">
                  <c:v>-157.89856333323445</c:v>
                </c:pt>
                <c:pt idx="381">
                  <c:v>-158.37615659724852</c:v>
                </c:pt>
                <c:pt idx="382">
                  <c:v>-158.84669011036777</c:v>
                </c:pt>
                <c:pt idx="383">
                  <c:v>-159.31023349368263</c:v>
                </c:pt>
                <c:pt idx="384">
                  <c:v>-159.76686422319392</c:v>
                </c:pt>
                <c:pt idx="385">
                  <c:v>-160.21666745577045</c:v>
                </c:pt>
                <c:pt idx="386">
                  <c:v>-160.65973587244196</c:v>
                </c:pt>
                <c:pt idx="387">
                  <c:v>-161.09616954105269</c:v>
                </c:pt>
                <c:pt idx="388">
                  <c:v>-161.52607580028049</c:v>
                </c:pt>
                <c:pt idx="389">
                  <c:v>-161.94956916700124</c:v>
                </c:pt>
                <c:pt idx="390">
                  <c:v>-162.36677126898633</c:v>
                </c:pt>
                <c:pt idx="391">
                  <c:v>-162.77781080493182</c:v>
                </c:pt>
                <c:pt idx="392">
                  <c:v>-163.18282353386527</c:v>
                </c:pt>
                <c:pt idx="393">
                  <c:v>-163.58195229602202</c:v>
                </c:pt>
                <c:pt idx="394">
                  <c:v>-163.97534706737892</c:v>
                </c:pt>
                <c:pt idx="395">
                  <c:v>-164.36316505012408</c:v>
                </c:pt>
                <c:pt idx="396">
                  <c:v>-164.74557080149</c:v>
                </c:pt>
                <c:pt idx="397">
                  <c:v>-165.12273640352217</c:v>
                </c:pt>
                <c:pt idx="398">
                  <c:v>-165.4948416765645</c:v>
                </c:pt>
                <c:pt idx="399">
                  <c:v>-165.86207443945381</c:v>
                </c:pt>
                <c:pt idx="400">
                  <c:v>-166.22463081969207</c:v>
                </c:pt>
                <c:pt idx="401">
                  <c:v>-166.58271561716168</c:v>
                </c:pt>
                <c:pt idx="402">
                  <c:v>-166.93654272530415</c:v>
                </c:pt>
                <c:pt idx="403">
                  <c:v>-167.28633561407406</c:v>
                </c:pt>
                <c:pt idx="404">
                  <c:v>-167.63232787944355</c:v>
                </c:pt>
                <c:pt idx="405">
                  <c:v>-167.97476386473974</c:v>
                </c:pt>
                <c:pt idx="406">
                  <c:v>-168.3138993596834</c:v>
                </c:pt>
                <c:pt idx="407">
                  <c:v>-168.65000238365741</c:v>
                </c:pt>
                <c:pt idx="408">
                  <c:v>-168.98335406047923</c:v>
                </c:pt>
                <c:pt idx="409">
                  <c:v>-169.31424959278607</c:v>
                </c:pt>
                <c:pt idx="410">
                  <c:v>-169.64299934510237</c:v>
                </c:pt>
                <c:pt idx="411">
                  <c:v>-169.96993004572101</c:v>
                </c:pt>
                <c:pt idx="412">
                  <c:v>-170.29538611874884</c:v>
                </c:pt>
                <c:pt idx="413">
                  <c:v>-170.61973115902853</c:v>
                </c:pt>
                <c:pt idx="414">
                  <c:v>-170.94334956420244</c:v>
                </c:pt>
                <c:pt idx="415">
                  <c:v>-171.26664833993107</c:v>
                </c:pt>
                <c:pt idx="416">
                  <c:v>-171.59005909625566</c:v>
                </c:pt>
                <c:pt idx="417">
                  <c:v>-171.91404025534521</c:v>
                </c:pt>
                <c:pt idx="418">
                  <c:v>-172.23907949340631</c:v>
                </c:pt>
                <c:pt idx="419">
                  <c:v>-172.56569644241208</c:v>
                </c:pt>
                <c:pt idx="420">
                  <c:v>-172.89444568058391</c:v>
                </c:pt>
                <c:pt idx="421">
                  <c:v>-173.22592004426696</c:v>
                </c:pt>
                <c:pt idx="422">
                  <c:v>-173.56075429804628</c:v>
                </c:pt>
                <c:pt idx="423">
                  <c:v>-173.89962920473855</c:v>
                </c:pt>
                <c:pt idx="424">
                  <c:v>-174.24327604230785</c:v>
                </c:pt>
                <c:pt idx="425">
                  <c:v>-174.59248162091359</c:v>
                </c:pt>
                <c:pt idx="426">
                  <c:v>-174.94809386025156</c:v>
                </c:pt>
                <c:pt idx="427">
                  <c:v>-175.31102799525004</c:v>
                </c:pt>
                <c:pt idx="428">
                  <c:v>-175.68227348705796</c:v>
                </c:pt>
                <c:pt idx="429">
                  <c:v>-176.06290172629735</c:v>
                </c:pt>
                <c:pt idx="430">
                  <c:v>-176.45407462678159</c:v>
                </c:pt>
                <c:pt idx="431">
                  <c:v>-176.85705422042196</c:v>
                </c:pt>
                <c:pt idx="432">
                  <c:v>-177.27321337795701</c:v>
                </c:pt>
                <c:pt idx="433">
                  <c:v>-177.70404779537094</c:v>
                </c:pt>
                <c:pt idx="434">
                  <c:v>-178.15118940240706</c:v>
                </c:pt>
                <c:pt idx="435">
                  <c:v>-178.61642136719973</c:v>
                </c:pt>
                <c:pt idx="436">
                  <c:v>-179.10169488934548</c:v>
                </c:pt>
                <c:pt idx="437">
                  <c:v>-179.60914799203505</c:v>
                </c:pt>
                <c:pt idx="438">
                  <c:v>-180.14112654104599</c:v>
                </c:pt>
                <c:pt idx="439">
                  <c:v>-180.70020773275695</c:v>
                </c:pt>
                <c:pt idx="440">
                  <c:v>-181.28922630220504</c:v>
                </c:pt>
                <c:pt idx="441">
                  <c:v>-181.91130370175316</c:v>
                </c:pt>
                <c:pt idx="442">
                  <c:v>-182.56988048541228</c:v>
                </c:pt>
                <c:pt idx="443">
                  <c:v>-183.26875209505624</c:v>
                </c:pt>
                <c:pt idx="444">
                  <c:v>-184.01210817096177</c:v>
                </c:pt>
                <c:pt idx="445">
                  <c:v>-184.80457538361381</c:v>
                </c:pt>
                <c:pt idx="446">
                  <c:v>-185.65126358337574</c:v>
                </c:pt>
                <c:pt idx="447">
                  <c:v>-186.55781475730032</c:v>
                </c:pt>
                <c:pt idx="448">
                  <c:v>-187.53045382438813</c:v>
                </c:pt>
                <c:pt idx="449">
                  <c:v>-188.57603963363516</c:v>
                </c:pt>
                <c:pt idx="450">
                  <c:v>-189.70211357714254</c:v>
                </c:pt>
                <c:pt idx="451">
                  <c:v>-190.91694189744237</c:v>
                </c:pt>
                <c:pt idx="452">
                  <c:v>-192.22954593922864</c:v>
                </c:pt>
                <c:pt idx="453">
                  <c:v>-193.64971214436022</c:v>
                </c:pt>
                <c:pt idx="454">
                  <c:v>-195.18797039727457</c:v>
                </c:pt>
                <c:pt idx="455">
                  <c:v>-196.85552532845981</c:v>
                </c:pt>
                <c:pt idx="456">
                  <c:v>-198.66412043838983</c:v>
                </c:pt>
                <c:pt idx="457">
                  <c:v>-200.62580973754169</c:v>
                </c:pt>
                <c:pt idx="458">
                  <c:v>-202.75260679764443</c:v>
                </c:pt>
                <c:pt idx="459">
                  <c:v>-205.05597819636466</c:v>
                </c:pt>
                <c:pt idx="460">
                  <c:v>-207.54614985351154</c:v>
                </c:pt>
                <c:pt idx="461">
                  <c:v>-210.23120442029483</c:v>
                </c:pt>
                <c:pt idx="462">
                  <c:v>-213.11597031133351</c:v>
                </c:pt>
                <c:pt idx="463">
                  <c:v>-216.20074248836124</c:v>
                </c:pt>
                <c:pt idx="464">
                  <c:v>-219.47993315776378</c:v>
                </c:pt>
                <c:pt idx="465">
                  <c:v>-222.94082166974098</c:v>
                </c:pt>
                <c:pt idx="466">
                  <c:v>-226.56264057295556</c:v>
                </c:pt>
                <c:pt idx="467">
                  <c:v>-230.31627037393949</c:v>
                </c:pt>
                <c:pt idx="468">
                  <c:v>-234.16478511296737</c:v>
                </c:pt>
                <c:pt idx="469">
                  <c:v>-238.06497181187041</c:v>
                </c:pt>
                <c:pt idx="470">
                  <c:v>-241.96974918017264</c:v>
                </c:pt>
                <c:pt idx="471">
                  <c:v>-245.83118806261334</c:v>
                </c:pt>
                <c:pt idx="472">
                  <c:v>-249.60366969595583</c:v>
                </c:pt>
                <c:pt idx="473">
                  <c:v>-253.2466779971582</c:v>
                </c:pt>
                <c:pt idx="474">
                  <c:v>-256.72682651170697</c:v>
                </c:pt>
                <c:pt idx="475">
                  <c:v>-260.0189236810773</c:v>
                </c:pt>
                <c:pt idx="476">
                  <c:v>-263.10610048420597</c:v>
                </c:pt>
                <c:pt idx="477">
                  <c:v>-265.97918986809498</c:v>
                </c:pt>
                <c:pt idx="478">
                  <c:v>-268.63562430847765</c:v>
                </c:pt>
                <c:pt idx="479">
                  <c:v>-271.0781137825233</c:v>
                </c:pt>
                <c:pt idx="480">
                  <c:v>-273.31331185051135</c:v>
                </c:pt>
                <c:pt idx="481">
                  <c:v>-275.35060540921245</c:v>
                </c:pt>
                <c:pt idx="482">
                  <c:v>-277.20109729016445</c:v>
                </c:pt>
                <c:pt idx="483">
                  <c:v>-278.87680123086193</c:v>
                </c:pt>
                <c:pt idx="484">
                  <c:v>-280.39003755667414</c:v>
                </c:pt>
                <c:pt idx="485">
                  <c:v>-281.75300197803182</c:v>
                </c:pt>
                <c:pt idx="486">
                  <c:v>-282.97747454213368</c:v>
                </c:pt>
                <c:pt idx="487">
                  <c:v>-284.07463669929484</c:v>
                </c:pt>
                <c:pt idx="488">
                  <c:v>-285.05496847709549</c:v>
                </c:pt>
                <c:pt idx="489">
                  <c:v>-285.92820286329078</c:v>
                </c:pt>
                <c:pt idx="490">
                  <c:v>-286.70331953499732</c:v>
                </c:pt>
                <c:pt idx="491">
                  <c:v>-287.38856449331314</c:v>
                </c:pt>
                <c:pt idx="492">
                  <c:v>-287.9914857866421</c:v>
                </c:pt>
                <c:pt idx="493">
                  <c:v>-288.51897834319124</c:v>
                </c:pt>
                <c:pt idx="494">
                  <c:v>-288.97733308135219</c:v>
                </c:pt>
                <c:pt idx="495">
                  <c:v>-289.3722870515241</c:v>
                </c:pt>
                <c:pt idx="496">
                  <c:v>-289.70907250707035</c:v>
                </c:pt>
                <c:pt idx="497">
                  <c:v>-289.99246361191894</c:v>
                </c:pt>
                <c:pt idx="498">
                  <c:v>-290.22682005460535</c:v>
                </c:pt>
                <c:pt idx="499">
                  <c:v>-290.41612722071909</c:v>
                </c:pt>
                <c:pt idx="500">
                  <c:v>-290.43687548546399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41-4D19-9DBC-690DDB1D00CA}"/>
            </c:ext>
          </c:extLst>
        </c:ser>
        <c:ser>
          <c:idx val="5"/>
          <c:order val="3"/>
          <c:tx>
            <c:strRef>
              <c:f>'Small Signal'!$AG$3</c:f>
              <c:strCache>
                <c:ptCount val="1"/>
                <c:pt idx="0">
                  <c:v>Total Phase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'Small Signal'!$Q$4:$Q$504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Signal'!$AG$4:$AG$504</c:f>
              <c:numCache>
                <c:formatCode>General</c:formatCode>
                <c:ptCount val="501"/>
                <c:pt idx="0">
                  <c:v>92.143784022081235</c:v>
                </c:pt>
                <c:pt idx="1">
                  <c:v>92.105396716524325</c:v>
                </c:pt>
                <c:pt idx="2">
                  <c:v>92.068067667231105</c:v>
                </c:pt>
                <c:pt idx="3">
                  <c:v>92.031778228506425</c:v>
                </c:pt>
                <c:pt idx="4">
                  <c:v>91.99651026604721</c:v>
                </c:pt>
                <c:pt idx="5">
                  <c:v>91.962246148511483</c:v>
                </c:pt>
                <c:pt idx="6">
                  <c:v>91.928968739286944</c:v>
                </c:pt>
                <c:pt idx="7">
                  <c:v>91.896661388458611</c:v>
                </c:pt>
                <c:pt idx="8">
                  <c:v>91.865307924973578</c:v>
                </c:pt>
                <c:pt idx="9">
                  <c:v>91.834892649001901</c:v>
                </c:pt>
                <c:pt idx="10">
                  <c:v>91.805400324491487</c:v>
                </c:pt>
                <c:pt idx="11">
                  <c:v>91.776816171916138</c:v>
                </c:pt>
                <c:pt idx="12">
                  <c:v>91.749125861214168</c:v>
                </c:pt>
                <c:pt idx="13">
                  <c:v>91.722315504916367</c:v>
                </c:pt>
                <c:pt idx="14">
                  <c:v>91.696371651461007</c:v>
                </c:pt>
                <c:pt idx="15">
                  <c:v>91.671281278694508</c:v>
                </c:pt>
                <c:pt idx="16">
                  <c:v>91.647031787554894</c:v>
                </c:pt>
                <c:pt idx="17">
                  <c:v>91.623610995936801</c:v>
                </c:pt>
                <c:pt idx="18">
                  <c:v>91.601007132735475</c:v>
                </c:pt>
                <c:pt idx="19">
                  <c:v>91.579208832067565</c:v>
                </c:pt>
                <c:pt idx="20">
                  <c:v>91.558205127666767</c:v>
                </c:pt>
                <c:pt idx="21">
                  <c:v>91.537985447451788</c:v>
                </c:pt>
                <c:pt idx="22">
                  <c:v>91.518539608264419</c:v>
                </c:pt>
                <c:pt idx="23">
                  <c:v>91.499857810775381</c:v>
                </c:pt>
                <c:pt idx="24">
                  <c:v>91.481930634555653</c:v>
                </c:pt>
                <c:pt idx="25">
                  <c:v>91.464749033310525</c:v>
                </c:pt>
                <c:pt idx="26">
                  <c:v>91.448304330274368</c:v>
                </c:pt>
                <c:pt idx="27">
                  <c:v>91.432588213763125</c:v>
                </c:pt>
                <c:pt idx="28">
                  <c:v>91.417592732882397</c:v>
                </c:pt>
                <c:pt idx="29">
                  <c:v>91.40331029338796</c:v>
                </c:pt>
                <c:pt idx="30">
                  <c:v>91.38973365369695</c:v>
                </c:pt>
                <c:pt idx="31">
                  <c:v>91.37685592104566</c:v>
                </c:pt>
                <c:pt idx="32">
                  <c:v>91.364670547792585</c:v>
                </c:pt>
                <c:pt idx="33">
                  <c:v>91.353171327862711</c:v>
                </c:pt>
                <c:pt idx="34">
                  <c:v>91.342352393330998</c:v>
                </c:pt>
                <c:pt idx="35">
                  <c:v>91.332208211141278</c:v>
                </c:pt>
                <c:pt idx="36">
                  <c:v>91.322733579958253</c:v>
                </c:pt>
                <c:pt idx="37">
                  <c:v>91.31392362714854</c:v>
                </c:pt>
                <c:pt idx="38">
                  <c:v>91.305773805888492</c:v>
                </c:pt>
                <c:pt idx="39">
                  <c:v>91.298279892394433</c:v>
                </c:pt>
                <c:pt idx="40">
                  <c:v>91.291437983272559</c:v>
                </c:pt>
                <c:pt idx="41">
                  <c:v>91.285244492984219</c:v>
                </c:pt>
                <c:pt idx="42">
                  <c:v>91.279696151423494</c:v>
                </c:pt>
                <c:pt idx="43">
                  <c:v>91.274790001602398</c:v>
                </c:pt>
                <c:pt idx="44">
                  <c:v>91.270523397440087</c:v>
                </c:pt>
                <c:pt idx="45">
                  <c:v>91.26689400165175</c:v>
                </c:pt>
                <c:pt idx="46">
                  <c:v>91.263899783732441</c:v>
                </c:pt>
                <c:pt idx="47">
                  <c:v>91.261539018031243</c:v>
                </c:pt>
                <c:pt idx="48">
                  <c:v>91.259810281911172</c:v>
                </c:pt>
                <c:pt idx="49">
                  <c:v>91.258712453989048</c:v>
                </c:pt>
                <c:pt idx="50">
                  <c:v>91.258244712450207</c:v>
                </c:pt>
                <c:pt idx="51">
                  <c:v>91.258406533432591</c:v>
                </c:pt>
                <c:pt idx="52">
                  <c:v>91.259197689473368</c:v>
                </c:pt>
                <c:pt idx="53">
                  <c:v>91.26061824801242</c:v>
                </c:pt>
                <c:pt idx="54">
                  <c:v>91.262668569945689</c:v>
                </c:pt>
                <c:pt idx="55">
                  <c:v>91.265349308221005</c:v>
                </c:pt>
                <c:pt idx="56">
                  <c:v>91.268661406469064</c:v>
                </c:pt>
                <c:pt idx="57">
                  <c:v>91.272606097661452</c:v>
                </c:pt>
                <c:pt idx="58">
                  <c:v>91.277184902787212</c:v>
                </c:pt>
                <c:pt idx="59">
                  <c:v>91.282399629538688</c:v>
                </c:pt>
                <c:pt idx="60">
                  <c:v>91.288252370997455</c:v>
                </c:pt>
                <c:pt idx="61">
                  <c:v>91.294745504309674</c:v>
                </c:pt>
                <c:pt idx="62">
                  <c:v>91.301881689340377</c:v>
                </c:pt>
                <c:pt idx="63">
                  <c:v>91.309663867295001</c:v>
                </c:pt>
                <c:pt idx="64">
                  <c:v>91.318095259295802</c:v>
                </c:pt>
                <c:pt idx="65">
                  <c:v>91.327179364900445</c:v>
                </c:pt>
                <c:pt idx="66">
                  <c:v>91.336919960548485</c:v>
                </c:pt>
                <c:pt idx="67">
                  <c:v>91.347321097921352</c:v>
                </c:pt>
                <c:pt idx="68">
                  <c:v>91.358387102199686</c:v>
                </c:pt>
                <c:pt idx="69">
                  <c:v>91.370122570201985</c:v>
                </c:pt>
                <c:pt idx="70">
                  <c:v>91.38253236838608</c:v>
                </c:pt>
                <c:pt idx="71">
                  <c:v>91.395621630694919</c:v>
                </c:pt>
                <c:pt idx="72">
                  <c:v>91.409395756226587</c:v>
                </c:pt>
                <c:pt idx="73">
                  <c:v>91.423860406706723</c:v>
                </c:pt>
                <c:pt idx="74">
                  <c:v>91.439021503741344</c:v>
                </c:pt>
                <c:pt idx="75">
                  <c:v>91.454885225824782</c:v>
                </c:pt>
                <c:pt idx="76">
                  <c:v>91.471458005078247</c:v>
                </c:pt>
                <c:pt idx="77">
                  <c:v>91.488746523690608</c:v>
                </c:pt>
                <c:pt idx="78">
                  <c:v>91.506757710033014</c:v>
                </c:pt>
                <c:pt idx="79">
                  <c:v>91.525498734416189</c:v>
                </c:pt>
                <c:pt idx="80">
                  <c:v>91.544977004457806</c:v>
                </c:pt>
                <c:pt idx="81">
                  <c:v>91.565200160025043</c:v>
                </c:pt>
                <c:pt idx="82">
                  <c:v>91.586176067715641</c:v>
                </c:pt>
                <c:pt idx="83">
                  <c:v>91.607912814838173</c:v>
                </c:pt>
                <c:pt idx="84">
                  <c:v>91.630418702850349</c:v>
                </c:pt>
                <c:pt idx="85">
                  <c:v>91.653702240211231</c:v>
                </c:pt>
                <c:pt idx="86">
                  <c:v>91.677772134601241</c:v>
                </c:pt>
                <c:pt idx="87">
                  <c:v>91.702637284460536</c:v>
                </c:pt>
                <c:pt idx="88">
                  <c:v>91.728306769794102</c:v>
                </c:pt>
                <c:pt idx="89">
                  <c:v>91.754789842188501</c:v>
                </c:pt>
                <c:pt idx="90">
                  <c:v>91.782095913983085</c:v>
                </c:pt>
                <c:pt idx="91">
                  <c:v>91.810234546532953</c:v>
                </c:pt>
                <c:pt idx="92">
                  <c:v>91.839215437501963</c:v>
                </c:pt>
                <c:pt idx="93">
                  <c:v>91.869048407114974</c:v>
                </c:pt>
                <c:pt idx="94">
                  <c:v>91.899743383301114</c:v>
                </c:pt>
                <c:pt idx="95">
                  <c:v>91.931310385650903</c:v>
                </c:pt>
                <c:pt idx="96">
                  <c:v>91.963759508109803</c:v>
                </c:pt>
                <c:pt idx="97">
                  <c:v>91.997100900325563</c:v>
                </c:pt>
                <c:pt idx="98">
                  <c:v>92.031344747563466</c:v>
                </c:pt>
                <c:pt idx="99">
                  <c:v>92.066501249098167</c:v>
                </c:pt>
                <c:pt idx="100">
                  <c:v>92.102580594989576</c:v>
                </c:pt>
                <c:pt idx="101">
                  <c:v>92.139592941143377</c:v>
                </c:pt>
                <c:pt idx="102">
                  <c:v>92.177548382553582</c:v>
                </c:pt>
                <c:pt idx="103">
                  <c:v>92.216456924623316</c:v>
                </c:pt>
                <c:pt idx="104">
                  <c:v>92.256328452450191</c:v>
                </c:pt>
                <c:pt idx="105">
                  <c:v>92.297172697965522</c:v>
                </c:pt>
                <c:pt idx="106">
                  <c:v>92.338999204806498</c:v>
                </c:pt>
                <c:pt idx="107">
                  <c:v>92.381817290803525</c:v>
                </c:pt>
                <c:pt idx="108">
                  <c:v>92.425636007954708</c:v>
                </c:pt>
                <c:pt idx="109">
                  <c:v>92.470464099761884</c:v>
                </c:pt>
                <c:pt idx="110">
                  <c:v>92.516309955797453</c:v>
                </c:pt>
                <c:pt idx="111">
                  <c:v>92.563181563369028</c:v>
                </c:pt>
                <c:pt idx="112">
                  <c:v>92.61108645614668</c:v>
                </c:pt>
                <c:pt idx="113">
                  <c:v>92.66003165961979</c:v>
                </c:pt>
                <c:pt idx="114">
                  <c:v>92.710023633243651</c:v>
                </c:pt>
                <c:pt idx="115">
                  <c:v>92.761068209144184</c:v>
                </c:pt>
                <c:pt idx="116">
                  <c:v>92.813170527240914</c:v>
                </c:pt>
                <c:pt idx="117">
                  <c:v>92.866334966661825</c:v>
                </c:pt>
                <c:pt idx="118">
                  <c:v>92.920565073315373</c:v>
                </c:pt>
                <c:pt idx="119">
                  <c:v>92.975863483499026</c:v>
                </c:pt>
                <c:pt idx="120">
                  <c:v>93.032231843424427</c:v>
                </c:pt>
                <c:pt idx="121">
                  <c:v>93.089670724549279</c:v>
                </c:pt>
                <c:pt idx="122">
                  <c:v>93.148179534614783</c:v>
                </c:pt>
                <c:pt idx="123">
                  <c:v>93.20775642430047</c:v>
                </c:pt>
                <c:pt idx="124">
                  <c:v>93.268398189418747</c:v>
                </c:pt>
                <c:pt idx="125">
                  <c:v>93.330100168593177</c:v>
                </c:pt>
                <c:pt idx="126">
                  <c:v>93.3928561363781</c:v>
                </c:pt>
                <c:pt idx="127">
                  <c:v>93.456658191800045</c:v>
                </c:pt>
                <c:pt idx="128">
                  <c:v>93.521496642329524</c:v>
                </c:pt>
                <c:pt idx="129">
                  <c:v>93.587359883316694</c:v>
                </c:pt>
                <c:pt idx="130">
                  <c:v>93.654234272954298</c:v>
                </c:pt>
                <c:pt idx="131">
                  <c:v>93.722104002869528</c:v>
                </c:pt>
                <c:pt idx="132">
                  <c:v>93.790950964487593</c:v>
                </c:pt>
                <c:pt idx="133">
                  <c:v>93.860754611343395</c:v>
                </c:pt>
                <c:pt idx="134">
                  <c:v>93.931491817579101</c:v>
                </c:pt>
                <c:pt idx="135">
                  <c:v>94.003136732902959</c:v>
                </c:pt>
                <c:pt idx="136">
                  <c:v>94.075660634352033</c:v>
                </c:pt>
                <c:pt idx="137">
                  <c:v>94.149031775255537</c:v>
                </c:pt>
                <c:pt idx="138">
                  <c:v>94.223215231863875</c:v>
                </c:pt>
                <c:pt idx="139">
                  <c:v>94.298172748177677</c:v>
                </c:pt>
                <c:pt idx="140">
                  <c:v>94.373862579584298</c:v>
                </c:pt>
                <c:pt idx="141">
                  <c:v>94.45023933598911</c:v>
                </c:pt>
                <c:pt idx="142">
                  <c:v>94.527253825209314</c:v>
                </c:pt>
                <c:pt idx="143">
                  <c:v>94.604852897486452</c:v>
                </c:pt>
                <c:pt idx="144">
                  <c:v>94.682979292059144</c:v>
                </c:pt>
                <c:pt idx="145">
                  <c:v>94.761571486828245</c:v>
                </c:pt>
                <c:pt idx="146">
                  <c:v>94.840563552246266</c:v>
                </c:pt>
                <c:pt idx="147">
                  <c:v>94.919885010642901</c:v>
                </c:pt>
                <c:pt idx="148">
                  <c:v>94.999460702305328</c:v>
                </c:pt>
                <c:pt idx="149">
                  <c:v>95.079210659710711</c:v>
                </c:pt>
                <c:pt idx="150">
                  <c:v>95.159049991407073</c:v>
                </c:pt>
                <c:pt idx="151">
                  <c:v>95.238888777110205</c:v>
                </c:pt>
                <c:pt idx="152">
                  <c:v>95.318631975673497</c:v>
                </c:pt>
                <c:pt idx="153">
                  <c:v>95.39817934764551</c:v>
                </c:pt>
                <c:pt idx="154">
                  <c:v>95.477425394198008</c:v>
                </c:pt>
                <c:pt idx="155">
                  <c:v>95.556259314243533</c:v>
                </c:pt>
                <c:pt idx="156">
                  <c:v>95.63456498160393</c:v>
                </c:pt>
                <c:pt idx="157">
                  <c:v>95.712220944097794</c:v>
                </c:pt>
                <c:pt idx="158">
                  <c:v>95.789100446413457</c:v>
                </c:pt>
                <c:pt idx="159">
                  <c:v>95.865071478610318</c:v>
                </c:pt>
                <c:pt idx="160">
                  <c:v>95.939996852037098</c:v>
                </c:pt>
                <c:pt idx="161">
                  <c:v>96.013734304385338</c:v>
                </c:pt>
                <c:pt idx="162">
                  <c:v>96.086136635487264</c:v>
                </c:pt>
                <c:pt idx="163">
                  <c:v>96.157051875340699</c:v>
                </c:pt>
                <c:pt idx="164">
                  <c:v>96.226323485669937</c:v>
                </c:pt>
                <c:pt idx="165">
                  <c:v>96.293790596147304</c:v>
                </c:pt>
                <c:pt idx="166">
                  <c:v>96.359288276156221</c:v>
                </c:pt>
                <c:pt idx="167">
                  <c:v>96.422647842730015</c:v>
                </c:pt>
                <c:pt idx="168">
                  <c:v>96.483697204988488</c:v>
                </c:pt>
                <c:pt idx="169">
                  <c:v>96.54226124508763</c:v>
                </c:pt>
                <c:pt idx="170">
                  <c:v>96.59816223532367</c:v>
                </c:pt>
                <c:pt idx="171">
                  <c:v>96.651220290667183</c:v>
                </c:pt>
                <c:pt idx="172">
                  <c:v>96.701253855588291</c:v>
                </c:pt>
                <c:pt idx="173">
                  <c:v>96.748080223609307</c:v>
                </c:pt>
                <c:pt idx="174">
                  <c:v>96.791516087596975</c:v>
                </c:pt>
                <c:pt idx="175">
                  <c:v>96.831378118341718</c:v>
                </c:pt>
                <c:pt idx="176">
                  <c:v>96.86748356853937</c:v>
                </c:pt>
                <c:pt idx="177">
                  <c:v>96.899650898840477</c:v>
                </c:pt>
                <c:pt idx="178">
                  <c:v>96.927700422211174</c:v>
                </c:pt>
                <c:pt idx="179">
                  <c:v>96.951454962437737</c:v>
                </c:pt>
                <c:pt idx="180">
                  <c:v>96.970740522221675</c:v>
                </c:pt>
                <c:pt idx="181">
                  <c:v>96.98538695599558</c:v>
                </c:pt>
                <c:pt idx="182">
                  <c:v>96.995228642260798</c:v>
                </c:pt>
                <c:pt idx="183">
                  <c:v>97.000105150041293</c:v>
                </c:pt>
                <c:pt idx="184">
                  <c:v>96.999861893832161</c:v>
                </c:pt>
                <c:pt idx="185">
                  <c:v>96.994350771342809</c:v>
                </c:pt>
                <c:pt idx="186">
                  <c:v>96.983430778255936</c:v>
                </c:pt>
                <c:pt idx="187">
                  <c:v>96.966968594280559</c:v>
                </c:pt>
                <c:pt idx="188">
                  <c:v>96.944839134884006</c:v>
                </c:pt>
                <c:pt idx="189">
                  <c:v>96.916926063268676</c:v>
                </c:pt>
                <c:pt idx="190">
                  <c:v>96.883122257449799</c:v>
                </c:pt>
                <c:pt idx="191">
                  <c:v>96.843330227618594</c:v>
                </c:pt>
                <c:pt idx="192">
                  <c:v>96.797462479421128</c:v>
                </c:pt>
                <c:pt idx="193">
                  <c:v>96.745441819257167</c:v>
                </c:pt>
                <c:pt idx="194">
                  <c:v>96.687201598275408</c:v>
                </c:pt>
                <c:pt idx="195">
                  <c:v>96.622685892336989</c:v>
                </c:pt>
                <c:pt idx="196">
                  <c:v>96.55184961588219</c:v>
                </c:pt>
                <c:pt idx="197">
                  <c:v>96.474658568330028</c:v>
                </c:pt>
                <c:pt idx="198">
                  <c:v>96.391089412335162</c:v>
                </c:pt>
                <c:pt idx="199">
                  <c:v>96.301129583968361</c:v>
                </c:pt>
                <c:pt idx="200">
                  <c:v>96.204777135597155</c:v>
                </c:pt>
                <c:pt idx="201">
                  <c:v>96.10204051295915</c:v>
                </c:pt>
                <c:pt idx="202">
                  <c:v>95.992938268601762</c:v>
                </c:pt>
                <c:pt idx="203">
                  <c:v>95.877498714510637</c:v>
                </c:pt>
                <c:pt idx="204">
                  <c:v>95.75575951735334</c:v>
                </c:pt>
                <c:pt idx="205">
                  <c:v>95.627767240309822</c:v>
                </c:pt>
                <c:pt idx="206">
                  <c:v>95.493576835937887</c:v>
                </c:pt>
                <c:pt idx="207">
                  <c:v>95.353251094951901</c:v>
                </c:pt>
                <c:pt idx="208">
                  <c:v>95.206860056106407</c:v>
                </c:pt>
                <c:pt idx="209">
                  <c:v>95.054480382657957</c:v>
                </c:pt>
                <c:pt idx="210">
                  <c:v>94.896194711039982</c:v>
                </c:pt>
                <c:pt idx="211">
                  <c:v>94.732090977497108</c:v>
                </c:pt>
                <c:pt idx="212">
                  <c:v>94.562261728448192</c:v>
                </c:pt>
                <c:pt idx="213">
                  <c:v>94.386803420267967</c:v>
                </c:pt>
                <c:pt idx="214">
                  <c:v>94.20581571409403</c:v>
                </c:pt>
                <c:pt idx="215">
                  <c:v>94.019400771033659</c:v>
                </c:pt>
                <c:pt idx="216">
                  <c:v>93.827662552922476</c:v>
                </c:pt>
                <c:pt idx="217">
                  <c:v>93.630706133471051</c:v>
                </c:pt>
                <c:pt idx="218">
                  <c:v>93.428637024299078</c:v>
                </c:pt>
                <c:pt idx="219">
                  <c:v>93.22156051996302</c:v>
                </c:pt>
                <c:pt idx="220">
                  <c:v>93.009581065687655</c:v>
                </c:pt>
                <c:pt idx="221">
                  <c:v>92.792801651069738</c:v>
                </c:pt>
                <c:pt idx="222">
                  <c:v>92.571323232589421</c:v>
                </c:pt>
                <c:pt idx="223">
                  <c:v>92.345244187314321</c:v>
                </c:pt>
                <c:pt idx="224">
                  <c:v>92.114659799745979</c:v>
                </c:pt>
                <c:pt idx="225">
                  <c:v>91.879661783309757</c:v>
                </c:pt>
                <c:pt idx="226">
                  <c:v>91.640337837592099</c:v>
                </c:pt>
                <c:pt idx="227">
                  <c:v>91.396771242012079</c:v>
                </c:pt>
                <c:pt idx="228">
                  <c:v>91.149040486246903</c:v>
                </c:pt>
                <c:pt idx="229">
                  <c:v>90.897218937385233</c:v>
                </c:pt>
                <c:pt idx="230">
                  <c:v>90.641374543458099</c:v>
                </c:pt>
                <c:pt idx="231">
                  <c:v>90.381569572718803</c:v>
                </c:pt>
                <c:pt idx="232">
                  <c:v>90.117860387781818</c:v>
                </c:pt>
                <c:pt idx="233">
                  <c:v>89.850297253514967</c:v>
                </c:pt>
                <c:pt idx="234">
                  <c:v>89.578924177395024</c:v>
                </c:pt>
                <c:pt idx="235">
                  <c:v>89.303778780865784</c:v>
                </c:pt>
                <c:pt idx="236">
                  <c:v>89.024892200142915</c:v>
                </c:pt>
                <c:pt idx="237">
                  <c:v>88.742289014780468</c:v>
                </c:pt>
                <c:pt idx="238">
                  <c:v>88.455987202276788</c:v>
                </c:pt>
                <c:pt idx="239">
                  <c:v>88.165998116942177</c:v>
                </c:pt>
                <c:pt idx="240">
                  <c:v>87.872326491231703</c:v>
                </c:pt>
                <c:pt idx="241">
                  <c:v>87.574970457767691</c:v>
                </c:pt>
                <c:pt idx="242">
                  <c:v>87.273921590277098</c:v>
                </c:pt>
                <c:pt idx="243">
                  <c:v>86.969164961729248</c:v>
                </c:pt>
                <c:pt idx="244">
                  <c:v>86.660679218002358</c:v>
                </c:pt>
                <c:pt idx="245">
                  <c:v>86.348436665480989</c:v>
                </c:pt>
                <c:pt idx="246">
                  <c:v>86.032403371055651</c:v>
                </c:pt>
                <c:pt idx="247">
                  <c:v>85.712539273095629</c:v>
                </c:pt>
                <c:pt idx="248">
                  <c:v>85.388798302041522</c:v>
                </c:pt>
                <c:pt idx="249">
                  <c:v>85.061128509369865</c:v>
                </c:pt>
                <c:pt idx="250">
                  <c:v>84.729472203784965</c:v>
                </c:pt>
                <c:pt idx="251">
                  <c:v>84.393766093580581</c:v>
                </c:pt>
                <c:pt idx="252">
                  <c:v>84.053941434233408</c:v>
                </c:pt>
                <c:pt idx="253">
                  <c:v>83.709924180379318</c:v>
                </c:pt>
                <c:pt idx="254">
                  <c:v>83.361635141425566</c:v>
                </c:pt>
                <c:pt idx="255">
                  <c:v>83.008990140157564</c:v>
                </c:pt>
                <c:pt idx="256">
                  <c:v>82.651900173781939</c:v>
                </c:pt>
                <c:pt idx="257">
                  <c:v>82.29027157694884</c:v>
                </c:pt>
                <c:pt idx="258">
                  <c:v>81.924006186379629</c:v>
                </c:pt>
                <c:pt idx="259">
                  <c:v>81.553001506812507</c:v>
                </c:pt>
                <c:pt idx="260">
                  <c:v>81.177150878055045</c:v>
                </c:pt>
                <c:pt idx="261">
                  <c:v>80.796343643009777</c:v>
                </c:pt>
                <c:pt idx="262">
                  <c:v>80.410465316610015</c:v>
                </c:pt>
                <c:pt idx="263">
                  <c:v>80.019397755665295</c:v>
                </c:pt>
                <c:pt idx="264">
                  <c:v>79.623019329682165</c:v>
                </c:pt>
                <c:pt idx="265">
                  <c:v>79.221205092776273</c:v>
                </c:pt>
                <c:pt idx="266">
                  <c:v>78.813826956848132</c:v>
                </c:pt>
                <c:pt idx="267">
                  <c:v>78.400753866239199</c:v>
                </c:pt>
                <c:pt idx="268">
                  <c:v>77.981851974129128</c:v>
                </c:pt>
                <c:pt idx="269">
                  <c:v>77.556984820972247</c:v>
                </c:pt>
                <c:pt idx="270">
                  <c:v>77.126013515303299</c:v>
                </c:pt>
                <c:pt idx="271">
                  <c:v>76.688796917273379</c:v>
                </c:pt>
                <c:pt idx="272">
                  <c:v>76.245191825303067</c:v>
                </c:pt>
                <c:pt idx="273">
                  <c:v>75.795053166255215</c:v>
                </c:pt>
                <c:pt idx="274">
                  <c:v>75.338234189551798</c:v>
                </c:pt>
                <c:pt idx="275">
                  <c:v>74.874586665663017</c:v>
                </c:pt>
                <c:pt idx="276">
                  <c:v>74.403961089412178</c:v>
                </c:pt>
                <c:pt idx="277">
                  <c:v>73.926206888536342</c:v>
                </c:pt>
                <c:pt idx="278">
                  <c:v>73.44117263794196</c:v>
                </c:pt>
                <c:pt idx="279">
                  <c:v>72.948706280090761</c:v>
                </c:pt>
                <c:pt idx="280">
                  <c:v>72.448655351926632</c:v>
                </c:pt>
                <c:pt idx="281">
                  <c:v>71.940867218761625</c:v>
                </c:pt>
                <c:pt idx="282">
                  <c:v>71.425189315486293</c:v>
                </c:pt>
                <c:pt idx="283">
                  <c:v>70.901469395465952</c:v>
                </c:pt>
                <c:pt idx="284">
                  <c:v>70.369555787439566</c:v>
                </c:pt>
                <c:pt idx="285">
                  <c:v>69.829297660695048</c:v>
                </c:pt>
                <c:pt idx="286">
                  <c:v>69.280545298762718</c:v>
                </c:pt>
                <c:pt idx="287">
                  <c:v>68.723150381802029</c:v>
                </c:pt>
                <c:pt idx="288">
                  <c:v>68.156966277802695</c:v>
                </c:pt>
                <c:pt idx="289">
                  <c:v>67.581848342662525</c:v>
                </c:pt>
                <c:pt idx="290">
                  <c:v>66.997654229126297</c:v>
                </c:pt>
                <c:pt idx="291">
                  <c:v>66.404244204487952</c:v>
                </c:pt>
                <c:pt idx="292">
                  <c:v>65.801481476880937</c:v>
                </c:pt>
                <c:pt idx="293">
                  <c:v>65.189232529885231</c:v>
                </c:pt>
                <c:pt idx="294">
                  <c:v>64.567367465080451</c:v>
                </c:pt>
                <c:pt idx="295">
                  <c:v>63.935760352068968</c:v>
                </c:pt>
                <c:pt idx="296">
                  <c:v>63.294289585382828</c:v>
                </c:pt>
                <c:pt idx="297">
                  <c:v>62.64283824757193</c:v>
                </c:pt>
                <c:pt idx="298">
                  <c:v>61.981294477645918</c:v>
                </c:pt>
                <c:pt idx="299">
                  <c:v>61.309551843922932</c:v>
                </c:pt>
                <c:pt idx="300">
                  <c:v>60.627509720201203</c:v>
                </c:pt>
                <c:pt idx="301">
                  <c:v>59.935073664044268</c:v>
                </c:pt>
                <c:pt idx="302">
                  <c:v>59.232155795835084</c:v>
                </c:pt>
                <c:pt idx="303">
                  <c:v>58.518675177126624</c:v>
                </c:pt>
                <c:pt idx="304">
                  <c:v>57.7945581866814</c:v>
                </c:pt>
                <c:pt idx="305">
                  <c:v>57.059738892471557</c:v>
                </c:pt>
                <c:pt idx="306">
                  <c:v>56.314159417790648</c:v>
                </c:pt>
                <c:pt idx="307">
                  <c:v>55.557770299514772</c:v>
                </c:pt>
                <c:pt idx="308">
                  <c:v>54.790530836448895</c:v>
                </c:pt>
                <c:pt idx="309">
                  <c:v>54.012409425614209</c:v>
                </c:pt>
                <c:pt idx="310">
                  <c:v>53.223383884239738</c:v>
                </c:pt>
                <c:pt idx="311">
                  <c:v>52.423441755190041</c:v>
                </c:pt>
                <c:pt idx="312">
                  <c:v>51.612580593500908</c:v>
                </c:pt>
                <c:pt idx="313">
                  <c:v>50.790808231698435</c:v>
                </c:pt>
                <c:pt idx="314">
                  <c:v>49.958143021578067</c:v>
                </c:pt>
                <c:pt idx="315">
                  <c:v>49.114614050163297</c:v>
                </c:pt>
                <c:pt idx="316">
                  <c:v>48.260261327627092</c:v>
                </c:pt>
                <c:pt idx="317">
                  <c:v>47.395135945054179</c:v>
                </c:pt>
                <c:pt idx="318">
                  <c:v>46.519300200061735</c:v>
                </c:pt>
                <c:pt idx="319">
                  <c:v>45.632827688440571</c:v>
                </c:pt>
                <c:pt idx="320">
                  <c:v>44.735803360186296</c:v>
                </c:pt>
                <c:pt idx="321">
                  <c:v>43.828323538511683</c:v>
                </c:pt>
                <c:pt idx="322">
                  <c:v>42.910495900685106</c:v>
                </c:pt>
                <c:pt idx="323">
                  <c:v>41.982439419835416</c:v>
                </c:pt>
                <c:pt idx="324">
                  <c:v>41.044284267171832</c:v>
                </c:pt>
                <c:pt idx="325">
                  <c:v>40.096171674414776</c:v>
                </c:pt>
                <c:pt idx="326">
                  <c:v>39.138253756589449</c:v>
                </c:pt>
                <c:pt idx="327">
                  <c:v>38.170693295714358</c:v>
                </c:pt>
                <c:pt idx="328">
                  <c:v>37.193663486310413</c:v>
                </c:pt>
                <c:pt idx="329">
                  <c:v>36.207347644050927</c:v>
                </c:pt>
                <c:pt idx="330">
                  <c:v>35.211938879266896</c:v>
                </c:pt>
                <c:pt idx="331">
                  <c:v>34.207639737421573</c:v>
                </c:pt>
                <c:pt idx="332">
                  <c:v>33.194661809040781</c:v>
                </c:pt>
                <c:pt idx="333">
                  <c:v>32.173225311944805</c:v>
                </c:pt>
                <c:pt idx="334">
                  <c:v>31.143558648963932</c:v>
                </c:pt>
                <c:pt idx="335">
                  <c:v>30.105897944620864</c:v>
                </c:pt>
                <c:pt idx="336">
                  <c:v>29.060486564518271</c:v>
                </c:pt>
                <c:pt idx="337">
                  <c:v>28.007574621386055</c:v>
                </c:pt>
                <c:pt idx="338">
                  <c:v>26.947418471916876</c:v>
                </c:pt>
                <c:pt idx="339">
                  <c:v>25.880280208616455</c:v>
                </c:pt>
                <c:pt idx="340">
                  <c:v>24.806427150951436</c:v>
                </c:pt>
                <c:pt idx="341">
                  <c:v>23.726131340071561</c:v>
                </c:pt>
                <c:pt idx="342">
                  <c:v>22.639669041300323</c:v>
                </c:pt>
                <c:pt idx="343">
                  <c:v>21.547320258464566</c:v>
                </c:pt>
                <c:pt idx="344">
                  <c:v>20.449368263922167</c:v>
                </c:pt>
                <c:pt idx="345">
                  <c:v>19.346099147898855</c:v>
                </c:pt>
                <c:pt idx="346">
                  <c:v>18.237801390427393</c:v>
                </c:pt>
                <c:pt idx="347">
                  <c:v>17.124765458798578</c:v>
                </c:pt>
                <c:pt idx="348">
                  <c:v>16.00728343304425</c:v>
                </c:pt>
                <c:pt idx="349">
                  <c:v>14.885648661488943</c:v>
                </c:pt>
                <c:pt idx="350">
                  <c:v>13.760155447922756</c:v>
                </c:pt>
                <c:pt idx="351">
                  <c:v>12.631098771438388</c:v>
                </c:pt>
                <c:pt idx="352">
                  <c:v>11.498774039411302</c:v>
                </c:pt>
                <c:pt idx="353">
                  <c:v>10.363476873585796</c:v>
                </c:pt>
                <c:pt idx="354">
                  <c:v>9.2255029286513661</c:v>
                </c:pt>
                <c:pt idx="355">
                  <c:v>8.0851477421727793</c:v>
                </c:pt>
                <c:pt idx="356">
                  <c:v>6.9427066141896319</c:v>
                </c:pt>
                <c:pt idx="357">
                  <c:v>5.798474514323118</c:v>
                </c:pt>
                <c:pt idx="358">
                  <c:v>4.6527460137423873</c:v>
                </c:pt>
                <c:pt idx="359">
                  <c:v>3.5058152389140389</c:v>
                </c:pt>
                <c:pt idx="360">
                  <c:v>2.3579758436840734</c:v>
                </c:pt>
                <c:pt idx="361">
                  <c:v>1.2095209959067859</c:v>
                </c:pt>
                <c:pt idx="362">
                  <c:v>6.0743374562832742E-2</c:v>
                </c:pt>
                <c:pt idx="363">
                  <c:v>-1.0880648269071571</c:v>
                </c:pt>
                <c:pt idx="364">
                  <c:v>-2.2366118954575995</c:v>
                </c:pt>
                <c:pt idx="365">
                  <c:v>-3.3846065959848488</c:v>
                </c:pt>
                <c:pt idx="366">
                  <c:v>-4.5317581760575933</c:v>
                </c:pt>
                <c:pt idx="367">
                  <c:v>-5.677776382294411</c:v>
                </c:pt>
                <c:pt idx="368">
                  <c:v>-6.8223714926894843</c:v>
                </c:pt>
                <c:pt idx="369">
                  <c:v>-7.9652543690445157</c:v>
                </c:pt>
                <c:pt idx="370">
                  <c:v>-9.1061365333777928</c:v>
                </c:pt>
                <c:pt idx="371">
                  <c:v>-10.244730271897623</c:v>
                </c:pt>
                <c:pt idx="372">
                  <c:v>-11.380748769771827</c:v>
                </c:pt>
                <c:pt idx="373">
                  <c:v>-12.513906279511218</c:v>
                </c:pt>
                <c:pt idx="374">
                  <c:v>-13.643918325358385</c:v>
                </c:pt>
                <c:pt idx="375">
                  <c:v>-14.770501945600984</c:v>
                </c:pt>
                <c:pt idx="376">
                  <c:v>-15.89337597423571</c:v>
                </c:pt>
                <c:pt idx="377">
                  <c:v>-17.012261362913648</c:v>
                </c:pt>
                <c:pt idx="378">
                  <c:v>-18.126881543580083</c:v>
                </c:pt>
                <c:pt idx="379">
                  <c:v>-19.236962831724554</c:v>
                </c:pt>
                <c:pt idx="380">
                  <c:v>-20.342234869676474</c:v>
                </c:pt>
                <c:pt idx="381">
                  <c:v>-21.442431108900422</c:v>
                </c:pt>
                <c:pt idx="382">
                  <c:v>-22.537289329828582</c:v>
                </c:pt>
                <c:pt idx="383">
                  <c:v>-23.626552197362514</c:v>
                </c:pt>
                <c:pt idx="384">
                  <c:v>-24.709967849839927</c:v>
                </c:pt>
                <c:pt idx="385">
                  <c:v>-25.787290518964767</c:v>
                </c:pt>
                <c:pt idx="386">
                  <c:v>-26.858281177967655</c:v>
                </c:pt>
                <c:pt idx="387">
                  <c:v>-27.922708215103114</c:v>
                </c:pt>
                <c:pt idx="388">
                  <c:v>-28.980348129484383</c:v>
                </c:pt>
                <c:pt idx="389">
                  <c:v>-30.030986246234988</c:v>
                </c:pt>
                <c:pt idx="390">
                  <c:v>-31.074417447985383</c:v>
                </c:pt>
                <c:pt idx="391">
                  <c:v>-32.11044691985586</c:v>
                </c:pt>
                <c:pt idx="392">
                  <c:v>-33.13889090527735</c:v>
                </c:pt>
                <c:pt idx="393">
                  <c:v>-34.159577470246461</c:v>
                </c:pt>
                <c:pt idx="394">
                  <c:v>-35.17234727397863</c:v>
                </c:pt>
                <c:pt idx="395">
                  <c:v>-36.177054344296749</c:v>
                </c:pt>
                <c:pt idx="396">
                  <c:v>-37.173566856592601</c:v>
                </c:pt>
                <c:pt idx="397">
                  <c:v>-38.161767915704587</c:v>
                </c:pt>
                <c:pt idx="398">
                  <c:v>-39.141556340667876</c:v>
                </c:pt>
                <c:pt idx="399">
                  <c:v>-40.112847452910017</c:v>
                </c:pt>
                <c:pt idx="400">
                  <c:v>-41.07557386918171</c:v>
                </c:pt>
                <c:pt idx="401">
                  <c:v>-42.029686301230825</c:v>
                </c:pt>
                <c:pt idx="402">
                  <c:v>-42.975154365030818</c:v>
                </c:pt>
                <c:pt idx="403">
                  <c:v>-43.911967403189621</c:v>
                </c:pt>
                <c:pt idx="404">
                  <c:v>-44.840135325042553</c:v>
                </c:pt>
                <c:pt idx="405">
                  <c:v>-45.759689469851466</c:v>
                </c:pt>
                <c:pt idx="406">
                  <c:v>-46.670683499488661</c:v>
                </c:pt>
                <c:pt idx="407">
                  <c:v>-47.573194328006139</c:v>
                </c:pt>
                <c:pt idx="408">
                  <c:v>-48.467323096561245</c:v>
                </c:pt>
                <c:pt idx="409">
                  <c:v>-49.35319620329534</c:v>
                </c:pt>
                <c:pt idx="410">
                  <c:v>-50.23096639899822</c:v>
                </c:pt>
                <c:pt idx="411">
                  <c:v>-51.100813960668688</c:v>
                </c:pt>
                <c:pt idx="412">
                  <c:v>-51.962947956503712</c:v>
                </c:pt>
                <c:pt idx="413">
                  <c:v>-52.817607617368225</c:v>
                </c:pt>
                <c:pt idx="414">
                  <c:v>-53.665063831476928</c:v>
                </c:pt>
                <c:pt idx="415">
                  <c:v>-54.505620780861875</c:v>
                </c:pt>
                <c:pt idx="416">
                  <c:v>-55.339617740233251</c:v>
                </c:pt>
                <c:pt idx="417">
                  <c:v>-56.167431061132731</c:v>
                </c:pt>
                <c:pt idx="418">
                  <c:v>-56.989476366812227</c:v>
                </c:pt>
                <c:pt idx="419">
                  <c:v>-57.806210986135582</c:v>
                </c:pt>
                <c:pt idx="420">
                  <c:v>-58.618136658031787</c:v>
                </c:pt>
                <c:pt idx="421">
                  <c:v>-59.425802541672681</c:v>
                </c:pt>
                <c:pt idx="422">
                  <c:v>-60.229808571675605</c:v>
                </c:pt>
                <c:pt idx="423">
                  <c:v>-61.030809202319588</c:v>
                </c:pt>
                <c:pt idx="424">
                  <c:v>-61.829517590073849</c:v>
                </c:pt>
                <c:pt idx="425">
                  <c:v>-62.626710269774918</c:v>
                </c:pt>
                <c:pt idx="426">
                  <c:v>-63.423232386617897</c:v>
                </c:pt>
                <c:pt idx="427">
                  <c:v>-64.22000355389595</c:v>
                </c:pt>
                <c:pt idx="428">
                  <c:v>-65.018024415160994</c:v>
                </c:pt>
                <c:pt idx="429">
                  <c:v>-65.818383999379066</c:v>
                </c:pt>
                <c:pt idx="430">
                  <c:v>-66.622267968743486</c:v>
                </c:pt>
                <c:pt idx="431">
                  <c:v>-67.430967871196188</c:v>
                </c:pt>
                <c:pt idx="432">
                  <c:v>-68.245891523483522</c:v>
                </c:pt>
                <c:pt idx="433">
                  <c:v>-69.068574665677303</c:v>
                </c:pt>
                <c:pt idx="434">
                  <c:v>-69.90069404450584</c:v>
                </c:pt>
                <c:pt idx="435">
                  <c:v>-70.744082100334012</c:v>
                </c:pt>
                <c:pt idx="436">
                  <c:v>-71.600743450819181</c:v>
                </c:pt>
                <c:pt idx="437">
                  <c:v>-72.472873382459397</c:v>
                </c:pt>
                <c:pt idx="438">
                  <c:v>-73.362878578326104</c:v>
                </c:pt>
                <c:pt idx="439">
                  <c:v>-74.273400324545051</c:v>
                </c:pt>
                <c:pt idx="440">
                  <c:v>-75.20734044685473</c:v>
                </c:pt>
                <c:pt idx="441">
                  <c:v>-76.167890228041486</c:v>
                </c:pt>
                <c:pt idx="442">
                  <c:v>-77.158562541453449</c:v>
                </c:pt>
                <c:pt idx="443">
                  <c:v>-78.183227396916692</c:v>
                </c:pt>
                <c:pt idx="444">
                  <c:v>-79.246151021516454</c:v>
                </c:pt>
                <c:pt idx="445">
                  <c:v>-80.352038472154831</c:v>
                </c:pt>
                <c:pt idx="446">
                  <c:v>-81.506079576409491</c:v>
                </c:pt>
                <c:pt idx="447">
                  <c:v>-82.713997690847819</c:v>
                </c:pt>
                <c:pt idx="448">
                  <c:v>-83.982100307948897</c:v>
                </c:pt>
                <c:pt idx="449">
                  <c:v>-85.317329875781795</c:v>
                </c:pt>
                <c:pt idx="450">
                  <c:v>-86.727312242496637</c:v>
                </c:pt>
                <c:pt idx="451">
                  <c:v>-88.220398804540594</c:v>
                </c:pt>
                <c:pt idx="452">
                  <c:v>-89.805696608523462</c:v>
                </c:pt>
                <c:pt idx="453">
                  <c:v>-91.493078205324196</c:v>
                </c:pt>
                <c:pt idx="454">
                  <c:v>-93.293159863285112</c:v>
                </c:pt>
                <c:pt idx="455">
                  <c:v>-95.217232747839347</c:v>
                </c:pt>
                <c:pt idx="456">
                  <c:v>-97.277126929670956</c:v>
                </c:pt>
                <c:pt idx="457">
                  <c:v>-99.484982916713221</c:v>
                </c:pt>
                <c:pt idx="458">
                  <c:v>-101.85290060481906</c:v>
                </c:pt>
                <c:pt idx="459">
                  <c:v>-104.39243262899629</c:v>
                </c:pt>
                <c:pt idx="460">
                  <c:v>-107.11389061297413</c:v>
                </c:pt>
                <c:pt idx="461">
                  <c:v>-110.0254424783261</c:v>
                </c:pt>
                <c:pt idx="462">
                  <c:v>-113.13200140253873</c:v>
                </c:pt>
                <c:pt idx="463">
                  <c:v>-116.4339465346726</c:v>
                </c:pt>
                <c:pt idx="464">
                  <c:v>-119.92577363045433</c:v>
                </c:pt>
                <c:pt idx="465">
                  <c:v>-123.59484489430574</c:v>
                </c:pt>
                <c:pt idx="466">
                  <c:v>-127.42047498189105</c:v>
                </c:pt>
                <c:pt idx="467">
                  <c:v>-131.37362571218111</c:v>
                </c:pt>
                <c:pt idx="468">
                  <c:v>-135.41745160048191</c:v>
                </c:pt>
                <c:pt idx="469">
                  <c:v>-139.50881926764467</c:v>
                </c:pt>
                <c:pt idx="470">
                  <c:v>-143.60072611159561</c:v>
                </c:pt>
                <c:pt idx="471">
                  <c:v>-147.64532072401235</c:v>
                </c:pt>
                <c:pt idx="472">
                  <c:v>-151.59706111982166</c:v>
                </c:pt>
                <c:pt idx="473">
                  <c:v>-155.415507001376</c:v>
                </c:pt>
                <c:pt idx="474">
                  <c:v>-159.06734668590278</c:v>
                </c:pt>
                <c:pt idx="475">
                  <c:v>-162.52746235499148</c:v>
                </c:pt>
                <c:pt idx="476">
                  <c:v>-165.77905768081527</c:v>
                </c:pt>
                <c:pt idx="477">
                  <c:v>-168.8130372440242</c:v>
                </c:pt>
                <c:pt idx="478">
                  <c:v>-171.62690408407124</c:v>
                </c:pt>
                <c:pt idx="479">
                  <c:v>-174.22343766378384</c:v>
                </c:pt>
                <c:pt idx="480">
                  <c:v>-176.60935994495597</c:v>
                </c:pt>
                <c:pt idx="481">
                  <c:v>-178.79412513755318</c:v>
                </c:pt>
                <c:pt idx="482">
                  <c:v>-180.78890229557857</c:v>
                </c:pt>
                <c:pt idx="483">
                  <c:v>-182.60577028748736</c:v>
                </c:pt>
                <c:pt idx="484">
                  <c:v>-184.25711347884081</c:v>
                </c:pt>
                <c:pt idx="485">
                  <c:v>-185.75519053162225</c:v>
                </c:pt>
                <c:pt idx="486">
                  <c:v>-187.11184335935619</c:v>
                </c:pt>
                <c:pt idx="487">
                  <c:v>-188.33831419804864</c:v>
                </c:pt>
                <c:pt idx="488">
                  <c:v>-189.44514278600843</c:v>
                </c:pt>
                <c:pt idx="489">
                  <c:v>-190.44212075341864</c:v>
                </c:pt>
                <c:pt idx="490">
                  <c:v>-191.33828535908725</c:v>
                </c:pt>
                <c:pt idx="491">
                  <c:v>-192.14193913345247</c:v>
                </c:pt>
                <c:pt idx="492">
                  <c:v>-192.86068561103747</c:v>
                </c:pt>
                <c:pt idx="493">
                  <c:v>-193.50147417275173</c:v>
                </c:pt>
                <c:pt idx="494">
                  <c:v>-194.07064916668295</c:v>
                </c:pt>
                <c:pt idx="495">
                  <c:v>-194.57400006087556</c:v>
                </c:pt>
                <c:pt idx="496">
                  <c:v>-195.01681052572837</c:v>
                </c:pt>
                <c:pt idx="497">
                  <c:v>-195.40390515346746</c:v>
                </c:pt>
                <c:pt idx="498">
                  <c:v>-195.73969308444282</c:v>
                </c:pt>
                <c:pt idx="499">
                  <c:v>-196.02820819216089</c:v>
                </c:pt>
                <c:pt idx="500">
                  <c:v>-196.14598838872098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41-4D19-9DBC-690DDB1D00CA}"/>
            </c:ext>
          </c:extLst>
        </c:ser>
        <c:ser>
          <c:idx val="7"/>
          <c:order val="5"/>
          <c:tx>
            <c:strRef>
              <c:f>'Small Signal'!$AE$3</c:f>
              <c:strCache>
                <c:ptCount val="1"/>
                <c:pt idx="0">
                  <c:v>Phase Gea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ysDash"/>
            </a:ln>
          </c:spPr>
          <c:marker>
            <c:symbol val="none"/>
          </c:marker>
          <c:xVal>
            <c:numRef>
              <c:f>'Small Signal'!$K$4:$K$504</c:f>
              <c:numCache>
                <c:formatCode>General</c:formatCode>
                <c:ptCount val="501"/>
                <c:pt idx="0">
                  <c:v>10</c:v>
                </c:pt>
                <c:pt idx="1">
                  <c:v>10.22704395528236</c:v>
                </c:pt>
                <c:pt idx="2">
                  <c:v>10.459242806327749</c:v>
                </c:pt>
                <c:pt idx="3">
                  <c:v>10.696713591928464</c:v>
                </c:pt>
                <c:pt idx="4">
                  <c:v>10.939576008171871</c:v>
                </c:pt>
                <c:pt idx="5">
                  <c:v>11.187952468772604</c:v>
                </c:pt>
                <c:pt idx="6">
                  <c:v>11.44196816677472</c:v>
                </c:pt>
                <c:pt idx="7">
                  <c:v>11.701751137654661</c:v>
                </c:pt>
                <c:pt idx="8">
                  <c:v>11.967432323856951</c:v>
                </c:pt>
                <c:pt idx="9">
                  <c:v>12.239145640795199</c:v>
                </c:pt>
                <c:pt idx="10">
                  <c:v>12.517028044351497</c:v>
                </c:pt>
                <c:pt idx="11">
                  <c:v>12.801219599908473</c:v>
                </c:pt>
                <c:pt idx="12">
                  <c:v>13.091863552948606</c:v>
                </c:pt>
                <c:pt idx="13">
                  <c:v>13.38910640125644</c:v>
                </c:pt>
                <c:pt idx="14">
                  <c:v>13.693097968760206</c:v>
                </c:pt>
                <c:pt idx="15">
                  <c:v>14.003991481049821</c:v>
                </c:pt>
                <c:pt idx="16">
                  <c:v>14.321943642609622</c:v>
                </c:pt>
                <c:pt idx="17">
                  <c:v>14.647114715804539</c:v>
                </c:pt>
                <c:pt idx="18">
                  <c:v>14.979668601659609</c:v>
                </c:pt>
                <c:pt idx="19">
                  <c:v>15.319772922473584</c:v>
                </c:pt>
                <c:pt idx="20">
                  <c:v>15.667599106308181</c:v>
                </c:pt>
                <c:pt idx="21">
                  <c:v>16.023322473395638</c:v>
                </c:pt>
                <c:pt idx="22">
                  <c:v>16.387122324508088</c:v>
                </c:pt>
                <c:pt idx="23">
                  <c:v>16.759182031333303</c:v>
                </c:pt>
                <c:pt idx="24">
                  <c:v>17.139689128902397</c:v>
                </c:pt>
                <c:pt idx="25">
                  <c:v>17.528835410116002</c:v>
                </c:pt>
                <c:pt idx="26">
                  <c:v>17.926817022416621</c:v>
                </c:pt>
                <c:pt idx="27">
                  <c:v>18.333834566655888</c:v>
                </c:pt>
                <c:pt idx="28">
                  <c:v>18.750093198206486</c:v>
                </c:pt>
                <c:pt idx="29">
                  <c:v>19.175802730369849</c:v>
                </c:pt>
                <c:pt idx="30">
                  <c:v>19.611177740131591</c:v>
                </c:pt>
                <c:pt idx="31">
                  <c:v>20.056437676318073</c:v>
                </c:pt>
                <c:pt idx="32">
                  <c:v>20.511806970208617</c:v>
                </c:pt>
                <c:pt idx="33">
                  <c:v>20.977515148659059</c:v>
                </c:pt>
                <c:pt idx="34">
                  <c:v>21.453796949793784</c:v>
                </c:pt>
                <c:pt idx="35">
                  <c:v>21.940892441324351</c:v>
                </c:pt>
                <c:pt idx="36">
                  <c:v>22.43904714155466</c:v>
                </c:pt>
                <c:pt idx="37">
                  <c:v>22.948512143133257</c:v>
                </c:pt>
                <c:pt idx="38">
                  <c:v>23.469544239615477</c:v>
                </c:pt>
                <c:pt idx="39">
                  <c:v>24.002406054899147</c:v>
                </c:pt>
                <c:pt idx="40">
                  <c:v>24.547366175598889</c:v>
                </c:pt>
                <c:pt idx="41">
                  <c:v>25.104699286426122</c:v>
                </c:pt>
                <c:pt idx="42">
                  <c:v>25.674686308642574</c:v>
                </c:pt>
                <c:pt idx="43">
                  <c:v>26.257614541657375</c:v>
                </c:pt>
                <c:pt idx="44">
                  <c:v>26.853777807839133</c:v>
                </c:pt>
                <c:pt idx="45">
                  <c:v>27.46347660061566</c:v>
                </c:pt>
                <c:pt idx="46">
                  <c:v>28.08701823593649</c:v>
                </c:pt>
                <c:pt idx="47">
                  <c:v>28.724717007173975</c:v>
                </c:pt>
                <c:pt idx="48">
                  <c:v>29.376894343541498</c:v>
                </c:pt>
                <c:pt idx="49">
                  <c:v>30.04387897210847</c:v>
                </c:pt>
                <c:pt idx="50">
                  <c:v>30.726007083493656</c:v>
                </c:pt>
                <c:pt idx="51">
                  <c:v>31.423622501320672</c:v>
                </c:pt>
                <c:pt idx="52">
                  <c:v>32.13707685552064</c:v>
                </c:pt>
                <c:pt idx="53">
                  <c:v>32.866729759569694</c:v>
                </c:pt>
                <c:pt idx="54">
                  <c:v>33.612948991750621</c:v>
                </c:pt>
                <c:pt idx="55">
                  <c:v>34.376110680529727</c:v>
                </c:pt>
                <c:pt idx="56">
                  <c:v>35.156599494142888</c:v>
                </c:pt>
                <c:pt idx="57">
                  <c:v>35.954808834485682</c:v>
                </c:pt>
                <c:pt idx="58">
                  <c:v>36.771141035405968</c:v>
                </c:pt>
                <c:pt idx="59">
                  <c:v>37.606007565498388</c:v>
                </c:pt>
                <c:pt idx="60">
                  <c:v>38.459829235503271</c:v>
                </c:pt>
                <c:pt idx="61">
                  <c:v>39.33303641041455</c:v>
                </c:pt>
                <c:pt idx="62">
                  <c:v>40.226069226403119</c:v>
                </c:pt>
                <c:pt idx="63">
                  <c:v>41.139377812665586</c:v>
                </c:pt>
                <c:pt idx="64">
                  <c:v>42.073422518309876</c:v>
                </c:pt>
                <c:pt idx="65">
                  <c:v>43.02867414439217</c:v>
                </c:pt>
                <c:pt idx="66">
                  <c:v>44.005614181222008</c:v>
                </c:pt>
                <c:pt idx="67">
                  <c:v>45.004735051055434</c:v>
                </c:pt>
                <c:pt idx="68">
                  <c:v>46.026540356298057</c:v>
                </c:pt>
                <c:pt idx="69">
                  <c:v>47.071545133343776</c:v>
                </c:pt>
                <c:pt idx="70">
                  <c:v>48.140276112176416</c:v>
                </c:pt>
                <c:pt idx="71">
                  <c:v>49.233271981865734</c:v>
                </c:pt>
                <c:pt idx="72">
                  <c:v>50.351083662091241</c:v>
                </c:pt>
                <c:pt idx="73">
                  <c:v>51.494274580830655</c:v>
                </c:pt>
                <c:pt idx="74">
                  <c:v>52.663420958353441</c:v>
                </c:pt>
                <c:pt idx="75">
                  <c:v>53.859112097661878</c:v>
                </c:pt>
                <c:pt idx="76">
                  <c:v>55.081950681526784</c:v>
                </c:pt>
                <c:pt idx="77">
                  <c:v>56.332553076266926</c:v>
                </c:pt>
                <c:pt idx="78">
                  <c:v>57.611549642425857</c:v>
                </c:pt>
                <c:pt idx="79">
                  <c:v>58.919585052502107</c:v>
                </c:pt>
                <c:pt idx="80">
                  <c:v>60.257318615893624</c:v>
                </c:pt>
                <c:pt idx="81">
                  <c:v>61.625424611219827</c:v>
                </c:pt>
                <c:pt idx="82">
                  <c:v>63.024592626188472</c:v>
                </c:pt>
                <c:pt idx="83">
                  <c:v>64.455527905179423</c:v>
                </c:pt>
                <c:pt idx="84">
                  <c:v>65.918951704719817</c:v>
                </c:pt>
                <c:pt idx="85">
                  <c:v>67.415601657030422</c:v>
                </c:pt>
                <c:pt idx="86">
                  <c:v>68.946232141825661</c:v>
                </c:pt>
                <c:pt idx="87">
                  <c:v>70.511614666555275</c:v>
                </c:pt>
                <c:pt idx="88">
                  <c:v>72.112538255279276</c:v>
                </c:pt>
                <c:pt idx="89">
                  <c:v>73.749809846372202</c:v>
                </c:pt>
                <c:pt idx="90">
                  <c:v>75.42425469925638</c:v>
                </c:pt>
                <c:pt idx="91">
                  <c:v>77.136716810370729</c:v>
                </c:pt>
                <c:pt idx="92">
                  <c:v>78.888059338582948</c:v>
                </c:pt>
                <c:pt idx="93">
                  <c:v>80.67916504026104</c:v>
                </c:pt>
                <c:pt idx="94">
                  <c:v>82.510936714222979</c:v>
                </c:pt>
                <c:pt idx="95">
                  <c:v>84.384297656787894</c:v>
                </c:pt>
                <c:pt idx="96">
                  <c:v>86.300192127160031</c:v>
                </c:pt>
                <c:pt idx="97">
                  <c:v>88.259585823377776</c:v>
                </c:pt>
                <c:pt idx="98">
                  <c:v>90.263466369070059</c:v>
                </c:pt>
                <c:pt idx="99">
                  <c:v>92.312843811263079</c:v>
                </c:pt>
                <c:pt idx="100">
                  <c:v>94.408751129490213</c:v>
                </c:pt>
                <c:pt idx="101">
                  <c:v>96.552244756460979</c:v>
                </c:pt>
                <c:pt idx="102">
                  <c:v>98.744405110550744</c:v>
                </c:pt>
                <c:pt idx="103">
                  <c:v>100.98633714038108</c:v>
                </c:pt>
                <c:pt idx="104">
                  <c:v>103.27917088176403</c:v>
                </c:pt>
                <c:pt idx="105">
                  <c:v>105.6240620272918</c:v>
                </c:pt>
                <c:pt idx="106">
                  <c:v>108.0221925088584</c:v>
                </c:pt>
                <c:pt idx="107">
                  <c:v>110.4747710934067</c:v>
                </c:pt>
                <c:pt idx="108">
                  <c:v>112.98303399220288</c:v>
                </c:pt>
                <c:pt idx="109">
                  <c:v>115.54824548394181</c:v>
                </c:pt>
                <c:pt idx="110">
                  <c:v>118.17169855200297</c:v>
                </c:pt>
                <c:pt idx="111">
                  <c:v>120.85471553617126</c:v>
                </c:pt>
                <c:pt idx="112">
                  <c:v>123.59864879915676</c:v>
                </c:pt>
                <c:pt idx="113">
                  <c:v>126.40488140824849</c:v>
                </c:pt>
                <c:pt idx="114">
                  <c:v>129.27482783244093</c:v>
                </c:pt>
                <c:pt idx="115">
                  <c:v>132.20993465539331</c:v>
                </c:pt>
                <c:pt idx="116">
                  <c:v>135.21168130457164</c:v>
                </c:pt>
                <c:pt idx="117">
                  <c:v>138.28158079694836</c:v>
                </c:pt>
                <c:pt idx="118">
                  <c:v>141.42118050163216</c:v>
                </c:pt>
                <c:pt idx="119">
                  <c:v>144.63206291981118</c:v>
                </c:pt>
                <c:pt idx="120">
                  <c:v>147.9158464824072</c:v>
                </c:pt>
                <c:pt idx="121">
                  <c:v>151.27418636583766</c:v>
                </c:pt>
                <c:pt idx="122">
                  <c:v>154.70877532629962</c:v>
                </c:pt>
                <c:pt idx="123">
                  <c:v>158.22134455299712</c:v>
                </c:pt>
                <c:pt idx="124">
                  <c:v>161.81366454073756</c:v>
                </c:pt>
                <c:pt idx="125">
                  <c:v>165.48754598234368</c:v>
                </c:pt>
                <c:pt idx="126">
                  <c:v>169.24484068132415</c:v>
                </c:pt>
                <c:pt idx="127">
                  <c:v>173.08744248526594</c:v>
                </c:pt>
                <c:pt idx="128">
                  <c:v>177.01728824042243</c:v>
                </c:pt>
                <c:pt idx="129">
                  <c:v>181.03635876796847</c:v>
                </c:pt>
                <c:pt idx="130">
                  <c:v>185.14667986242827</c:v>
                </c:pt>
                <c:pt idx="131">
                  <c:v>189.3503233127646</c:v>
                </c:pt>
                <c:pt idx="132">
                  <c:v>193.64940794665668</c:v>
                </c:pt>
                <c:pt idx="133">
                  <c:v>198.04610069848653</c:v>
                </c:pt>
                <c:pt idx="134">
                  <c:v>202.5426177015697</c:v>
                </c:pt>
                <c:pt idx="135">
                  <c:v>207.14122540519048</c:v>
                </c:pt>
                <c:pt idx="136">
                  <c:v>211.84424171699328</c:v>
                </c:pt>
                <c:pt idx="137">
                  <c:v>216.65403717131503</c:v>
                </c:pt>
                <c:pt idx="138">
                  <c:v>221.57303612404195</c:v>
                </c:pt>
                <c:pt idx="139">
                  <c:v>226.60371797459419</c:v>
                </c:pt>
                <c:pt idx="140">
                  <c:v>231.74861841565829</c:v>
                </c:pt>
                <c:pt idx="141">
                  <c:v>237.01033071128947</c:v>
                </c:pt>
                <c:pt idx="142">
                  <c:v>242.39150700403647</c:v>
                </c:pt>
                <c:pt idx="143">
                  <c:v>247.8948596517416</c:v>
                </c:pt>
                <c:pt idx="144">
                  <c:v>253.52316259469112</c:v>
                </c:pt>
                <c:pt idx="145">
                  <c:v>259.27925275381034</c:v>
                </c:pt>
                <c:pt idx="146">
                  <c:v>265.16603146059816</c:v>
                </c:pt>
                <c:pt idx="147">
                  <c:v>271.18646591953211</c:v>
                </c:pt>
                <c:pt idx="148">
                  <c:v>277.34359070367395</c:v>
                </c:pt>
                <c:pt idx="149">
                  <c:v>283.64050928423097</c:v>
                </c:pt>
                <c:pt idx="150">
                  <c:v>290.08039559485076</c:v>
                </c:pt>
                <c:pt idx="151">
                  <c:v>296.66649563142352</c:v>
                </c:pt>
                <c:pt idx="152">
                  <c:v>303.40212908821462</c:v>
                </c:pt>
                <c:pt idx="153">
                  <c:v>310.29069103114273</c:v>
                </c:pt>
                <c:pt idx="154">
                  <c:v>317.33565360904294</c:v>
                </c:pt>
                <c:pt idx="155">
                  <c:v>324.54056780379432</c:v>
                </c:pt>
                <c:pt idx="156">
                  <c:v>331.90906522016979</c:v>
                </c:pt>
                <c:pt idx="157">
                  <c:v>339.44485991633542</c:v>
                </c:pt>
                <c:pt idx="158">
                  <c:v>347.15175027590294</c:v>
                </c:pt>
                <c:pt idx="159">
                  <c:v>355.03362092248625</c:v>
                </c:pt>
                <c:pt idx="160">
                  <c:v>363.09444467773227</c:v>
                </c:pt>
                <c:pt idx="161">
                  <c:v>371.33828456380047</c:v>
                </c:pt>
                <c:pt idx="162">
                  <c:v>379.76929585131342</c:v>
                </c:pt>
                <c:pt idx="163">
                  <c:v>388.39172815380175</c:v>
                </c:pt>
                <c:pt idx="164">
                  <c:v>397.20992756970054</c:v>
                </c:pt>
                <c:pt idx="165">
                  <c:v>406.22833887298515</c:v>
                </c:pt>
                <c:pt idx="166">
                  <c:v>415.45150775353579</c:v>
                </c:pt>
                <c:pt idx="167">
                  <c:v>424.88408310837343</c:v>
                </c:pt>
                <c:pt idx="168">
                  <c:v>434.53081938491835</c:v>
                </c:pt>
                <c:pt idx="169">
                  <c:v>444.39657897744132</c:v>
                </c:pt>
                <c:pt idx="170">
                  <c:v>454.4863346779407</c:v>
                </c:pt>
                <c:pt idx="171">
                  <c:v>464.80517218264703</c:v>
                </c:pt>
                <c:pt idx="172">
                  <c:v>475.35829265545095</c:v>
                </c:pt>
                <c:pt idx="173">
                  <c:v>486.15101534952782</c:v>
                </c:pt>
                <c:pt idx="174">
                  <c:v>497.18878028847678</c:v>
                </c:pt>
                <c:pt idx="175">
                  <c:v>508.47715100834768</c:v>
                </c:pt>
                <c:pt idx="176">
                  <c:v>520.02181736191153</c:v>
                </c:pt>
                <c:pt idx="177">
                  <c:v>531.82859838660806</c:v>
                </c:pt>
                <c:pt idx="178">
                  <c:v>543.90344523760564</c:v>
                </c:pt>
                <c:pt idx="179">
                  <c:v>556.25244418745012</c:v>
                </c:pt>
                <c:pt idx="180">
                  <c:v>568.88181969383027</c:v>
                </c:pt>
                <c:pt idx="181">
                  <c:v>581.79793753698118</c:v>
                </c:pt>
                <c:pt idx="182">
                  <c:v>595.00730802833243</c:v>
                </c:pt>
                <c:pt idx="183">
                  <c:v>608.51658929199937</c:v>
                </c:pt>
                <c:pt idx="184">
                  <c:v>622.33259062077764</c:v>
                </c:pt>
                <c:pt idx="185">
                  <c:v>636.46227590834371</c:v>
                </c:pt>
                <c:pt idx="186">
                  <c:v>650.91276715936772</c:v>
                </c:pt>
                <c:pt idx="187">
                  <c:v>665.6913480793321</c:v>
                </c:pt>
                <c:pt idx="188">
                  <c:v>680.80546774585071</c:v>
                </c:pt>
                <c:pt idx="189">
                  <c:v>696.26274436333722</c:v>
                </c:pt>
                <c:pt idx="190">
                  <c:v>712.07096910293831</c:v>
                </c:pt>
                <c:pt idx="191">
                  <c:v>728.23811002962589</c:v>
                </c:pt>
                <c:pt idx="192">
                  <c:v>744.77231611847253</c:v>
                </c:pt>
                <c:pt idx="193">
                  <c:v>761.68192136210757</c:v>
                </c:pt>
                <c:pt idx="194">
                  <c:v>778.97544897141847</c:v>
                </c:pt>
                <c:pt idx="195">
                  <c:v>796.6616156716517</c:v>
                </c:pt>
                <c:pt idx="196">
                  <c:v>814.74933609602397</c:v>
                </c:pt>
                <c:pt idx="197">
                  <c:v>833.24772727911602</c:v>
                </c:pt>
                <c:pt idx="198">
                  <c:v>852.16611325226495</c:v>
                </c:pt>
                <c:pt idx="199">
                  <c:v>871.51402974330347</c:v>
                </c:pt>
                <c:pt idx="200">
                  <c:v>891.30122898300249</c:v>
                </c:pt>
                <c:pt idx="201">
                  <c:v>911.53768462063488</c:v>
                </c:pt>
                <c:pt idx="202">
                  <c:v>932.23359675115444</c:v>
                </c:pt>
                <c:pt idx="203">
                  <c:v>953.39939705650295</c:v>
                </c:pt>
                <c:pt idx="204">
                  <c:v>975.04575406365495</c:v>
                </c:pt>
                <c:pt idx="205">
                  <c:v>997.1835785220436</c:v>
                </c:pt>
                <c:pt idx="206">
                  <c:v>1019.8240289030692</c:v>
                </c:pt>
                <c:pt idx="207">
                  <c:v>1042.978517024485</c:v>
                </c:pt>
                <c:pt idx="208">
                  <c:v>1066.6587138024611</c:v>
                </c:pt>
                <c:pt idx="209">
                  <c:v>1090.876555134271</c:v>
                </c:pt>
                <c:pt idx="210">
                  <c:v>1115.6442479145194</c:v>
                </c:pt>
                <c:pt idx="211">
                  <c:v>1140.9742761879713</c:v>
                </c:pt>
                <c:pt idx="212">
                  <c:v>1166.8794074420862</c:v>
                </c:pt>
                <c:pt idx="213">
                  <c:v>1193.3726990424052</c:v>
                </c:pt>
                <c:pt idx="214">
                  <c:v>1220.4675048140618</c:v>
                </c:pt>
                <c:pt idx="215">
                  <c:v>1248.1774817727201</c:v>
                </c:pt>
                <c:pt idx="216">
                  <c:v>1276.5165970083247</c:v>
                </c:pt>
                <c:pt idx="217">
                  <c:v>1305.4991347251598</c:v>
                </c:pt>
                <c:pt idx="218">
                  <c:v>1335.1397034417289</c:v>
                </c:pt>
                <c:pt idx="219">
                  <c:v>1365.4532433541208</c:v>
                </c:pt>
                <c:pt idx="220">
                  <c:v>1396.4550338665483</c:v>
                </c:pt>
                <c:pt idx="221">
                  <c:v>1428.1607012928498</c:v>
                </c:pt>
                <c:pt idx="222">
                  <c:v>1460.586226732886</c:v>
                </c:pt>
                <c:pt idx="223">
                  <c:v>1493.7479541277221</c:v>
                </c:pt>
                <c:pt idx="224">
                  <c:v>1527.6625984977304</c:v>
                </c:pt>
                <c:pt idx="225">
                  <c:v>1562.347254367716</c:v>
                </c:pt>
                <c:pt idx="226">
                  <c:v>1597.8194043833332</c:v>
                </c:pt>
                <c:pt idx="227">
                  <c:v>1634.0969281231435</c:v>
                </c:pt>
                <c:pt idx="228">
                  <c:v>1671.1981111107257</c:v>
                </c:pt>
                <c:pt idx="229">
                  <c:v>1709.1416540314265</c:v>
                </c:pt>
                <c:pt idx="230">
                  <c:v>1747.9466821583385</c:v>
                </c:pt>
                <c:pt idx="231">
                  <c:v>1787.632754992328</c:v>
                </c:pt>
                <c:pt idx="232">
                  <c:v>1828.2198761209047</c:v>
                </c:pt>
                <c:pt idx="233">
                  <c:v>1869.728503300935</c:v>
                </c:pt>
                <c:pt idx="234">
                  <c:v>1912.1795587702984</c:v>
                </c:pt>
                <c:pt idx="235">
                  <c:v>1955.594439793626</c:v>
                </c:pt>
                <c:pt idx="236">
                  <c:v>1999.99502944752</c:v>
                </c:pt>
                <c:pt idx="237">
                  <c:v>2045.4037076506031</c:v>
                </c:pt>
                <c:pt idx="238">
                  <c:v>2091.8433624440217</c:v>
                </c:pt>
                <c:pt idx="239">
                  <c:v>2139.3374015280665</c:v>
                </c:pt>
                <c:pt idx="240">
                  <c:v>2187.9097640607069</c:v>
                </c:pt>
                <c:pt idx="241">
                  <c:v>2237.5849327240294</c:v>
                </c:pt>
                <c:pt idx="242">
                  <c:v>2288.3879460646176</c:v>
                </c:pt>
                <c:pt idx="243">
                  <c:v>2340.3444111141148</c:v>
                </c:pt>
                <c:pt idx="244">
                  <c:v>2393.4805162963448</c:v>
                </c:pt>
                <c:pt idx="245">
                  <c:v>2447.8230446274665</c:v>
                </c:pt>
                <c:pt idx="246">
                  <c:v>2503.399387215818</c:v>
                </c:pt>
                <c:pt idx="247">
                  <c:v>2560.2375570683125</c:v>
                </c:pt>
                <c:pt idx="248">
                  <c:v>2618.3662032102343</c:v>
                </c:pt>
                <c:pt idx="249">
                  <c:v>2677.8146251256858</c:v>
                </c:pt>
                <c:pt idx="250">
                  <c:v>2738.612787525833</c:v>
                </c:pt>
                <c:pt idx="251">
                  <c:v>2800.7913354525026</c:v>
                </c:pt>
                <c:pt idx="252">
                  <c:v>2864.3816097246759</c:v>
                </c:pt>
                <c:pt idx="253">
                  <c:v>2929.4156627356683</c:v>
                </c:pt>
                <c:pt idx="254">
                  <c:v>2995.9262746090267</c:v>
                </c:pt>
                <c:pt idx="255">
                  <c:v>3063.946969721183</c:v>
                </c:pt>
                <c:pt idx="256">
                  <c:v>3133.5120335992765</c:v>
                </c:pt>
                <c:pt idx="257">
                  <c:v>3204.6565302025997</c:v>
                </c:pt>
                <c:pt idx="258">
                  <c:v>3277.4163195964616</c:v>
                </c:pt>
                <c:pt idx="259">
                  <c:v>3351.8280760272733</c:v>
                </c:pt>
                <c:pt idx="260">
                  <c:v>3427.9293064080407</c:v>
                </c:pt>
                <c:pt idx="261">
                  <c:v>3505.7583692235708</c:v>
                </c:pt>
                <c:pt idx="262">
                  <c:v>3585.3544938648442</c:v>
                </c:pt>
                <c:pt idx="263">
                  <c:v>3666.7578004024881</c:v>
                </c:pt>
                <c:pt idx="264">
                  <c:v>3750.0093198090685</c:v>
                </c:pt>
                <c:pt idx="265">
                  <c:v>3835.151014640589</c:v>
                </c:pt>
                <c:pt idx="266">
                  <c:v>3922.2258001875025</c:v>
                </c:pt>
                <c:pt idx="267">
                  <c:v>4011.2775661060091</c:v>
                </c:pt>
                <c:pt idx="268">
                  <c:v>4102.3511985404248</c:v>
                </c:pt>
                <c:pt idx="269">
                  <c:v>4195.4926027478168</c:v>
                </c:pt>
                <c:pt idx="270">
                  <c:v>4290.7487262363884</c:v>
                </c:pt>
                <c:pt idx="271">
                  <c:v>4388.1675824291315</c:v>
                </c:pt>
                <c:pt idx="272">
                  <c:v>4487.7982748647837</c:v>
                </c:pt>
                <c:pt idx="273">
                  <c:v>4589.6910219482543</c:v>
                </c:pt>
                <c:pt idx="274">
                  <c:v>4693.8971822629583</c:v>
                </c:pt>
                <c:pt idx="275">
                  <c:v>4800.4692804579345</c:v>
                </c:pt>
                <c:pt idx="276">
                  <c:v>4909.4610337225949</c:v>
                </c:pt>
                <c:pt idx="277">
                  <c:v>5020.9273788626915</c:v>
                </c:pt>
                <c:pt idx="278">
                  <c:v>5134.9244999909452</c:v>
                </c:pt>
                <c:pt idx="279">
                  <c:v>5251.5098568463663</c:v>
                </c:pt>
                <c:pt idx="280">
                  <c:v>5370.7422137566327</c:v>
                </c:pt>
                <c:pt idx="281">
                  <c:v>5492.6816692579541</c:v>
                </c:pt>
                <c:pt idx="282">
                  <c:v>5617.3896863874743</c:v>
                </c:pt>
                <c:pt idx="283">
                  <c:v>5744.9291236634563</c:v>
                </c:pt>
                <c:pt idx="284">
                  <c:v>5875.36426676879</c:v>
                </c:pt>
                <c:pt idx="285">
                  <c:v>6008.7608609539793</c:v>
                </c:pt>
                <c:pt idx="286">
                  <c:v>6145.1861441756591</c:v>
                </c:pt>
                <c:pt idx="287">
                  <c:v>6284.7088809876659</c:v>
                </c:pt>
                <c:pt idx="288">
                  <c:v>6427.3993972014232</c:v>
                </c:pt>
                <c:pt idx="289">
                  <c:v>6573.3296153334268</c:v>
                </c:pt>
                <c:pt idx="290">
                  <c:v>6722.5730908574196</c:v>
                </c:pt>
                <c:pt idx="291">
                  <c:v>6875.2050492797189</c:v>
                </c:pt>
                <c:pt idx="292">
                  <c:v>7031.3024240562863</c:v>
                </c:pt>
                <c:pt idx="293">
                  <c:v>7190.9438953707131</c:v>
                </c:pt>
                <c:pt idx="294">
                  <c:v>7354.2099297925597</c:v>
                </c:pt>
                <c:pt idx="295">
                  <c:v>7521.1828208362595</c:v>
                </c:pt>
                <c:pt idx="296">
                  <c:v>7691.9467304406944</c:v>
                </c:pt>
                <c:pt idx="297">
                  <c:v>7866.5877313907367</c:v>
                </c:pt>
                <c:pt idx="298">
                  <c:v>8045.1938507017967</c:v>
                </c:pt>
                <c:pt idx="299">
                  <c:v>8227.8551139894571</c:v>
                </c:pt>
                <c:pt idx="300">
                  <c:v>8414.6635908465178</c:v>
                </c:pt>
                <c:pt idx="301">
                  <c:v>8605.7134412501382</c:v>
                </c:pt>
                <c:pt idx="302">
                  <c:v>8801.1009630229328</c:v>
                </c:pt>
                <c:pt idx="303">
                  <c:v>9000.9246403713387</c:v>
                </c:pt>
                <c:pt idx="304">
                  <c:v>9205.2851935261697</c:v>
                </c:pt>
                <c:pt idx="305">
                  <c:v>9414.2856295102138</c:v>
                </c:pt>
                <c:pt idx="306">
                  <c:v>9628.0312940583954</c:v>
                </c:pt>
                <c:pt idx="307">
                  <c:v>9846.6299247169245</c:v>
                </c:pt>
                <c:pt idx="308">
                  <c:v>10070.191705147858</c:v>
                </c:pt>
                <c:pt idx="309">
                  <c:v>10298.829320666689</c:v>
                </c:pt>
                <c:pt idx="310">
                  <c:v>10532.658015040912</c:v>
                </c:pt>
                <c:pt idx="311">
                  <c:v>10771.795648578058</c:v>
                </c:pt>
                <c:pt idx="312">
                  <c:v>11016.362757532679</c:v>
                </c:pt>
                <c:pt idx="313">
                  <c:v>11266.482614862223</c:v>
                </c:pt>
                <c:pt idx="314">
                  <c:v>11522.281292362064</c:v>
                </c:pt>
                <c:pt idx="315">
                  <c:v>11783.887724211459</c:v>
                </c:pt>
                <c:pt idx="316">
                  <c:v>12051.433771962274</c:v>
                </c:pt>
                <c:pt idx="317">
                  <c:v>12325.054291003262</c:v>
                </c:pt>
                <c:pt idx="318">
                  <c:v>12604.887198533173</c:v>
                </c:pt>
                <c:pt idx="319">
                  <c:v>12891.073543077438</c:v>
                </c:pt>
                <c:pt idx="320">
                  <c:v>13183.757575583064</c:v>
                </c:pt>
                <c:pt idx="321">
                  <c:v>13483.086822127494</c:v>
                </c:pt>
                <c:pt idx="322">
                  <c:v>13789.212158278591</c:v>
                </c:pt>
                <c:pt idx="323">
                  <c:v>14102.2878851429</c:v>
                </c:pt>
                <c:pt idx="324">
                  <c:v>14422.471807140251</c:v>
                </c:pt>
                <c:pt idx="325">
                  <c:v>14749.925311544413</c:v>
                </c:pt>
                <c:pt idx="326">
                  <c:v>15084.813449829649</c:v>
                </c:pt>
                <c:pt idx="327">
                  <c:v>15427.305020864254</c:v>
                </c:pt>
                <c:pt idx="328">
                  <c:v>15777.572655992688</c:v>
                </c:pt>
                <c:pt idx="329">
                  <c:v>16135.792906049788</c:v>
                </c:pt>
                <c:pt idx="330">
                  <c:v>16502.146330350464</c:v>
                </c:pt>
                <c:pt idx="331">
                  <c:v>16876.817587699592</c:v>
                </c:pt>
                <c:pt idx="332">
                  <c:v>17259.995529468633</c:v>
                </c:pt>
                <c:pt idx="333">
                  <c:v>17651.87329478523</c:v>
                </c:pt>
                <c:pt idx="334">
                  <c:v>18052.648407884331</c:v>
                </c:pt>
                <c:pt idx="335">
                  <c:v>18462.522877669137</c:v>
                </c:pt>
                <c:pt idx="336">
                  <c:v>18881.703299532834</c:v>
                </c:pt>
                <c:pt idx="337">
                  <c:v>19310.400959492214</c:v>
                </c:pt>
                <c:pt idx="338">
                  <c:v>19748.831940685341</c:v>
                </c:pt>
                <c:pt idx="339">
                  <c:v>20197.217232287308</c:v>
                </c:pt>
                <c:pt idx="340">
                  <c:v>20655.782840898886</c:v>
                </c:pt>
                <c:pt idx="341">
                  <c:v>21124.75990446403</c:v>
                </c:pt>
                <c:pt idx="342">
                  <c:v>21604.38480877403</c:v>
                </c:pt>
                <c:pt idx="343">
                  <c:v>22094.899306616593</c:v>
                </c:pt>
                <c:pt idx="344">
                  <c:v>22596.55063963055</c:v>
                </c:pt>
                <c:pt idx="345">
                  <c:v>23109.591662926563</c:v>
                </c:pt>
                <c:pt idx="346">
                  <c:v>23634.280972537661</c:v>
                </c:pt>
                <c:pt idx="347">
                  <c:v>24170.883035763603</c:v>
                </c:pt>
                <c:pt idx="348">
                  <c:v>24719.668324474336</c:v>
                </c:pt>
                <c:pt idx="349">
                  <c:v>25280.913451439948</c:v>
                </c:pt>
                <c:pt idx="350">
                  <c:v>25854.901309756573</c:v>
                </c:pt>
                <c:pt idx="351">
                  <c:v>26441.921215436825</c:v>
                </c:pt>
                <c:pt idx="352">
                  <c:v>27042.269053238542</c:v>
                </c:pt>
                <c:pt idx="353">
                  <c:v>27656.24742580418</c:v>
                </c:pt>
                <c:pt idx="354">
                  <c:v>28284.165806186429</c:v>
                </c:pt>
                <c:pt idx="355">
                  <c:v>28926.340693836326</c:v>
                </c:pt>
                <c:pt idx="356">
                  <c:v>29583.095774133679</c:v>
                </c:pt>
                <c:pt idx="357">
                  <c:v>30254.762081539331</c:v>
                </c:pt>
                <c:pt idx="358">
                  <c:v>30941.67816645126</c:v>
                </c:pt>
                <c:pt idx="359">
                  <c:v>31644.190265849677</c:v>
                </c:pt>
                <c:pt idx="360">
                  <c:v>32362.652477816322</c:v>
                </c:pt>
                <c:pt idx="361">
                  <c:v>33097.426940015546</c:v>
                </c:pt>
                <c:pt idx="362">
                  <c:v>33848.884012228533</c:v>
                </c:pt>
                <c:pt idx="363">
                  <c:v>34617.402463031474</c:v>
                </c:pt>
                <c:pt idx="364">
                  <c:v>35403.369660712313</c:v>
                </c:pt>
                <c:pt idx="365">
                  <c:v>36207.181768521514</c:v>
                </c:pt>
                <c:pt idx="366">
                  <c:v>37029.243944356742</c:v>
                </c:pt>
                <c:pt idx="367">
                  <c:v>37869.970544980999</c:v>
                </c:pt>
                <c:pt idx="368">
                  <c:v>38729.785334876869</c:v>
                </c:pt>
                <c:pt idx="369">
                  <c:v>39609.121699843497</c:v>
                </c:pt>
                <c:pt idx="370">
                  <c:v>40508.422865442823</c:v>
                </c:pt>
                <c:pt idx="371">
                  <c:v>41428.142120404926</c:v>
                </c:pt>
                <c:pt idx="372">
                  <c:v>42368.743045106545</c:v>
                </c:pt>
                <c:pt idx="373">
                  <c:v>43330.699745236816</c:v>
                </c:pt>
                <c:pt idx="374">
                  <c:v>44314.49709076788</c:v>
                </c:pt>
                <c:pt idx="375">
                  <c:v>45320.630960351591</c:v>
                </c:pt>
                <c:pt idx="376">
                  <c:v>46349.608491264604</c:v>
                </c:pt>
                <c:pt idx="377">
                  <c:v>47401.948335029134</c:v>
                </c:pt>
                <c:pt idx="378">
                  <c:v>48478.180918836617</c:v>
                </c:pt>
                <c:pt idx="379">
                  <c:v>49578.848712907231</c:v>
                </c:pt>
                <c:pt idx="380">
                  <c:v>50704.506503919714</c:v>
                </c:pt>
                <c:pt idx="381">
                  <c:v>51855.721674648783</c:v>
                </c:pt>
                <c:pt idx="382">
                  <c:v>53033.074489952189</c:v>
                </c:pt>
                <c:pt idx="383">
                  <c:v>54237.15838925034</c:v>
                </c:pt>
                <c:pt idx="384">
                  <c:v>55468.580285647426</c:v>
                </c:pt>
                <c:pt idx="385">
                  <c:v>56727.960871842544</c:v>
                </c:pt>
                <c:pt idx="386">
                  <c:v>58015.93493298722</c:v>
                </c:pt>
                <c:pt idx="387">
                  <c:v>59333.15166664603</c:v>
                </c:pt>
                <c:pt idx="388">
                  <c:v>60680.275010022335</c:v>
                </c:pt>
                <c:pt idx="389">
                  <c:v>62057.983974611983</c:v>
                </c:pt>
                <c:pt idx="390">
                  <c:v>63466.972988456575</c:v>
                </c:pt>
                <c:pt idx="391">
                  <c:v>64907.952246166438</c:v>
                </c:pt>
                <c:pt idx="392">
                  <c:v>66381.648066891212</c:v>
                </c:pt>
                <c:pt idx="393">
                  <c:v>67888.803260417917</c:v>
                </c:pt>
                <c:pt idx="394">
                  <c:v>69430.177501581129</c:v>
                </c:pt>
                <c:pt idx="395">
                  <c:v>71006.547713172738</c:v>
                </c:pt>
                <c:pt idx="396">
                  <c:v>72618.708457547255</c:v>
                </c:pt>
                <c:pt idx="397">
                  <c:v>74267.472337117026</c:v>
                </c:pt>
                <c:pt idx="398">
                  <c:v>75953.670403941214</c:v>
                </c:pt>
                <c:pt idx="399">
                  <c:v>77678.152578613517</c:v>
                </c:pt>
                <c:pt idx="400">
                  <c:v>79441.788078660975</c:v>
                </c:pt>
                <c:pt idx="401">
                  <c:v>81245.465856669281</c:v>
                </c:pt>
                <c:pt idx="402">
                  <c:v>83090.095048354851</c:v>
                </c:pt>
                <c:pt idx="403">
                  <c:v>84976.605430811222</c:v>
                </c:pt>
                <c:pt idx="404">
                  <c:v>86905.947891159303</c:v>
                </c:pt>
                <c:pt idx="405">
                  <c:v>88879.094905836566</c:v>
                </c:pt>
                <c:pt idx="406">
                  <c:v>90897.041030770401</c:v>
                </c:pt>
                <c:pt idx="407">
                  <c:v>92960.803402679259</c:v>
                </c:pt>
                <c:pt idx="408">
                  <c:v>95071.422251756216</c:v>
                </c:pt>
                <c:pt idx="409">
                  <c:v>97229.961425991962</c:v>
                </c:pt>
                <c:pt idx="410">
                  <c:v>99437.508927402756</c:v>
                </c:pt>
                <c:pt idx="411">
                  <c:v>101695.17746043294</c:v>
                </c:pt>
                <c:pt idx="412">
                  <c:v>104004.10499280889</c:v>
                </c:pt>
                <c:pt idx="413">
                  <c:v>106365.45532912573</c:v>
                </c:pt>
                <c:pt idx="414">
                  <c:v>108780.41869745926</c:v>
                </c:pt>
                <c:pt idx="415">
                  <c:v>111250.21234929342</c:v>
                </c:pt>
                <c:pt idx="416">
                  <c:v>113776.08117307216</c:v>
                </c:pt>
                <c:pt idx="417">
                  <c:v>116359.298321678</c:v>
                </c:pt>
                <c:pt idx="418">
                  <c:v>119001.16585416152</c:v>
                </c:pt>
                <c:pt idx="419">
                  <c:v>121703.01539203554</c:v>
                </c:pt>
                <c:pt idx="420">
                  <c:v>124466.20879047523</c:v>
                </c:pt>
                <c:pt idx="421">
                  <c:v>127292.1388247541</c:v>
                </c:pt>
                <c:pt idx="422">
                  <c:v>130182.22989226661</c:v>
                </c:pt>
                <c:pt idx="423">
                  <c:v>133137.93873048807</c:v>
                </c:pt>
                <c:pt idx="424">
                  <c:v>136160.75515123925</c:v>
                </c:pt>
                <c:pt idx="425">
                  <c:v>139252.20279161647</c:v>
                </c:pt>
                <c:pt idx="426">
                  <c:v>142413.83988197561</c:v>
                </c:pt>
                <c:pt idx="427">
                  <c:v>145647.26003135077</c:v>
                </c:pt>
                <c:pt idx="428">
                  <c:v>148954.09303070631</c:v>
                </c:pt>
                <c:pt idx="429">
                  <c:v>152336.00567442531</c:v>
                </c:pt>
                <c:pt idx="430">
                  <c:v>155794.70260044868</c:v>
                </c:pt>
                <c:pt idx="431">
                  <c:v>159331.92714949336</c:v>
                </c:pt>
                <c:pt idx="432">
                  <c:v>162949.46224377144</c:v>
                </c:pt>
                <c:pt idx="433">
                  <c:v>166649.13128566727</c:v>
                </c:pt>
                <c:pt idx="434">
                  <c:v>170432.79907681391</c:v>
                </c:pt>
                <c:pt idx="435">
                  <c:v>174302.37275803846</c:v>
                </c:pt>
                <c:pt idx="436">
                  <c:v>178259.80277064658</c:v>
                </c:pt>
                <c:pt idx="437">
                  <c:v>182307.08383953688</c:v>
                </c:pt>
                <c:pt idx="438">
                  <c:v>186446.25597862891</c:v>
                </c:pt>
                <c:pt idx="439">
                  <c:v>190679.40551912665</c:v>
                </c:pt>
                <c:pt idx="440">
                  <c:v>195008.66616112238</c:v>
                </c:pt>
                <c:pt idx="441">
                  <c:v>199436.22004907776</c:v>
                </c:pt>
                <c:pt idx="442">
                  <c:v>203964.29887172856</c:v>
                </c:pt>
                <c:pt idx="443">
                  <c:v>208595.18498695115</c:v>
                </c:pt>
                <c:pt idx="444">
                  <c:v>213331.21257218067</c:v>
                </c:pt>
                <c:pt idx="445">
                  <c:v>218174.76880093754</c:v>
                </c:pt>
                <c:pt idx="446">
                  <c:v>223128.29504607571</c:v>
                </c:pt>
                <c:pt idx="447">
                  <c:v>228194.28811034223</c:v>
                </c:pt>
                <c:pt idx="448">
                  <c:v>233375.30148488394</c:v>
                </c:pt>
                <c:pt idx="449">
                  <c:v>238673.94663631794</c:v>
                </c:pt>
                <c:pt idx="450">
                  <c:v>244092.89432303383</c:v>
                </c:pt>
                <c:pt idx="451">
                  <c:v>249634.87594137577</c:v>
                </c:pt>
                <c:pt idx="452">
                  <c:v>255302.68490239116</c:v>
                </c:pt>
                <c:pt idx="453">
                  <c:v>261099.17803983504</c:v>
                </c:pt>
                <c:pt idx="454">
                  <c:v>267027.2770501491</c:v>
                </c:pt>
                <c:pt idx="455">
                  <c:v>273089.96996512386</c:v>
                </c:pt>
                <c:pt idx="456">
                  <c:v>279290.31265800545</c:v>
                </c:pt>
                <c:pt idx="457">
                  <c:v>285631.43038379832</c:v>
                </c:pt>
                <c:pt idx="458">
                  <c:v>292116.5193545277</c:v>
                </c:pt>
                <c:pt idx="459">
                  <c:v>298748.84835028485</c:v>
                </c:pt>
                <c:pt idx="460">
                  <c:v>305531.760366834</c:v>
                </c:pt>
                <c:pt idx="461">
                  <c:v>312468.67430064117</c:v>
                </c:pt>
                <c:pt idx="462">
                  <c:v>319563.08667214628</c:v>
                </c:pt>
                <c:pt idx="463">
                  <c:v>326818.57338817505</c:v>
                </c:pt>
                <c:pt idx="464">
                  <c:v>334238.79154435318</c:v>
                </c:pt>
                <c:pt idx="465">
                  <c:v>341827.48126845621</c:v>
                </c:pt>
                <c:pt idx="466">
                  <c:v>349588.46760559571</c:v>
                </c:pt>
                <c:pt idx="467">
                  <c:v>357525.66244622285</c:v>
                </c:pt>
                <c:pt idx="468">
                  <c:v>365643.06649789691</c:v>
                </c:pt>
                <c:pt idx="469">
                  <c:v>373944.77130182204</c:v>
                </c:pt>
                <c:pt idx="470">
                  <c:v>382434.96129517414</c:v>
                </c:pt>
                <c:pt idx="471">
                  <c:v>391117.91592024517</c:v>
                </c:pt>
                <c:pt idx="472">
                  <c:v>399998.01178147894</c:v>
                </c:pt>
                <c:pt idx="473">
                  <c:v>409079.72485147341</c:v>
                </c:pt>
                <c:pt idx="474">
                  <c:v>418367.63272708294</c:v>
                </c:pt>
                <c:pt idx="475">
                  <c:v>427866.41693673015</c:v>
                </c:pt>
                <c:pt idx="476">
                  <c:v>437580.8653001113</c:v>
                </c:pt>
                <c:pt idx="477">
                  <c:v>447515.87434147176</c:v>
                </c:pt>
                <c:pt idx="478">
                  <c:v>457676.4517576854</c:v>
                </c:pt>
                <c:pt idx="479">
                  <c:v>468067.71894235123</c:v>
                </c:pt>
                <c:pt idx="480">
                  <c:v>478694.9135672173</c:v>
                </c:pt>
                <c:pt idx="481">
                  <c:v>489563.39222220273</c:v>
                </c:pt>
                <c:pt idx="482">
                  <c:v>500678.63311536022</c:v>
                </c:pt>
                <c:pt idx="483">
                  <c:v>512046.23883414851</c:v>
                </c:pt>
                <c:pt idx="484">
                  <c:v>523671.93916938337</c:v>
                </c:pt>
                <c:pt idx="485">
                  <c:v>535561.59400332405</c:v>
                </c:pt>
                <c:pt idx="486">
                  <c:v>547721.19626330771</c:v>
                </c:pt>
                <c:pt idx="487">
                  <c:v>560156.87494246813</c:v>
                </c:pt>
                <c:pt idx="488">
                  <c:v>572874.89818902221</c:v>
                </c:pt>
                <c:pt idx="489">
                  <c:v>585881.67646570539</c:v>
                </c:pt>
                <c:pt idx="490">
                  <c:v>599183.76578092726</c:v>
                </c:pt>
                <c:pt idx="491">
                  <c:v>612787.87099331617</c:v>
                </c:pt>
                <c:pt idx="492">
                  <c:v>626700.84919125366</c:v>
                </c:pt>
                <c:pt idx="493">
                  <c:v>640929.713149174</c:v>
                </c:pt>
                <c:pt idx="494">
                  <c:v>655481.6348623113</c:v>
                </c:pt>
                <c:pt idx="495">
                  <c:v>670363.94916171953</c:v>
                </c:pt>
                <c:pt idx="496">
                  <c:v>685584.15741135832</c:v>
                </c:pt>
                <c:pt idx="497">
                  <c:v>701149.9312891165</c:v>
                </c:pt>
                <c:pt idx="498">
                  <c:v>717069.11665370094</c:v>
                </c:pt>
                <c:pt idx="499">
                  <c:v>733349.73749928898</c:v>
                </c:pt>
                <c:pt idx="500">
                  <c:v>750000.00000000047</c:v>
                </c:pt>
              </c:numCache>
            </c:numRef>
          </c:xVal>
          <c:yVal>
            <c:numRef>
              <c:f>'Small Signal'!$AE$4:$AE$504</c:f>
              <c:numCache>
                <c:formatCode>##0.0E+0</c:formatCode>
                <c:ptCount val="501"/>
                <c:pt idx="0">
                  <c:v>92.773638845367245</c:v>
                </c:pt>
                <c:pt idx="1">
                  <c:v>92.749550976358293</c:v>
                </c:pt>
                <c:pt idx="2">
                  <c:v>92.726845951469784</c:v>
                </c:pt>
                <c:pt idx="3">
                  <c:v>92.705512489547743</c:v>
                </c:pt>
                <c:pt idx="4">
                  <c:v>92.685539987687406</c:v>
                </c:pt>
                <c:pt idx="5">
                  <c:v>92.66691851656617</c:v>
                </c:pt>
                <c:pt idx="6">
                  <c:v>92.649638816060005</c:v>
                </c:pt>
                <c:pt idx="7">
                  <c:v>92.633692291144342</c:v>
                </c:pt>
                <c:pt idx="8">
                  <c:v>92.619071008079487</c:v>
                </c:pt>
                <c:pt idx="9">
                  <c:v>92.605767690881407</c:v>
                </c:pt>
                <c:pt idx="10">
                  <c:v>92.593775718077552</c:v>
                </c:pt>
                <c:pt idx="11">
                  <c:v>92.583089119748848</c:v>
                </c:pt>
                <c:pt idx="12">
                  <c:v>92.573702574857251</c:v>
                </c:pt>
                <c:pt idx="13">
                  <c:v>92.56561140885951</c:v>
                </c:pt>
                <c:pt idx="14">
                  <c:v>92.558811591607011</c:v>
                </c:pt>
                <c:pt idx="15">
                  <c:v>92.553299735532107</c:v>
                </c:pt>
                <c:pt idx="16">
                  <c:v>92.549073094120459</c:v>
                </c:pt>
                <c:pt idx="17">
                  <c:v>92.546129560670025</c:v>
                </c:pt>
                <c:pt idx="18">
                  <c:v>92.544467667336363</c:v>
                </c:pt>
                <c:pt idx="19">
                  <c:v>92.544086584464154</c:v>
                </c:pt>
                <c:pt idx="20">
                  <c:v>92.544986120205351</c:v>
                </c:pt>
                <c:pt idx="21">
                  <c:v>92.547166720423533</c:v>
                </c:pt>
                <c:pt idx="22">
                  <c:v>92.55062946888448</c:v>
                </c:pt>
                <c:pt idx="23">
                  <c:v>92.555376087733109</c:v>
                </c:pt>
                <c:pt idx="24">
                  <c:v>92.561408938256591</c:v>
                </c:pt>
                <c:pt idx="25">
                  <c:v>92.568731021933374</c:v>
                </c:pt>
                <c:pt idx="26">
                  <c:v>92.577345981768417</c:v>
                </c:pt>
                <c:pt idx="27">
                  <c:v>92.587258103914124</c:v>
                </c:pt>
                <c:pt idx="28">
                  <c:v>92.598472319577013</c:v>
                </c:pt>
                <c:pt idx="29">
                  <c:v>92.61099420720987</c:v>
                </c:pt>
                <c:pt idx="30">
                  <c:v>92.624829994989483</c:v>
                </c:pt>
                <c:pt idx="31">
                  <c:v>92.639986563579058</c:v>
                </c:pt>
                <c:pt idx="32">
                  <c:v>92.656471449175726</c:v>
                </c:pt>
                <c:pt idx="33">
                  <c:v>92.674292846842278</c:v>
                </c:pt>
                <c:pt idx="34">
                  <c:v>92.693459614123199</c:v>
                </c:pt>
                <c:pt idx="35">
                  <c:v>92.713981274943947</c:v>
                </c:pt>
                <c:pt idx="36">
                  <c:v>92.735868023793444</c:v>
                </c:pt>
                <c:pt idx="37">
                  <c:v>92.75913073018873</c:v>
                </c:pt>
                <c:pt idx="38">
                  <c:v>92.783780943421448</c:v>
                </c:pt>
                <c:pt idx="39">
                  <c:v>92.809830897584817</c:v>
                </c:pt>
                <c:pt idx="40">
                  <c:v>92.837293516880393</c:v>
                </c:pt>
                <c:pt idx="41">
                  <c:v>92.866182421203334</c:v>
                </c:pt>
                <c:pt idx="42">
                  <c:v>92.896511932005126</c:v>
                </c:pt>
                <c:pt idx="43">
                  <c:v>92.928297078431612</c:v>
                </c:pt>
                <c:pt idx="44">
                  <c:v>92.961553603735453</c:v>
                </c:pt>
                <c:pt idx="45">
                  <c:v>92.996297971960473</c:v>
                </c:pt>
                <c:pt idx="46">
                  <c:v>93.032547374895941</c:v>
                </c:pt>
                <c:pt idx="47">
                  <c:v>93.070319739298299</c:v>
                </c:pt>
                <c:pt idx="48">
                  <c:v>93.109633734377667</c:v>
                </c:pt>
                <c:pt idx="49">
                  <c:v>93.150508779545959</c:v>
                </c:pt>
                <c:pt idx="50">
                  <c:v>93.192965052423006</c:v>
                </c:pt>
                <c:pt idx="51">
                  <c:v>93.237023497097411</c:v>
                </c:pt>
                <c:pt idx="52">
                  <c:v>93.282705832637163</c:v>
                </c:pt>
                <c:pt idx="53">
                  <c:v>93.330034561845807</c:v>
                </c:pt>
                <c:pt idx="54">
                  <c:v>93.379032980258756</c:v>
                </c:pt>
                <c:pt idx="55">
                  <c:v>93.429725185374181</c:v>
                </c:pt>
                <c:pt idx="56">
                  <c:v>93.482136086111566</c:v>
                </c:pt>
                <c:pt idx="57">
                  <c:v>93.536291412491792</c:v>
                </c:pt>
                <c:pt idx="58">
                  <c:v>93.592217725530375</c:v>
                </c:pt>
                <c:pt idx="59">
                  <c:v>93.649942427335631</c:v>
                </c:pt>
                <c:pt idx="60">
                  <c:v>93.709493771402705</c:v>
                </c:pt>
                <c:pt idx="61">
                  <c:v>93.770900873093211</c:v>
                </c:pt>
                <c:pt idx="62">
                  <c:v>93.834193720289448</c:v>
                </c:pt>
                <c:pt idx="63">
                  <c:v>93.899403184211238</c:v>
                </c:pt>
                <c:pt idx="64">
                  <c:v>93.966561030382252</c:v>
                </c:pt>
                <c:pt idx="65">
                  <c:v>94.035699929731578</c:v>
                </c:pt>
                <c:pt idx="66">
                  <c:v>94.106853469814965</c:v>
                </c:pt>
                <c:pt idx="67">
                  <c:v>94.180056166139082</c:v>
                </c:pt>
                <c:pt idx="68">
                  <c:v>94.255343473570306</c:v>
                </c:pt>
                <c:pt idx="69">
                  <c:v>94.332751797808442</c:v>
                </c:pt>
                <c:pt idx="70">
                  <c:v>94.412318506903986</c:v>
                </c:pt>
                <c:pt idx="71">
                  <c:v>94.494081942795717</c:v>
                </c:pt>
                <c:pt idx="72">
                  <c:v>94.57808143284349</c:v>
                </c:pt>
                <c:pt idx="73">
                  <c:v>94.664357301329559</c:v>
                </c:pt>
                <c:pt idx="74">
                  <c:v>94.752950880899093</c:v>
                </c:pt>
                <c:pt idx="75">
                  <c:v>94.843904523908634</c:v>
                </c:pt>
                <c:pt idx="76">
                  <c:v>94.937261613648701</c:v>
                </c:pt>
                <c:pt idx="77">
                  <c:v>95.033066575404106</c:v>
                </c:pt>
                <c:pt idx="78">
                  <c:v>95.131364887313552</c:v>
                </c:pt>
                <c:pt idx="79">
                  <c:v>95.232203090985578</c:v>
                </c:pt>
                <c:pt idx="80">
                  <c:v>95.335628801826914</c:v>
                </c:pt>
                <c:pt idx="81">
                  <c:v>95.441690719034597</c:v>
                </c:pt>
                <c:pt idx="82">
                  <c:v>95.550438635199995</c:v>
                </c:pt>
                <c:pt idx="83">
                  <c:v>95.66192344546981</c:v>
                </c:pt>
                <c:pt idx="84">
                  <c:v>95.776197156204873</c:v>
                </c:pt>
                <c:pt idx="85">
                  <c:v>95.893312893073343</c:v>
                </c:pt>
                <c:pt idx="86">
                  <c:v>96.013324908510867</c:v>
                </c:pt>
                <c:pt idx="87">
                  <c:v>96.136288588475793</c:v>
                </c:pt>
                <c:pt idx="88">
                  <c:v>96.262260458422432</c:v>
                </c:pt>
                <c:pt idx="89">
                  <c:v>96.391298188410403</c:v>
                </c:pt>
                <c:pt idx="90">
                  <c:v>96.523460597263906</c:v>
                </c:pt>
                <c:pt idx="91">
                  <c:v>96.658807655685948</c:v>
                </c:pt>
                <c:pt idx="92">
                  <c:v>96.797400488232114</c:v>
                </c:pt>
                <c:pt idx="93">
                  <c:v>96.939301374036276</c:v>
                </c:pt>
                <c:pt idx="94">
                  <c:v>97.084573746179743</c:v>
                </c:pt>
                <c:pt idx="95">
                  <c:v>97.233282189584102</c:v>
                </c:pt>
                <c:pt idx="96">
                  <c:v>97.38549243730462</c:v>
                </c:pt>
                <c:pt idx="97">
                  <c:v>97.541271365091959</c:v>
                </c:pt>
                <c:pt idx="98">
                  <c:v>97.700686984082509</c:v>
                </c:pt>
                <c:pt idx="99">
                  <c:v>97.863808431470716</c:v>
                </c:pt>
                <c:pt idx="100">
                  <c:v>98.030705959008515</c:v>
                </c:pt>
                <c:pt idx="101">
                  <c:v>98.201450919167314</c:v>
                </c:pt>
                <c:pt idx="102">
                  <c:v>98.37611574879206</c:v>
                </c:pt>
                <c:pt idx="103">
                  <c:v>98.554773950065908</c:v>
                </c:pt>
                <c:pt idx="104">
                  <c:v>98.737500068595907</c:v>
                </c:pt>
                <c:pt idx="105">
                  <c:v>98.924369668421065</c:v>
                </c:pt>
                <c:pt idx="106">
                  <c:v>99.115459303734809</c:v>
                </c:pt>
                <c:pt idx="107">
                  <c:v>99.310846487104911</c:v>
                </c:pt>
                <c:pt idx="108">
                  <c:v>99.510609653963527</c:v>
                </c:pt>
                <c:pt idx="109">
                  <c:v>99.714828123131383</c:v>
                </c:pt>
                <c:pt idx="110">
                  <c:v>99.923582053131781</c:v>
                </c:pt>
                <c:pt idx="111">
                  <c:v>100.13695239403822</c:v>
                </c:pt>
                <c:pt idx="112">
                  <c:v>100.35502083459298</c:v>
                </c:pt>
                <c:pt idx="113">
                  <c:v>100.57786974432491</c:v>
                </c:pt>
                <c:pt idx="114">
                  <c:v>100.805582110385</c:v>
                </c:pt>
                <c:pt idx="115">
                  <c:v>101.03824146881331</c:v>
                </c:pt>
                <c:pt idx="116">
                  <c:v>101.27593182993874</c:v>
                </c:pt>
                <c:pt idx="117">
                  <c:v>101.51873759761507</c:v>
                </c:pt>
                <c:pt idx="118">
                  <c:v>101.76674348198189</c:v>
                </c:pt>
                <c:pt idx="119">
                  <c:v>102.02003440544227</c:v>
                </c:pt>
                <c:pt idx="120">
                  <c:v>102.27869540154254</c:v>
                </c:pt>
                <c:pt idx="121">
                  <c:v>102.54281150643787</c:v>
                </c:pt>
                <c:pt idx="122">
                  <c:v>102.81246764263099</c:v>
                </c:pt>
                <c:pt idx="123">
                  <c:v>103.0877484946689</c:v>
                </c:pt>
                <c:pt idx="124">
                  <c:v>103.36873837649031</c:v>
                </c:pt>
                <c:pt idx="125">
                  <c:v>103.65552109012266</c:v>
                </c:pt>
                <c:pt idx="126">
                  <c:v>103.94817977543741</c:v>
                </c:pt>
                <c:pt idx="127">
                  <c:v>104.24679675068212</c:v>
                </c:pt>
                <c:pt idx="128">
                  <c:v>104.55145334353011</c:v>
                </c:pt>
                <c:pt idx="129">
                  <c:v>104.86222971240153</c:v>
                </c:pt>
                <c:pt idx="130">
                  <c:v>105.17920465783756</c:v>
                </c:pt>
                <c:pt idx="131">
                  <c:v>105.50245542373479</c:v>
                </c:pt>
                <c:pt idx="132">
                  <c:v>105.83205748828441</c:v>
                </c:pt>
                <c:pt idx="133">
                  <c:v>106.16808434448983</c:v>
                </c:pt>
                <c:pt idx="134">
                  <c:v>106.51060727019008</c:v>
                </c:pt>
                <c:pt idx="135">
                  <c:v>106.85969508755649</c:v>
                </c:pt>
                <c:pt idx="136">
                  <c:v>107.21541391208741</c:v>
                </c:pt>
                <c:pt idx="137">
                  <c:v>107.5778268911902</c:v>
                </c:pt>
                <c:pt idx="138">
                  <c:v>107.9469939325014</c:v>
                </c:pt>
                <c:pt idx="139">
                  <c:v>108.32297142217291</c:v>
                </c:pt>
                <c:pt idx="140">
                  <c:v>108.7058119334343</c:v>
                </c:pt>
                <c:pt idx="141">
                  <c:v>109.09556392582438</c:v>
                </c:pt>
                <c:pt idx="142">
                  <c:v>109.49227143558498</c:v>
                </c:pt>
                <c:pt idx="143">
                  <c:v>109.89597375780768</c:v>
                </c:pt>
                <c:pt idx="144">
                  <c:v>110.30670512103251</c:v>
                </c:pt>
                <c:pt idx="145">
                  <c:v>110.72449435511309</c:v>
                </c:pt>
                <c:pt idx="146">
                  <c:v>111.14936455328231</c:v>
                </c:pt>
                <c:pt idx="147">
                  <c:v>111.58133272947612</c:v>
                </c:pt>
                <c:pt idx="148">
                  <c:v>112.02040947210509</c:v>
                </c:pt>
                <c:pt idx="149">
                  <c:v>112.46659859559493</c:v>
                </c:pt>
                <c:pt idx="150">
                  <c:v>112.91989679115535</c:v>
                </c:pt>
                <c:pt idx="151">
                  <c:v>113.38029327836887</c:v>
                </c:pt>
                <c:pt idx="152">
                  <c:v>113.84776945933666</c:v>
                </c:pt>
                <c:pt idx="153">
                  <c:v>114.32229857724347</c:v>
                </c:pt>
                <c:pt idx="154">
                  <c:v>114.80384538134481</c:v>
                </c:pt>
                <c:pt idx="155">
                  <c:v>115.29236580049984</c:v>
                </c:pt>
                <c:pt idx="156">
                  <c:v>115.78780662749449</c:v>
                </c:pt>
                <c:pt idx="157">
                  <c:v>116.29010521650663</c:v>
                </c:pt>
                <c:pt idx="158">
                  <c:v>116.79918919616273</c:v>
                </c:pt>
                <c:pt idx="159">
                  <c:v>117.31497620071598</c:v>
                </c:pt>
                <c:pt idx="160">
                  <c:v>117.83737362193783</c:v>
                </c:pt>
                <c:pt idx="161">
                  <c:v>118.36627838436326</c:v>
                </c:pt>
                <c:pt idx="162">
                  <c:v>118.90157674654571</c:v>
                </c:pt>
                <c:pt idx="163">
                  <c:v>119.44314413097689</c:v>
                </c:pt>
                <c:pt idx="164">
                  <c:v>119.99084498529481</c:v>
                </c:pt>
                <c:pt idx="165">
                  <c:v>120.54453267734267</c:v>
                </c:pt>
                <c:pt idx="166">
                  <c:v>121.10404942654654</c:v>
                </c:pt>
                <c:pt idx="167">
                  <c:v>121.66922627395854</c:v>
                </c:pt>
                <c:pt idx="168">
                  <c:v>122.23988309314964</c:v>
                </c:pt>
                <c:pt idx="169">
                  <c:v>122.81582864394503</c:v>
                </c:pt>
                <c:pt idx="170">
                  <c:v>123.39686067076525</c:v>
                </c:pt>
                <c:pt idx="171">
                  <c:v>123.9827660470762</c:v>
                </c:pt>
                <c:pt idx="172">
                  <c:v>124.57332096715339</c:v>
                </c:pt>
                <c:pt idx="173">
                  <c:v>125.16829118604352</c:v>
                </c:pt>
                <c:pt idx="174">
                  <c:v>125.76743230824781</c:v>
                </c:pt>
                <c:pt idx="175">
                  <c:v>126.37049012527754</c:v>
                </c:pt>
                <c:pt idx="176">
                  <c:v>126.97720100182556</c:v>
                </c:pt>
                <c:pt idx="177">
                  <c:v>127.58729230988411</c:v>
                </c:pt>
                <c:pt idx="178">
                  <c:v>128.20048290970985</c:v>
                </c:pt>
                <c:pt idx="179">
                  <c:v>128.81648367609898</c:v>
                </c:pt>
                <c:pt idx="180">
                  <c:v>129.43499806800236</c:v>
                </c:pt>
                <c:pt idx="181">
                  <c:v>130.05572273908206</c:v>
                </c:pt>
                <c:pt idx="182">
                  <c:v>130.67834818639363</c:v>
                </c:pt>
                <c:pt idx="183">
                  <c:v>131.30255943398049</c:v>
                </c:pt>
                <c:pt idx="184">
                  <c:v>131.92803674779827</c:v>
                </c:pt>
                <c:pt idx="185">
                  <c:v>132.5544563780474</c:v>
                </c:pt>
                <c:pt idx="186">
                  <c:v>133.18149132469028</c:v>
                </c:pt>
                <c:pt idx="187">
                  <c:v>133.8088121216704</c:v>
                </c:pt>
                <c:pt idx="188">
                  <c:v>134.4360876351451</c:v>
                </c:pt>
                <c:pt idx="189">
                  <c:v>135.06298587087502</c:v>
                </c:pt>
                <c:pt idx="190">
                  <c:v>135.68917478582131</c:v>
                </c:pt>
                <c:pt idx="191">
                  <c:v>136.31432309893913</c:v>
                </c:pt>
                <c:pt idx="192">
                  <c:v>136.93810109617436</c:v>
                </c:pt>
                <c:pt idx="193">
                  <c:v>137.56018142473232</c:v>
                </c:pt>
                <c:pt idx="194">
                  <c:v>138.18023987180283</c:v>
                </c:pt>
                <c:pt idx="195">
                  <c:v>138.79795612311312</c:v>
                </c:pt>
                <c:pt idx="196">
                  <c:v>139.41301449688626</c:v>
                </c:pt>
                <c:pt idx="197">
                  <c:v>140.02510464907391</c:v>
                </c:pt>
                <c:pt idx="198">
                  <c:v>140.63392224602666</c:v>
                </c:pt>
                <c:pt idx="199">
                  <c:v>141.23916960112763</c:v>
                </c:pt>
                <c:pt idx="200">
                  <c:v>141.8405562722852</c:v>
                </c:pt>
                <c:pt idx="201">
                  <c:v>142.43779961758673</c:v>
                </c:pt>
                <c:pt idx="202">
                  <c:v>143.03062530683789</c:v>
                </c:pt>
                <c:pt idx="203">
                  <c:v>143.6187677871377</c:v>
                </c:pt>
                <c:pt idx="204">
                  <c:v>144.20197070108108</c:v>
                </c:pt>
                <c:pt idx="205">
                  <c:v>144.77998725661342</c:v>
                </c:pt>
                <c:pt idx="206">
                  <c:v>145.35258054798101</c:v>
                </c:pt>
                <c:pt idx="207">
                  <c:v>145.91952382764933</c:v>
                </c:pt>
                <c:pt idx="208">
                  <c:v>146.4806007294373</c:v>
                </c:pt>
                <c:pt idx="209">
                  <c:v>147.0356054435083</c:v>
                </c:pt>
                <c:pt idx="210">
                  <c:v>147.58434284418402</c:v>
                </c:pt>
                <c:pt idx="211">
                  <c:v>148.1266285718838</c:v>
                </c:pt>
                <c:pt idx="212">
                  <c:v>148.66228907076658</c:v>
                </c:pt>
                <c:pt idx="213">
                  <c:v>149.19116158390383</c:v>
                </c:pt>
                <c:pt idx="214">
                  <c:v>149.71309410803795</c:v>
                </c:pt>
                <c:pt idx="215">
                  <c:v>150.22794531016044</c:v>
                </c:pt>
                <c:pt idx="216">
                  <c:v>150.73558440828685</c:v>
                </c:pt>
                <c:pt idx="217">
                  <c:v>151.23589101893276</c:v>
                </c:pt>
                <c:pt idx="218">
                  <c:v>151.72875497387128</c:v>
                </c:pt>
                <c:pt idx="219">
                  <c:v>152.21407610880291</c:v>
                </c:pt>
                <c:pt idx="220">
                  <c:v>152.69176402659821</c:v>
                </c:pt>
                <c:pt idx="221">
                  <c:v>153.16173783776449</c:v>
                </c:pt>
                <c:pt idx="222">
                  <c:v>153.62392588076409</c:v>
                </c:pt>
                <c:pt idx="223">
                  <c:v>154.07826542475965</c:v>
                </c:pt>
                <c:pt idx="224">
                  <c:v>154.52470235729237</c:v>
                </c:pt>
                <c:pt idx="225">
                  <c:v>154.96319085931646</c:v>
                </c:pt>
                <c:pt idx="226">
                  <c:v>155.39369306990858</c:v>
                </c:pt>
                <c:pt idx="227">
                  <c:v>155.81617874286476</c:v>
                </c:pt>
                <c:pt idx="228">
                  <c:v>156.23062489727099</c:v>
                </c:pt>
                <c:pt idx="229">
                  <c:v>156.63701546400867</c:v>
                </c:pt>
                <c:pt idx="230">
                  <c:v>157.0353409300244</c:v>
                </c:pt>
                <c:pt idx="231">
                  <c:v>157.42559798205295</c:v>
                </c:pt>
                <c:pt idx="232">
                  <c:v>157.80778915135241</c:v>
                </c:pt>
                <c:pt idx="233">
                  <c:v>158.1819224608623</c:v>
                </c:pt>
                <c:pt idx="234">
                  <c:v>158.54801107607773</c:v>
                </c:pt>
                <c:pt idx="235">
                  <c:v>158.90607296077721</c:v>
                </c:pt>
                <c:pt idx="236">
                  <c:v>159.25613053863825</c:v>
                </c:pt>
                <c:pt idx="237">
                  <c:v>159.59821036162998</c:v>
                </c:pt>
                <c:pt idx="238">
                  <c:v>159.93234278596844</c:v>
                </c:pt>
                <c:pt idx="239">
                  <c:v>160.25856165630046</c:v>
                </c:pt>
                <c:pt idx="240">
                  <c:v>160.57690399867695</c:v>
                </c:pt>
                <c:pt idx="241">
                  <c:v>160.88740972278251</c:v>
                </c:pt>
                <c:pt idx="242">
                  <c:v>161.19012133378845</c:v>
                </c:pt>
                <c:pt idx="243">
                  <c:v>161.48508365411632</c:v>
                </c:pt>
                <c:pt idx="244">
                  <c:v>161.77234355531849</c:v>
                </c:pt>
                <c:pt idx="245">
                  <c:v>162.05194970021097</c:v>
                </c:pt>
                <c:pt idx="246">
                  <c:v>162.32395229532747</c:v>
                </c:pt>
                <c:pt idx="247">
                  <c:v>162.58840285370786</c:v>
                </c:pt>
                <c:pt idx="248">
                  <c:v>162.84535396797776</c:v>
                </c:pt>
                <c:pt idx="249">
                  <c:v>163.09485909363252</c:v>
                </c:pt>
                <c:pt idx="250">
                  <c:v>163.33697234239685</c:v>
                </c:pt>
                <c:pt idx="251">
                  <c:v>163.57174828549452</c:v>
                </c:pt>
                <c:pt idx="252">
                  <c:v>163.79924176663388</c:v>
                </c:pt>
                <c:pt idx="253">
                  <c:v>164.01950772448706</c:v>
                </c:pt>
                <c:pt idx="254">
                  <c:v>164.2326010244191</c:v>
                </c:pt>
                <c:pt idx="255">
                  <c:v>164.43857629920706</c:v>
                </c:pt>
                <c:pt idx="256">
                  <c:v>164.63748779847168</c:v>
                </c:pt>
                <c:pt idx="257">
                  <c:v>164.8293892465359</c:v>
                </c:pt>
                <c:pt idx="258">
                  <c:v>165.0143337084163</c:v>
                </c:pt>
                <c:pt idx="259">
                  <c:v>165.19237346364611</c:v>
                </c:pt>
                <c:pt idx="260">
                  <c:v>165.36355988762847</c:v>
                </c:pt>
                <c:pt idx="261">
                  <c:v>165.52794334021601</c:v>
                </c:pt>
                <c:pt idx="262">
                  <c:v>165.68557306121528</c:v>
                </c:pt>
                <c:pt idx="263">
                  <c:v>165.83649707251706</c:v>
                </c:pt>
                <c:pt idx="264">
                  <c:v>165.98076208655857</c:v>
                </c:pt>
                <c:pt idx="265">
                  <c:v>166.11841342082948</c:v>
                </c:pt>
                <c:pt idx="266">
                  <c:v>166.24949491814041</c:v>
                </c:pt>
                <c:pt idx="267">
                  <c:v>166.37404887238117</c:v>
                </c:pt>
                <c:pt idx="268">
                  <c:v>166.49211595950533</c:v>
                </c:pt>
                <c:pt idx="269">
                  <c:v>166.60373517348583</c:v>
                </c:pt>
                <c:pt idx="270">
                  <c:v>166.70894376699906</c:v>
                </c:pt>
                <c:pt idx="271">
                  <c:v>166.80777719660293</c:v>
                </c:pt>
                <c:pt idx="272">
                  <c:v>166.9002690721891</c:v>
                </c:pt>
                <c:pt idx="273">
                  <c:v>166.98645111049694</c:v>
                </c:pt>
                <c:pt idx="274">
                  <c:v>167.06635309249296</c:v>
                </c:pt>
                <c:pt idx="275">
                  <c:v>167.14000282442802</c:v>
                </c:pt>
                <c:pt idx="276">
                  <c:v>167.20742610239935</c:v>
                </c:pt>
                <c:pt idx="277">
                  <c:v>167.26864668025499</c:v>
                </c:pt>
                <c:pt idx="278">
                  <c:v>167.3236862406919</c:v>
                </c:pt>
                <c:pt idx="279">
                  <c:v>167.37256436941058</c:v>
                </c:pt>
                <c:pt idx="280">
                  <c:v>167.41529853220246</c:v>
                </c:pt>
                <c:pt idx="281">
                  <c:v>167.45190405485744</c:v>
                </c:pt>
                <c:pt idx="282">
                  <c:v>167.48239410579325</c:v>
                </c:pt>
                <c:pt idx="283">
                  <c:v>167.50677968131896</c:v>
                </c:pt>
                <c:pt idx="284">
                  <c:v>167.52506959345891</c:v>
                </c:pt>
                <c:pt idx="285">
                  <c:v>167.53727046027387</c:v>
                </c:pt>
                <c:pt idx="286">
                  <c:v>167.54338669863196</c:v>
                </c:pt>
                <c:pt idx="287">
                  <c:v>167.54342051938977</c:v>
                </c:pt>
                <c:pt idx="288">
                  <c:v>167.53737192496038</c:v>
                </c:pt>
                <c:pt idx="289">
                  <c:v>167.52523870925512</c:v>
                </c:pt>
                <c:pt idx="290">
                  <c:v>167.5070164599984</c:v>
                </c:pt>
                <c:pt idx="291">
                  <c:v>167.48269856342932</c:v>
                </c:pt>
                <c:pt idx="292">
                  <c:v>167.45227621141254</c:v>
                </c:pt>
                <c:pt idx="293">
                  <c:v>167.41573841099634</c:v>
                </c:pt>
                <c:pt idx="294">
                  <c:v>167.37307199646679</c:v>
                </c:pt>
                <c:pt idx="295">
                  <c:v>167.32426164395989</c:v>
                </c:pt>
                <c:pt idx="296">
                  <c:v>167.26928988870458</c:v>
                </c:pt>
                <c:pt idx="297">
                  <c:v>167.20813714498476</c:v>
                </c:pt>
                <c:pt idx="298">
                  <c:v>167.14078172891686</c:v>
                </c:pt>
                <c:pt idx="299">
                  <c:v>167.06719988415747</c:v>
                </c:pt>
                <c:pt idx="300">
                  <c:v>166.98736581066115</c:v>
                </c:pt>
                <c:pt idx="301">
                  <c:v>166.90125169662801</c:v>
                </c:pt>
                <c:pt idx="302">
                  <c:v>166.80882775378748</c:v>
                </c:pt>
                <c:pt idx="303">
                  <c:v>166.71006225618157</c:v>
                </c:pt>
                <c:pt idx="304">
                  <c:v>166.604921582619</c:v>
                </c:pt>
                <c:pt idx="305">
                  <c:v>166.49337026298775</c:v>
                </c:pt>
                <c:pt idx="306">
                  <c:v>166.37537102862316</c:v>
                </c:pt>
                <c:pt idx="307">
                  <c:v>166.25088486694102</c:v>
                </c:pt>
                <c:pt idx="308">
                  <c:v>166.11987108055769</c:v>
                </c:pt>
                <c:pt idx="309">
                  <c:v>165.98228735112954</c:v>
                </c:pt>
                <c:pt idx="310">
                  <c:v>165.83808980815499</c:v>
                </c:pt>
                <c:pt idx="311">
                  <c:v>165.6872331029935</c:v>
                </c:pt>
                <c:pt idx="312">
                  <c:v>165.52967048836405</c:v>
                </c:pt>
                <c:pt idx="313">
                  <c:v>165.36535390359751</c:v>
                </c:pt>
                <c:pt idx="314">
                  <c:v>165.19423406592134</c:v>
                </c:pt>
                <c:pt idx="315">
                  <c:v>165.01626056806677</c:v>
                </c:pt>
                <c:pt idx="316">
                  <c:v>164.83138198249063</c:v>
                </c:pt>
                <c:pt idx="317">
                  <c:v>164.63954597251077</c:v>
                </c:pt>
                <c:pt idx="318">
                  <c:v>164.44069941065894</c:v>
                </c:pt>
                <c:pt idx="319">
                  <c:v>164.23478850454995</c:v>
                </c:pt>
                <c:pt idx="320">
                  <c:v>164.02175893057412</c:v>
                </c:pt>
                <c:pt idx="321">
                  <c:v>163.80155597571093</c:v>
                </c:pt>
                <c:pt idx="322">
                  <c:v>163.57412468775817</c:v>
                </c:pt>
                <c:pt idx="323">
                  <c:v>163.33941003426474</c:v>
                </c:pt>
                <c:pt idx="324">
                  <c:v>163.09735707044237</c:v>
                </c:pt>
                <c:pt idx="325">
                  <c:v>162.84791111631904</c:v>
                </c:pt>
                <c:pt idx="326">
                  <c:v>162.5910179433763</c:v>
                </c:pt>
                <c:pt idx="327">
                  <c:v>162.32662397089481</c:v>
                </c:pt>
                <c:pt idx="328">
                  <c:v>162.05467647220354</c:v>
                </c:pt>
                <c:pt idx="329">
                  <c:v>161.77512379099824</c:v>
                </c:pt>
                <c:pt idx="330">
                  <c:v>161.48791556785937</c:v>
                </c:pt>
                <c:pt idx="331">
                  <c:v>161.19300297705917</c:v>
                </c:pt>
                <c:pt idx="332">
                  <c:v>160.89033897370015</c:v>
                </c:pt>
                <c:pt idx="333">
                  <c:v>160.57987855117685</c:v>
                </c:pt>
                <c:pt idx="334">
                  <c:v>160.26157900889098</c:v>
                </c:pt>
                <c:pt idx="335">
                  <c:v>159.9354002300891</c:v>
                </c:pt>
                <c:pt idx="336">
                  <c:v>159.60130496961764</c:v>
                </c:pt>
                <c:pt idx="337">
                  <c:v>159.25925915131302</c:v>
                </c:pt>
                <c:pt idx="338">
                  <c:v>158.9092321746584</c:v>
                </c:pt>
                <c:pt idx="339">
                  <c:v>158.55119723024814</c:v>
                </c:pt>
                <c:pt idx="340">
                  <c:v>158.18513162350104</c:v>
                </c:pt>
                <c:pt idx="341">
                  <c:v>157.81101710595738</c:v>
                </c:pt>
                <c:pt idx="342">
                  <c:v>157.42884021338426</c:v>
                </c:pt>
                <c:pt idx="343">
                  <c:v>157.03859260979482</c:v>
                </c:pt>
                <c:pt idx="344">
                  <c:v>156.64027143636304</c:v>
                </c:pt>
                <c:pt idx="345">
                  <c:v>156.2338796640887</c:v>
                </c:pt>
                <c:pt idx="346">
                  <c:v>155.81942644893593</c:v>
                </c:pt>
                <c:pt idx="347">
                  <c:v>155.39692748802793</c:v>
                </c:pt>
                <c:pt idx="348">
                  <c:v>154.96640537535259</c:v>
                </c:pt>
                <c:pt idx="349">
                  <c:v>154.52788995528974</c:v>
                </c:pt>
                <c:pt idx="350">
                  <c:v>154.08141867213536</c:v>
                </c:pt>
                <c:pt idx="351">
                  <c:v>153.62703691367</c:v>
                </c:pt>
                <c:pt idx="352">
                  <c:v>153.16479834668331</c:v>
                </c:pt>
                <c:pt idx="353">
                  <c:v>152.69476524225158</c:v>
                </c:pt>
                <c:pt idx="354">
                  <c:v>152.21700878844982</c:v>
                </c:pt>
                <c:pt idx="355">
                  <c:v>151.73160938807996</c:v>
                </c:pt>
                <c:pt idx="356">
                  <c:v>151.23865693891142</c:v>
                </c:pt>
                <c:pt idx="357">
                  <c:v>150.73825109385893</c:v>
                </c:pt>
                <c:pt idx="358">
                  <c:v>150.23050149847532</c:v>
                </c:pt>
                <c:pt idx="359">
                  <c:v>149.71552800310351</c:v>
                </c:pt>
                <c:pt idx="360">
                  <c:v>149.19346084703213</c:v>
                </c:pt>
                <c:pt idx="361">
                  <c:v>148.66444081201848</c:v>
                </c:pt>
                <c:pt idx="362">
                  <c:v>148.1286193425976</c:v>
                </c:pt>
                <c:pt idx="363">
                  <c:v>147.58615863066905</c:v>
                </c:pt>
                <c:pt idx="364">
                  <c:v>147.03723166198523</c:v>
                </c:pt>
                <c:pt idx="365">
                  <c:v>146.48202222228718</c:v>
                </c:pt>
                <c:pt idx="366">
                  <c:v>145.9207248610463</c:v>
                </c:pt>
                <c:pt idx="367">
                  <c:v>145.35354481095871</c:v>
                </c:pt>
                <c:pt idx="368">
                  <c:v>144.78069786161291</c:v>
                </c:pt>
                <c:pt idx="369">
                  <c:v>144.20241018601928</c:v>
                </c:pt>
                <c:pt idx="370">
                  <c:v>143.61891811901927</c:v>
                </c:pt>
                <c:pt idx="371">
                  <c:v>143.03046788692728</c:v>
                </c:pt>
                <c:pt idx="372">
                  <c:v>142.43731528813541</c:v>
                </c:pt>
                <c:pt idx="373">
                  <c:v>141.83972532480374</c:v>
                </c:pt>
                <c:pt idx="374">
                  <c:v>141.23797178617383</c:v>
                </c:pt>
                <c:pt idx="375">
                  <c:v>140.63233678446471</c:v>
                </c:pt>
                <c:pt idx="376">
                  <c:v>140.02311024474966</c:v>
                </c:pt>
                <c:pt idx="377">
                  <c:v>139.41058935064137</c:v>
                </c:pt>
                <c:pt idx="378">
                  <c:v>138.79507794805346</c:v>
                </c:pt>
                <c:pt idx="379">
                  <c:v>138.17688590971983</c:v>
                </c:pt>
                <c:pt idx="380">
                  <c:v>137.55632846355797</c:v>
                </c:pt>
                <c:pt idx="381">
                  <c:v>136.9337254883481</c:v>
                </c:pt>
                <c:pt idx="382">
                  <c:v>136.30940078053919</c:v>
                </c:pt>
                <c:pt idx="383">
                  <c:v>135.68368129632012</c:v>
                </c:pt>
                <c:pt idx="384">
                  <c:v>135.05689637335399</c:v>
                </c:pt>
                <c:pt idx="385">
                  <c:v>134.42937693680568</c:v>
                </c:pt>
                <c:pt idx="386">
                  <c:v>133.8014546944743</c:v>
                </c:pt>
                <c:pt idx="387">
                  <c:v>133.17346132594957</c:v>
                </c:pt>
                <c:pt idx="388">
                  <c:v>132.54572767079611</c:v>
                </c:pt>
                <c:pt idx="389">
                  <c:v>131.91858292076626</c:v>
                </c:pt>
                <c:pt idx="390">
                  <c:v>131.29235382100094</c:v>
                </c:pt>
                <c:pt idx="391">
                  <c:v>130.66736388507596</c:v>
                </c:pt>
                <c:pt idx="392">
                  <c:v>130.04393262858792</c:v>
                </c:pt>
                <c:pt idx="393">
                  <c:v>129.42237482577556</c:v>
                </c:pt>
                <c:pt idx="394">
                  <c:v>128.80299979340029</c:v>
                </c:pt>
                <c:pt idx="395">
                  <c:v>128.18611070582733</c:v>
                </c:pt>
                <c:pt idx="396">
                  <c:v>127.5720039448974</c:v>
                </c:pt>
                <c:pt idx="397">
                  <c:v>126.96096848781758</c:v>
                </c:pt>
                <c:pt idx="398">
                  <c:v>126.35328533589663</c:v>
                </c:pt>
                <c:pt idx="399">
                  <c:v>125.74922698654379</c:v>
                </c:pt>
                <c:pt idx="400">
                  <c:v>125.14905695051036</c:v>
                </c:pt>
                <c:pt idx="401">
                  <c:v>124.55302931593086</c:v>
                </c:pt>
                <c:pt idx="402">
                  <c:v>123.96138836027333</c:v>
                </c:pt>
                <c:pt idx="403">
                  <c:v>123.37436821088444</c:v>
                </c:pt>
                <c:pt idx="404">
                  <c:v>122.792192554401</c:v>
                </c:pt>
                <c:pt idx="405">
                  <c:v>122.21507439488828</c:v>
                </c:pt>
                <c:pt idx="406">
                  <c:v>121.64321586019474</c:v>
                </c:pt>
                <c:pt idx="407">
                  <c:v>121.07680805565127</c:v>
                </c:pt>
                <c:pt idx="408">
                  <c:v>120.51603096391798</c:v>
                </c:pt>
                <c:pt idx="409">
                  <c:v>119.96105338949073</c:v>
                </c:pt>
                <c:pt idx="410">
                  <c:v>119.41203294610415</c:v>
                </c:pt>
                <c:pt idx="411">
                  <c:v>118.86911608505233</c:v>
                </c:pt>
                <c:pt idx="412">
                  <c:v>118.33243816224513</c:v>
                </c:pt>
                <c:pt idx="413">
                  <c:v>117.80212354166031</c:v>
                </c:pt>
                <c:pt idx="414">
                  <c:v>117.27828573272551</c:v>
                </c:pt>
                <c:pt idx="415">
                  <c:v>116.76102755906919</c:v>
                </c:pt>
                <c:pt idx="416">
                  <c:v>116.25044135602241</c:v>
                </c:pt>
                <c:pt idx="417">
                  <c:v>115.74660919421248</c:v>
                </c:pt>
                <c:pt idx="418">
                  <c:v>115.24960312659408</c:v>
                </c:pt>
                <c:pt idx="419">
                  <c:v>114.75948545627649</c:v>
                </c:pt>
                <c:pt idx="420">
                  <c:v>114.27630902255213</c:v>
                </c:pt>
                <c:pt idx="421">
                  <c:v>113.80011750259428</c:v>
                </c:pt>
                <c:pt idx="422">
                  <c:v>113.33094572637067</c:v>
                </c:pt>
                <c:pt idx="423">
                  <c:v>112.86882000241896</c:v>
                </c:pt>
                <c:pt idx="424">
                  <c:v>112.41375845223401</c:v>
                </c:pt>
                <c:pt idx="425">
                  <c:v>111.96577135113867</c:v>
                </c:pt>
                <c:pt idx="426">
                  <c:v>111.52486147363366</c:v>
                </c:pt>
                <c:pt idx="427">
                  <c:v>111.09102444135409</c:v>
                </c:pt>
                <c:pt idx="428">
                  <c:v>110.66424907189696</c:v>
                </c:pt>
                <c:pt idx="429">
                  <c:v>110.24451772691829</c:v>
                </c:pt>
                <c:pt idx="430">
                  <c:v>109.8318066580381</c:v>
                </c:pt>
                <c:pt idx="431">
                  <c:v>109.42608634922577</c:v>
                </c:pt>
                <c:pt idx="432">
                  <c:v>109.02732185447348</c:v>
                </c:pt>
                <c:pt idx="433">
                  <c:v>108.63547312969364</c:v>
                </c:pt>
                <c:pt idx="434">
                  <c:v>108.25049535790122</c:v>
                </c:pt>
                <c:pt idx="435">
                  <c:v>107.87233926686572</c:v>
                </c:pt>
                <c:pt idx="436">
                  <c:v>107.5009514385263</c:v>
                </c:pt>
                <c:pt idx="437">
                  <c:v>107.13627460957565</c:v>
                </c:pt>
                <c:pt idx="438">
                  <c:v>106.77824796271989</c:v>
                </c:pt>
                <c:pt idx="439">
                  <c:v>106.4268074082119</c:v>
                </c:pt>
                <c:pt idx="440">
                  <c:v>106.08188585535031</c:v>
                </c:pt>
                <c:pt idx="441">
                  <c:v>105.74341347371167</c:v>
                </c:pt>
                <c:pt idx="442">
                  <c:v>105.41131794395884</c:v>
                </c:pt>
                <c:pt idx="443">
                  <c:v>105.08552469813955</c:v>
                </c:pt>
                <c:pt idx="444">
                  <c:v>104.76595714944531</c:v>
                </c:pt>
                <c:pt idx="445">
                  <c:v>104.45253691145898</c:v>
                </c:pt>
                <c:pt idx="446">
                  <c:v>104.14518400696625</c:v>
                </c:pt>
                <c:pt idx="447">
                  <c:v>103.8438170664525</c:v>
                </c:pt>
                <c:pt idx="448">
                  <c:v>103.54835351643924</c:v>
                </c:pt>
                <c:pt idx="449">
                  <c:v>103.25870975785337</c:v>
                </c:pt>
                <c:pt idx="450">
                  <c:v>102.9748013346459</c:v>
                </c:pt>
                <c:pt idx="451">
                  <c:v>102.69654309290178</c:v>
                </c:pt>
                <c:pt idx="452">
                  <c:v>102.42384933070518</c:v>
                </c:pt>
                <c:pt idx="453">
                  <c:v>102.15663393903603</c:v>
                </c:pt>
                <c:pt idx="454">
                  <c:v>101.89481053398946</c:v>
                </c:pt>
                <c:pt idx="455">
                  <c:v>101.63829258062046</c:v>
                </c:pt>
                <c:pt idx="456">
                  <c:v>101.38699350871887</c:v>
                </c:pt>
                <c:pt idx="457">
                  <c:v>101.14082682082847</c:v>
                </c:pt>
                <c:pt idx="458">
                  <c:v>100.89970619282538</c:v>
                </c:pt>
                <c:pt idx="459">
                  <c:v>100.66354556736837</c:v>
                </c:pt>
                <c:pt idx="460">
                  <c:v>100.43225924053741</c:v>
                </c:pt>
                <c:pt idx="461">
                  <c:v>100.20576194196873</c:v>
                </c:pt>
                <c:pt idx="462">
                  <c:v>99.983968908794779</c:v>
                </c:pt>
                <c:pt idx="463">
                  <c:v>99.766795953688643</c:v>
                </c:pt>
                <c:pt idx="464">
                  <c:v>99.554159527309452</c:v>
                </c:pt>
                <c:pt idx="465">
                  <c:v>99.345976775435247</c:v>
                </c:pt>
                <c:pt idx="466">
                  <c:v>99.142165591064511</c:v>
                </c:pt>
                <c:pt idx="467">
                  <c:v>98.942644661758379</c:v>
                </c:pt>
                <c:pt idx="468">
                  <c:v>98.74733351248544</c:v>
                </c:pt>
                <c:pt idx="469">
                  <c:v>98.556152544225739</c:v>
                </c:pt>
                <c:pt idx="470">
                  <c:v>98.369023068577036</c:v>
                </c:pt>
                <c:pt idx="471">
                  <c:v>98.185867338600985</c:v>
                </c:pt>
                <c:pt idx="472">
                  <c:v>98.00660857613417</c:v>
                </c:pt>
                <c:pt idx="473">
                  <c:v>97.831170995782188</c:v>
                </c:pt>
                <c:pt idx="474">
                  <c:v>97.659479825804198</c:v>
                </c:pt>
                <c:pt idx="475">
                  <c:v>97.491461326085798</c:v>
                </c:pt>
                <c:pt idx="476">
                  <c:v>97.327042803390697</c:v>
                </c:pt>
                <c:pt idx="477">
                  <c:v>97.166152624070776</c:v>
                </c:pt>
                <c:pt idx="478">
                  <c:v>97.008720224406403</c:v>
                </c:pt>
                <c:pt idx="479">
                  <c:v>96.854676118739462</c:v>
                </c:pt>
                <c:pt idx="480">
                  <c:v>96.703951905555385</c:v>
                </c:pt>
                <c:pt idx="481">
                  <c:v>96.556480271659268</c:v>
                </c:pt>
                <c:pt idx="482">
                  <c:v>96.412194994585903</c:v>
                </c:pt>
                <c:pt idx="483">
                  <c:v>96.271030943374555</c:v>
                </c:pt>
                <c:pt idx="484">
                  <c:v>96.132924077833337</c:v>
                </c:pt>
                <c:pt idx="485">
                  <c:v>95.997811446409557</c:v>
                </c:pt>
                <c:pt idx="486">
                  <c:v>95.865631182777491</c:v>
                </c:pt>
                <c:pt idx="487">
                  <c:v>95.736322501246192</c:v>
                </c:pt>
                <c:pt idx="488">
                  <c:v>95.609825691087039</c:v>
                </c:pt>
                <c:pt idx="489">
                  <c:v>95.486082109872157</c:v>
                </c:pt>
                <c:pt idx="490">
                  <c:v>95.365034175910083</c:v>
                </c:pt>
                <c:pt idx="491">
                  <c:v>95.246625359860687</c:v>
                </c:pt>
                <c:pt idx="492">
                  <c:v>95.130800175604648</c:v>
                </c:pt>
                <c:pt idx="493">
                  <c:v>95.017504170439523</c:v>
                </c:pt>
                <c:pt idx="494">
                  <c:v>94.90668391466923</c:v>
                </c:pt>
                <c:pt idx="495">
                  <c:v>94.798286990648535</c:v>
                </c:pt>
                <c:pt idx="496">
                  <c:v>94.692261981341986</c:v>
                </c:pt>
                <c:pt idx="497">
                  <c:v>94.588558458451459</c:v>
                </c:pt>
                <c:pt idx="498">
                  <c:v>94.487126970162521</c:v>
                </c:pt>
                <c:pt idx="499">
                  <c:v>94.387919028558187</c:v>
                </c:pt>
                <c:pt idx="500">
                  <c:v>94.290887096743006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41-4D19-9DBC-690DDB1D00CA}"/>
            </c:ext>
          </c:extLst>
        </c:ser>
        <c:ser>
          <c:idx val="1"/>
          <c:order val="7"/>
          <c:tx>
            <c:strRef>
              <c:f>'Small Signal'!$I$507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'Small Signal'!$I$511:$I$612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Signal'!$K$511:$K$612</c:f>
              <c:numCache>
                <c:formatCode>General</c:formatCode>
                <c:ptCount val="102"/>
                <c:pt idx="0">
                  <c:v>174.03</c:v>
                </c:pt>
                <c:pt idx="1">
                  <c:v>10.471</c:v>
                </c:pt>
                <c:pt idx="2">
                  <c:v>156.11000000000001</c:v>
                </c:pt>
                <c:pt idx="3">
                  <c:v>-168.2</c:v>
                </c:pt>
                <c:pt idx="4">
                  <c:v>173.51</c:v>
                </c:pt>
                <c:pt idx="5">
                  <c:v>139.72999999999999</c:v>
                </c:pt>
                <c:pt idx="6">
                  <c:v>136.25</c:v>
                </c:pt>
                <c:pt idx="7">
                  <c:v>127.18</c:v>
                </c:pt>
                <c:pt idx="8">
                  <c:v>123.47</c:v>
                </c:pt>
                <c:pt idx="9">
                  <c:v>118.43</c:v>
                </c:pt>
                <c:pt idx="10">
                  <c:v>113.19</c:v>
                </c:pt>
                <c:pt idx="11">
                  <c:v>107.02</c:v>
                </c:pt>
                <c:pt idx="12">
                  <c:v>106.26</c:v>
                </c:pt>
                <c:pt idx="13">
                  <c:v>104.03</c:v>
                </c:pt>
                <c:pt idx="14">
                  <c:v>103.26</c:v>
                </c:pt>
                <c:pt idx="15">
                  <c:v>103.39</c:v>
                </c:pt>
                <c:pt idx="16">
                  <c:v>103.34</c:v>
                </c:pt>
                <c:pt idx="17">
                  <c:v>104.35</c:v>
                </c:pt>
                <c:pt idx="18">
                  <c:v>105.57</c:v>
                </c:pt>
                <c:pt idx="19">
                  <c:v>106.78</c:v>
                </c:pt>
                <c:pt idx="20">
                  <c:v>106.81</c:v>
                </c:pt>
                <c:pt idx="21">
                  <c:v>105.07</c:v>
                </c:pt>
                <c:pt idx="22">
                  <c:v>101.35</c:v>
                </c:pt>
                <c:pt idx="23">
                  <c:v>96.534999999999997</c:v>
                </c:pt>
                <c:pt idx="24">
                  <c:v>92.039000000000001</c:v>
                </c:pt>
                <c:pt idx="25">
                  <c:v>88.516999999999996</c:v>
                </c:pt>
                <c:pt idx="26">
                  <c:v>85.623999999999995</c:v>
                </c:pt>
                <c:pt idx="27">
                  <c:v>83.033000000000001</c:v>
                </c:pt>
                <c:pt idx="28">
                  <c:v>80.275000000000006</c:v>
                </c:pt>
                <c:pt idx="29">
                  <c:v>77.093000000000004</c:v>
                </c:pt>
                <c:pt idx="30">
                  <c:v>73.228999999999999</c:v>
                </c:pt>
                <c:pt idx="31">
                  <c:v>68.453999999999994</c:v>
                </c:pt>
                <c:pt idx="32">
                  <c:v>63.189</c:v>
                </c:pt>
                <c:pt idx="33">
                  <c:v>56.701000000000001</c:v>
                </c:pt>
                <c:pt idx="34">
                  <c:v>48.667000000000002</c:v>
                </c:pt>
                <c:pt idx="35">
                  <c:v>39.034999999999997</c:v>
                </c:pt>
                <c:pt idx="36">
                  <c:v>27.765000000000001</c:v>
                </c:pt>
                <c:pt idx="37">
                  <c:v>15.042999999999999</c:v>
                </c:pt>
                <c:pt idx="38">
                  <c:v>-1.2692000000000001</c:v>
                </c:pt>
                <c:pt idx="39">
                  <c:v>-16.631</c:v>
                </c:pt>
                <c:pt idx="40">
                  <c:v>-32.988999999999997</c:v>
                </c:pt>
                <c:pt idx="41">
                  <c:v>-50.472999999999999</c:v>
                </c:pt>
                <c:pt idx="42">
                  <c:v>-69.144000000000005</c:v>
                </c:pt>
                <c:pt idx="43">
                  <c:v>-89.822000000000003</c:v>
                </c:pt>
                <c:pt idx="44">
                  <c:v>-113.72</c:v>
                </c:pt>
                <c:pt idx="45">
                  <c:v>-145.29</c:v>
                </c:pt>
                <c:pt idx="46">
                  <c:v>176.66</c:v>
                </c:pt>
                <c:pt idx="47">
                  <c:v>-165.65</c:v>
                </c:pt>
                <c:pt idx="48">
                  <c:v>-88.369</c:v>
                </c:pt>
                <c:pt idx="49">
                  <c:v>-95.198999999999998</c:v>
                </c:pt>
                <c:pt idx="50">
                  <c:v>-97.18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41-4D19-9DBC-690DDB1D00CA}"/>
            </c:ext>
          </c:extLst>
        </c:ser>
        <c:ser>
          <c:idx val="9"/>
          <c:order val="9"/>
          <c:tx>
            <c:strRef>
              <c:f>'Small Signal'!$M$507</c:f>
              <c:strCache>
                <c:ptCount val="1"/>
                <c:pt idx="0">
                  <c:v>Gvc</c:v>
                </c:pt>
              </c:strCache>
            </c:strRef>
          </c:tx>
          <c:marker>
            <c:symbol val="none"/>
          </c:marker>
          <c:xVal>
            <c:numRef>
              <c:f>'Small Signal'!$M$511:$M$612</c:f>
              <c:numCache>
                <c:formatCode>General</c:formatCode>
                <c:ptCount val="102"/>
                <c:pt idx="0">
                  <c:v>10</c:v>
                </c:pt>
                <c:pt idx="1">
                  <c:v>12.59</c:v>
                </c:pt>
                <c:pt idx="2">
                  <c:v>15.85</c:v>
                </c:pt>
                <c:pt idx="3">
                  <c:v>19.95</c:v>
                </c:pt>
                <c:pt idx="4">
                  <c:v>25.12</c:v>
                </c:pt>
                <c:pt idx="5">
                  <c:v>31.62</c:v>
                </c:pt>
                <c:pt idx="6">
                  <c:v>39.81</c:v>
                </c:pt>
                <c:pt idx="7">
                  <c:v>50.12</c:v>
                </c:pt>
                <c:pt idx="8">
                  <c:v>63.1</c:v>
                </c:pt>
                <c:pt idx="9">
                  <c:v>79.44</c:v>
                </c:pt>
                <c:pt idx="10">
                  <c:v>100</c:v>
                </c:pt>
                <c:pt idx="11">
                  <c:v>125.9</c:v>
                </c:pt>
                <c:pt idx="12">
                  <c:v>158.5</c:v>
                </c:pt>
                <c:pt idx="13">
                  <c:v>199.5</c:v>
                </c:pt>
                <c:pt idx="14">
                  <c:v>251.2</c:v>
                </c:pt>
                <c:pt idx="15">
                  <c:v>316.2</c:v>
                </c:pt>
                <c:pt idx="16">
                  <c:v>398.1</c:v>
                </c:pt>
                <c:pt idx="17">
                  <c:v>501.2</c:v>
                </c:pt>
                <c:pt idx="18">
                  <c:v>631</c:v>
                </c:pt>
                <c:pt idx="19">
                  <c:v>794.4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7944</c:v>
                </c:pt>
                <c:pt idx="30">
                  <c:v>10000</c:v>
                </c:pt>
                <c:pt idx="31">
                  <c:v>12590</c:v>
                </c:pt>
                <c:pt idx="32">
                  <c:v>15850</c:v>
                </c:pt>
                <c:pt idx="33">
                  <c:v>19950</c:v>
                </c:pt>
                <c:pt idx="34">
                  <c:v>25120</c:v>
                </c:pt>
                <c:pt idx="35">
                  <c:v>31620</c:v>
                </c:pt>
                <c:pt idx="36">
                  <c:v>39810</c:v>
                </c:pt>
                <c:pt idx="37">
                  <c:v>50120</c:v>
                </c:pt>
                <c:pt idx="38">
                  <c:v>63100</c:v>
                </c:pt>
                <c:pt idx="39">
                  <c:v>79440</c:v>
                </c:pt>
                <c:pt idx="40">
                  <c:v>100000</c:v>
                </c:pt>
                <c:pt idx="41">
                  <c:v>125900</c:v>
                </c:pt>
                <c:pt idx="42">
                  <c:v>158500</c:v>
                </c:pt>
                <c:pt idx="43">
                  <c:v>199500</c:v>
                </c:pt>
                <c:pt idx="44">
                  <c:v>251200</c:v>
                </c:pt>
                <c:pt idx="45">
                  <c:v>316200</c:v>
                </c:pt>
                <c:pt idx="46">
                  <c:v>398100</c:v>
                </c:pt>
                <c:pt idx="47">
                  <c:v>501200</c:v>
                </c:pt>
                <c:pt idx="48">
                  <c:v>631000</c:v>
                </c:pt>
                <c:pt idx="49">
                  <c:v>794400</c:v>
                </c:pt>
                <c:pt idx="50" formatCode="0.00E+00">
                  <c:v>1000000</c:v>
                </c:pt>
              </c:numCache>
            </c:numRef>
          </c:xVal>
          <c:yVal>
            <c:numRef>
              <c:f>'Small Signal'!$O$511:$O$612</c:f>
              <c:numCache>
                <c:formatCode>General</c:formatCode>
                <c:ptCount val="102"/>
                <c:pt idx="0">
                  <c:v>0.85629999999999995</c:v>
                </c:pt>
                <c:pt idx="1">
                  <c:v>0.83806000000000003</c:v>
                </c:pt>
                <c:pt idx="2">
                  <c:v>-1.2109000000000001</c:v>
                </c:pt>
                <c:pt idx="3">
                  <c:v>-0.48448999999999998</c:v>
                </c:pt>
                <c:pt idx="4">
                  <c:v>-0.98385999999999996</c:v>
                </c:pt>
                <c:pt idx="5">
                  <c:v>0.32150000000000001</c:v>
                </c:pt>
                <c:pt idx="6">
                  <c:v>-0.60572000000000004</c:v>
                </c:pt>
                <c:pt idx="7">
                  <c:v>-1.2511000000000001</c:v>
                </c:pt>
                <c:pt idx="8">
                  <c:v>-0.94950999999999997</c:v>
                </c:pt>
                <c:pt idx="9">
                  <c:v>-1.4977</c:v>
                </c:pt>
                <c:pt idx="10">
                  <c:v>-2.1703000000000001</c:v>
                </c:pt>
                <c:pt idx="11">
                  <c:v>-2.3035999999999999</c:v>
                </c:pt>
                <c:pt idx="12">
                  <c:v>-3.1655000000000002</c:v>
                </c:pt>
                <c:pt idx="13">
                  <c:v>-3.6356999999999999</c:v>
                </c:pt>
                <c:pt idx="14">
                  <c:v>-4.6921999999999997</c:v>
                </c:pt>
                <c:pt idx="15">
                  <c:v>-5.5035999999999996</c:v>
                </c:pt>
                <c:pt idx="16">
                  <c:v>-6.8949999999999996</c:v>
                </c:pt>
                <c:pt idx="17">
                  <c:v>-8.4138999999999999</c:v>
                </c:pt>
                <c:pt idx="18">
                  <c:v>-10.231999999999999</c:v>
                </c:pt>
                <c:pt idx="19">
                  <c:v>-13.294</c:v>
                </c:pt>
                <c:pt idx="20">
                  <c:v>-18.077000000000002</c:v>
                </c:pt>
                <c:pt idx="21">
                  <c:v>-25.614000000000001</c:v>
                </c:pt>
                <c:pt idx="22">
                  <c:v>-35.216999999999999</c:v>
                </c:pt>
                <c:pt idx="23">
                  <c:v>-46.118000000000002</c:v>
                </c:pt>
                <c:pt idx="24">
                  <c:v>-56.924999999999997</c:v>
                </c:pt>
                <c:pt idx="25">
                  <c:v>-65.897000000000006</c:v>
                </c:pt>
                <c:pt idx="26">
                  <c:v>-73.241</c:v>
                </c:pt>
                <c:pt idx="27">
                  <c:v>-79.396000000000001</c:v>
                </c:pt>
                <c:pt idx="28">
                  <c:v>-84.641000000000005</c:v>
                </c:pt>
                <c:pt idx="29">
                  <c:v>-89.700999999999993</c:v>
                </c:pt>
                <c:pt idx="30">
                  <c:v>-94.709000000000003</c:v>
                </c:pt>
                <c:pt idx="31">
                  <c:v>-99.733000000000004</c:v>
                </c:pt>
                <c:pt idx="32">
                  <c:v>-105.45</c:v>
                </c:pt>
                <c:pt idx="33">
                  <c:v>-111.88</c:v>
                </c:pt>
                <c:pt idx="34">
                  <c:v>-118.42</c:v>
                </c:pt>
                <c:pt idx="35">
                  <c:v>-126.06</c:v>
                </c:pt>
                <c:pt idx="36">
                  <c:v>-133.94999999999999</c:v>
                </c:pt>
                <c:pt idx="37">
                  <c:v>-142.86000000000001</c:v>
                </c:pt>
                <c:pt idx="38">
                  <c:v>-151.83000000000001</c:v>
                </c:pt>
                <c:pt idx="39">
                  <c:v>-161.02000000000001</c:v>
                </c:pt>
                <c:pt idx="40">
                  <c:v>-169.62</c:v>
                </c:pt>
                <c:pt idx="41">
                  <c:v>-179.77</c:v>
                </c:pt>
                <c:pt idx="42">
                  <c:v>169.67</c:v>
                </c:pt>
                <c:pt idx="43">
                  <c:v>156.46</c:v>
                </c:pt>
                <c:pt idx="44">
                  <c:v>139.71</c:v>
                </c:pt>
                <c:pt idx="45">
                  <c:v>112.86</c:v>
                </c:pt>
                <c:pt idx="46">
                  <c:v>73.507000000000005</c:v>
                </c:pt>
                <c:pt idx="47">
                  <c:v>30.117999999999999</c:v>
                </c:pt>
                <c:pt idx="48">
                  <c:v>-3.9874999999999998</c:v>
                </c:pt>
                <c:pt idx="49">
                  <c:v>159.97</c:v>
                </c:pt>
                <c:pt idx="50">
                  <c:v>91.450999999999993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41-4D19-9DBC-690DDB1D00CA}"/>
            </c:ext>
          </c:extLst>
        </c:ser>
        <c:ser>
          <c:idx val="11"/>
          <c:order val="11"/>
          <c:tx>
            <c:strRef>
              <c:f>'Small Signal'!$Q$507</c:f>
              <c:strCache>
                <c:ptCount val="1"/>
                <c:pt idx="0">
                  <c:v>Gea</c:v>
                </c:pt>
              </c:strCache>
            </c:strRef>
          </c:tx>
          <c:marker>
            <c:symbol val="none"/>
          </c:marker>
          <c:xVal>
            <c:numRef>
              <c:f>'Small Signal'!$Q$511:$Q$612</c:f>
              <c:numCache>
                <c:formatCode>General</c:formatCode>
                <c:ptCount val="102"/>
              </c:numCache>
            </c:numRef>
          </c:xVal>
          <c:yVal>
            <c:numRef>
              <c:f>'Small Signal'!$S$511:$S$612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41-4D19-9DBC-690DDB1D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9696288"/>
        <c:scaling>
          <c:logBase val="10"/>
          <c:orientation val="minMax"/>
          <c:max val="10000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-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96288"/>
        <c:crosses val="autoZero"/>
        <c:crossBetween val="midCat"/>
      </c:valAx>
      <c:valAx>
        <c:axId val="3"/>
        <c:scaling>
          <c:logBase val="10"/>
          <c:orientation val="minMax"/>
          <c:max val="1000000"/>
          <c:min val="10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crossAx val="4"/>
        <c:crosses val="autoZero"/>
        <c:crossBetween val="midCat"/>
      </c:valAx>
      <c:valAx>
        <c:axId val="4"/>
        <c:scaling>
          <c:orientation val="minMax"/>
          <c:max val="180"/>
          <c:min val="-180"/>
        </c:scaling>
        <c:delete val="0"/>
        <c:axPos val="r"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60"/>
        <c:minorUnit val="30"/>
      </c:valAx>
    </c:plotArea>
    <c:legend>
      <c:legendPos val="b"/>
      <c:overlay val="0"/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40847-69AC-4C07-967A-A58690C9A8F4}">
  <sheetPr/>
  <sheetViews>
    <sheetView zoomScale="120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19</xdr:row>
          <xdr:rowOff>9525</xdr:rowOff>
        </xdr:from>
        <xdr:to>
          <xdr:col>7</xdr:col>
          <xdr:colOff>6477000</xdr:colOff>
          <xdr:row>38</xdr:row>
          <xdr:rowOff>209550</xdr:rowOff>
        </xdr:to>
        <xdr:sp macro="" textlink="">
          <xdr:nvSpPr>
            <xdr:cNvPr id="2185" name="Object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19</xdr:col>
      <xdr:colOff>1000125</xdr:colOff>
      <xdr:row>38</xdr:row>
      <xdr:rowOff>133350</xdr:rowOff>
    </xdr:to>
    <xdr:graphicFrame macro="">
      <xdr:nvGraphicFramePr>
        <xdr:cNvPr id="31356" name="Chart 11">
          <a:extLst>
            <a:ext uri="{FF2B5EF4-FFF2-40B4-BE49-F238E27FC236}">
              <a16:creationId xmlns:a16="http://schemas.microsoft.com/office/drawing/2014/main" id="{AC4938EE-623D-BA64-DB2C-1C50470B4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B8609-A039-5974-DD8E-A58019510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i.com/lit/ds/symlink/tps4306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4C51-4686-43AC-B058-DE16A4B499B6}">
  <dimension ref="B1:R32"/>
  <sheetViews>
    <sheetView workbookViewId="0">
      <selection activeCell="C5" sqref="C5"/>
    </sheetView>
  </sheetViews>
  <sheetFormatPr defaultRowHeight="12.75" x14ac:dyDescent="0.2"/>
  <cols>
    <col min="1" max="16384" width="9.140625" style="1"/>
  </cols>
  <sheetData>
    <row r="1" spans="2:18" ht="13.5" thickBot="1" x14ac:dyDescent="0.25"/>
    <row r="2" spans="2:18" ht="13.5" thickTop="1" x14ac:dyDescent="0.2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2:18" x14ac:dyDescent="0.2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2:18" x14ac:dyDescent="0.2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60" t="s">
        <v>103</v>
      </c>
      <c r="Q4" s="52"/>
      <c r="R4" s="53"/>
    </row>
    <row r="5" spans="2:18" ht="30" x14ac:dyDescent="0.4">
      <c r="B5" s="54"/>
      <c r="C5" s="55" t="s">
        <v>314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</row>
    <row r="6" spans="2:18" ht="20.25" x14ac:dyDescent="0.3">
      <c r="B6" s="57"/>
      <c r="C6" s="58" t="s">
        <v>459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9"/>
    </row>
    <row r="7" spans="2:18" x14ac:dyDescent="0.2">
      <c r="B7" s="51"/>
      <c r="C7" s="117" t="s">
        <v>348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</row>
    <row r="8" spans="2:18" x14ac:dyDescent="0.2"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</row>
    <row r="9" spans="2:18" x14ac:dyDescent="0.2">
      <c r="B9" s="51"/>
      <c r="C9" s="52" t="s">
        <v>93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</row>
    <row r="10" spans="2:18" x14ac:dyDescent="0.2">
      <c r="B10" s="51"/>
      <c r="C10" s="52" t="s">
        <v>94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</row>
    <row r="11" spans="2:18" x14ac:dyDescent="0.2"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2:18" x14ac:dyDescent="0.2">
      <c r="B12" s="51"/>
      <c r="C12" s="60" t="s">
        <v>457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3"/>
    </row>
    <row r="13" spans="2:18" x14ac:dyDescent="0.2">
      <c r="B13" s="51"/>
      <c r="C13" s="60" t="s">
        <v>340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</row>
    <row r="14" spans="2:18" x14ac:dyDescent="0.2">
      <c r="B14" s="51"/>
      <c r="C14" s="61" t="s">
        <v>95</v>
      </c>
      <c r="D14" s="61"/>
      <c r="E14" s="61"/>
      <c r="F14" s="61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</row>
    <row r="15" spans="2:18" x14ac:dyDescent="0.2">
      <c r="B15" s="51"/>
      <c r="C15" s="61"/>
      <c r="D15" s="61"/>
      <c r="E15" s="61"/>
      <c r="F15" s="61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</row>
    <row r="16" spans="2:18" x14ac:dyDescent="0.2">
      <c r="B16" s="51"/>
      <c r="C16" s="52" t="s">
        <v>101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</row>
    <row r="17" spans="2:18" ht="13.5" thickBot="1" x14ac:dyDescent="0.25">
      <c r="B17" s="51"/>
      <c r="C17" s="60" t="s">
        <v>458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</row>
    <row r="18" spans="2:18" x14ac:dyDescent="0.2">
      <c r="B18" s="51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4"/>
      <c r="N18" s="52"/>
      <c r="O18" s="52"/>
      <c r="P18" s="52"/>
      <c r="Q18" s="52"/>
      <c r="R18" s="53"/>
    </row>
    <row r="19" spans="2:18" ht="15.75" x14ac:dyDescent="0.25">
      <c r="B19" s="51"/>
      <c r="C19" s="65"/>
      <c r="D19" s="66" t="s">
        <v>96</v>
      </c>
      <c r="E19" s="52"/>
      <c r="F19" s="52"/>
      <c r="G19" s="52"/>
      <c r="H19" s="52"/>
      <c r="I19" s="52"/>
      <c r="J19" s="52"/>
      <c r="K19" s="52"/>
      <c r="L19" s="52"/>
      <c r="M19" s="67"/>
      <c r="N19" s="52"/>
      <c r="O19" s="52"/>
      <c r="P19" s="52"/>
      <c r="Q19" s="52"/>
      <c r="R19" s="53"/>
    </row>
    <row r="20" spans="2:18" x14ac:dyDescent="0.2">
      <c r="B20" s="51"/>
      <c r="C20" s="65"/>
      <c r="D20" s="52" t="s">
        <v>97</v>
      </c>
      <c r="E20" s="52"/>
      <c r="F20" s="52"/>
      <c r="G20" s="52"/>
      <c r="H20" s="52"/>
      <c r="I20" s="52"/>
      <c r="J20" s="52"/>
      <c r="K20" s="52"/>
      <c r="L20" s="52"/>
      <c r="M20" s="67"/>
      <c r="N20" s="52"/>
      <c r="O20" s="52"/>
      <c r="P20" s="52"/>
      <c r="Q20" s="52"/>
      <c r="R20" s="53"/>
    </row>
    <row r="21" spans="2:18" x14ac:dyDescent="0.2">
      <c r="B21" s="51"/>
      <c r="C21" s="65"/>
      <c r="D21" s="52" t="s">
        <v>98</v>
      </c>
      <c r="E21" s="52"/>
      <c r="F21" s="52"/>
      <c r="G21" s="52"/>
      <c r="H21" s="52"/>
      <c r="I21" s="52"/>
      <c r="J21" s="52"/>
      <c r="K21" s="52"/>
      <c r="L21" s="52"/>
      <c r="M21" s="67"/>
      <c r="N21" s="52"/>
      <c r="O21" s="52"/>
      <c r="P21" s="52"/>
      <c r="Q21" s="52"/>
      <c r="R21" s="53"/>
    </row>
    <row r="22" spans="2:18" x14ac:dyDescent="0.2">
      <c r="B22" s="51"/>
      <c r="C22" s="65"/>
      <c r="D22" s="52" t="s">
        <v>99</v>
      </c>
      <c r="E22" s="52"/>
      <c r="F22" s="52"/>
      <c r="G22" s="52"/>
      <c r="H22" s="52"/>
      <c r="I22" s="52"/>
      <c r="J22" s="52"/>
      <c r="K22" s="52"/>
      <c r="L22" s="52"/>
      <c r="M22" s="67"/>
      <c r="N22" s="52"/>
      <c r="O22" s="52"/>
      <c r="P22" s="52"/>
      <c r="Q22" s="52"/>
      <c r="R22" s="53"/>
    </row>
    <row r="23" spans="2:18" x14ac:dyDescent="0.2">
      <c r="B23" s="51"/>
      <c r="C23" s="65"/>
      <c r="D23" s="52" t="s">
        <v>100</v>
      </c>
      <c r="E23" s="52"/>
      <c r="F23" s="52"/>
      <c r="G23" s="52"/>
      <c r="H23" s="52"/>
      <c r="I23" s="52"/>
      <c r="J23" s="52"/>
      <c r="K23" s="52"/>
      <c r="L23" s="52"/>
      <c r="M23" s="67"/>
      <c r="N23" s="52"/>
      <c r="O23" s="52"/>
      <c r="P23" s="52"/>
      <c r="Q23" s="52"/>
      <c r="R23" s="53"/>
    </row>
    <row r="24" spans="2:18" ht="13.5" thickBot="1" x14ac:dyDescent="0.25">
      <c r="B24" s="51"/>
      <c r="C24" s="68"/>
      <c r="D24" s="69"/>
      <c r="E24" s="69"/>
      <c r="F24" s="69"/>
      <c r="G24" s="69"/>
      <c r="H24" s="69"/>
      <c r="I24" s="69"/>
      <c r="J24" s="69"/>
      <c r="K24" s="69"/>
      <c r="L24" s="69"/>
      <c r="M24" s="70"/>
      <c r="N24" s="52"/>
      <c r="O24" s="52"/>
      <c r="P24" s="52"/>
      <c r="Q24" s="52"/>
      <c r="R24" s="53"/>
    </row>
    <row r="25" spans="2:18" x14ac:dyDescent="0.2"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</row>
    <row r="26" spans="2:18" ht="13.5" thickBot="1" x14ac:dyDescent="0.25"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3"/>
    </row>
    <row r="27" spans="2:18" ht="13.5" thickTop="1" x14ac:dyDescent="0.2"/>
    <row r="30" spans="2:18" x14ac:dyDescent="0.2">
      <c r="C30" s="245" t="s">
        <v>461</v>
      </c>
    </row>
    <row r="31" spans="2:18" x14ac:dyDescent="0.2">
      <c r="C31" s="243" t="s">
        <v>460</v>
      </c>
    </row>
    <row r="32" spans="2:18" x14ac:dyDescent="0.2">
      <c r="C32" s="244" t="s">
        <v>462</v>
      </c>
    </row>
  </sheetData>
  <sheetProtection sheet="1"/>
  <phoneticPr fontId="0" type="noConversion"/>
  <hyperlinks>
    <hyperlink ref="C7" r:id="rId1" display="This tool supports the TPS4306x datasheet (SLVSBP4A)" xr:uid="{A5AB3175-61D3-4EE9-975E-66D685F7CB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2DED-9DC9-45EF-A126-FA20C4BBB7EB}">
  <sheetPr>
    <pageSetUpPr fitToPage="1"/>
  </sheetPr>
  <dimension ref="A1:IV327"/>
  <sheetViews>
    <sheetView tabSelected="1" topLeftCell="A37" zoomScale="85" zoomScaleNormal="85" workbookViewId="0">
      <selection activeCell="D72" sqref="D72"/>
    </sheetView>
  </sheetViews>
  <sheetFormatPr defaultRowHeight="12.75" x14ac:dyDescent="0.2"/>
  <cols>
    <col min="1" max="1" width="2.7109375" style="74" customWidth="1"/>
    <col min="2" max="2" width="14.7109375" style="75" customWidth="1"/>
    <col min="3" max="3" width="25.140625" style="74" bestFit="1" customWidth="1"/>
    <col min="4" max="4" width="15.28515625" style="74" bestFit="1" customWidth="1"/>
    <col min="5" max="5" width="12.140625" style="74" bestFit="1" customWidth="1"/>
    <col min="6" max="6" width="15.7109375" style="74" bestFit="1" customWidth="1"/>
    <col min="7" max="7" width="6.28515625" style="76" bestFit="1" customWidth="1"/>
    <col min="8" max="8" width="97.42578125" style="74" bestFit="1" customWidth="1"/>
    <col min="9" max="9" width="2.7109375" style="74" customWidth="1"/>
    <col min="10" max="10" width="9.140625" style="77" customWidth="1"/>
    <col min="11" max="11" width="9.7109375" style="141" bestFit="1" customWidth="1"/>
    <col min="12" max="12" width="9.140625" style="146" customWidth="1"/>
    <col min="13" max="13" width="11.42578125" style="141" customWidth="1"/>
    <col min="14" max="16384" width="9.140625" style="141"/>
  </cols>
  <sheetData>
    <row r="1" spans="1:13" x14ac:dyDescent="0.2">
      <c r="A1" s="189"/>
      <c r="B1" s="190"/>
      <c r="C1" s="191"/>
      <c r="D1" s="191"/>
      <c r="E1" s="191"/>
      <c r="F1" s="191"/>
      <c r="G1" s="192"/>
      <c r="H1" s="191"/>
      <c r="I1" s="193"/>
      <c r="J1" s="194"/>
    </row>
    <row r="2" spans="1:13" ht="15.75" x14ac:dyDescent="0.25">
      <c r="A2" s="195"/>
      <c r="B2" s="140" t="s">
        <v>285</v>
      </c>
      <c r="C2" s="141"/>
      <c r="D2" s="141"/>
      <c r="E2" s="141"/>
      <c r="F2" s="144" t="s">
        <v>49</v>
      </c>
      <c r="G2" s="145"/>
      <c r="H2" s="141"/>
      <c r="I2" s="198"/>
      <c r="J2" s="202"/>
    </row>
    <row r="3" spans="1:13" ht="15" x14ac:dyDescent="0.25">
      <c r="A3" s="195"/>
      <c r="B3" s="142" t="s">
        <v>419</v>
      </c>
      <c r="C3" s="141"/>
      <c r="D3" s="144" t="s">
        <v>321</v>
      </c>
      <c r="E3" s="141"/>
      <c r="F3" s="127" t="s">
        <v>51</v>
      </c>
      <c r="G3" s="145"/>
      <c r="H3" s="141"/>
      <c r="I3" s="198"/>
      <c r="J3" s="202"/>
    </row>
    <row r="4" spans="1:13" ht="14.25" x14ac:dyDescent="0.2">
      <c r="A4" s="195"/>
      <c r="B4" s="143" t="s">
        <v>299</v>
      </c>
      <c r="C4" s="141"/>
      <c r="D4" s="246" t="s">
        <v>300</v>
      </c>
      <c r="E4" s="141"/>
      <c r="F4" s="129" t="s">
        <v>50</v>
      </c>
      <c r="G4" s="145"/>
      <c r="H4" s="141"/>
      <c r="I4" s="198"/>
      <c r="J4" s="202"/>
    </row>
    <row r="5" spans="1:13" ht="14.25" x14ac:dyDescent="0.2">
      <c r="A5" s="195"/>
      <c r="B5" s="143" t="s">
        <v>300</v>
      </c>
      <c r="C5" s="141"/>
      <c r="D5" s="141"/>
      <c r="E5" s="141"/>
      <c r="F5" s="128" t="s">
        <v>420</v>
      </c>
      <c r="G5" s="145"/>
      <c r="H5" s="141"/>
      <c r="I5" s="198"/>
      <c r="J5" s="202"/>
    </row>
    <row r="6" spans="1:13" ht="15" x14ac:dyDescent="0.25">
      <c r="A6" s="196"/>
      <c r="B6" s="119" t="s">
        <v>120</v>
      </c>
      <c r="C6" s="118" t="s">
        <v>52</v>
      </c>
      <c r="D6" s="125" t="s">
        <v>418</v>
      </c>
      <c r="E6" s="118" t="s">
        <v>8</v>
      </c>
      <c r="F6" s="255" t="s">
        <v>422</v>
      </c>
      <c r="G6" s="256"/>
      <c r="H6" s="256"/>
      <c r="I6" s="201"/>
      <c r="J6" s="202"/>
      <c r="M6" s="147"/>
    </row>
    <row r="7" spans="1:13" ht="14.25" x14ac:dyDescent="0.2">
      <c r="A7" s="197"/>
      <c r="B7" s="148"/>
      <c r="C7" s="153" t="s">
        <v>190</v>
      </c>
      <c r="D7" s="84">
        <v>5.5</v>
      </c>
      <c r="E7" s="174" t="s">
        <v>3</v>
      </c>
      <c r="F7" s="258" t="s">
        <v>289</v>
      </c>
      <c r="G7" s="259"/>
      <c r="H7" s="260"/>
      <c r="I7" s="198"/>
      <c r="J7" s="202"/>
      <c r="M7" s="147"/>
    </row>
    <row r="8" spans="1:13" ht="14.25" x14ac:dyDescent="0.2">
      <c r="A8" s="197"/>
      <c r="B8" s="148"/>
      <c r="C8" s="153" t="s">
        <v>191</v>
      </c>
      <c r="D8" s="84">
        <v>5.5</v>
      </c>
      <c r="E8" s="174" t="s">
        <v>3</v>
      </c>
      <c r="F8" s="258" t="s">
        <v>290</v>
      </c>
      <c r="G8" s="259"/>
      <c r="H8" s="260"/>
      <c r="I8" s="198"/>
      <c r="J8" s="202"/>
      <c r="M8" s="147"/>
    </row>
    <row r="9" spans="1:13" ht="14.25" x14ac:dyDescent="0.2">
      <c r="A9" s="197"/>
      <c r="B9" s="148"/>
      <c r="C9" s="153" t="s">
        <v>192</v>
      </c>
      <c r="D9" s="84">
        <v>5.5</v>
      </c>
      <c r="E9" s="174" t="s">
        <v>3</v>
      </c>
      <c r="F9" s="258" t="s">
        <v>291</v>
      </c>
      <c r="G9" s="259"/>
      <c r="H9" s="260"/>
      <c r="I9" s="198"/>
      <c r="J9" s="202"/>
      <c r="M9" s="147"/>
    </row>
    <row r="10" spans="1:13" ht="14.25" x14ac:dyDescent="0.2">
      <c r="A10" s="197"/>
      <c r="B10" s="148"/>
      <c r="C10" s="153" t="s">
        <v>212</v>
      </c>
      <c r="D10" s="84">
        <f>Vin_Nom*0.01</f>
        <v>5.5E-2</v>
      </c>
      <c r="E10" s="174" t="s">
        <v>421</v>
      </c>
      <c r="F10" s="258" t="s">
        <v>429</v>
      </c>
      <c r="G10" s="259"/>
      <c r="H10" s="260"/>
      <c r="I10" s="198"/>
      <c r="J10" s="202"/>
      <c r="M10" s="147"/>
    </row>
    <row r="11" spans="1:13" ht="14.25" x14ac:dyDescent="0.2">
      <c r="A11" s="197"/>
      <c r="B11" s="148"/>
      <c r="C11" s="153" t="s">
        <v>23</v>
      </c>
      <c r="D11" s="85">
        <v>24</v>
      </c>
      <c r="E11" s="174" t="s">
        <v>3</v>
      </c>
      <c r="F11" s="258" t="s">
        <v>41</v>
      </c>
      <c r="G11" s="259"/>
      <c r="H11" s="260"/>
      <c r="I11" s="198"/>
      <c r="J11" s="202"/>
      <c r="M11" s="147"/>
    </row>
    <row r="12" spans="1:13" ht="14.25" x14ac:dyDescent="0.2">
      <c r="A12" s="197"/>
      <c r="B12" s="148"/>
      <c r="C12" s="153" t="s">
        <v>60</v>
      </c>
      <c r="D12" s="84">
        <f>0.01*Vout</f>
        <v>0.24</v>
      </c>
      <c r="E12" s="174" t="s">
        <v>421</v>
      </c>
      <c r="F12" s="258" t="s">
        <v>423</v>
      </c>
      <c r="G12" s="259"/>
      <c r="H12" s="260"/>
      <c r="I12" s="198"/>
      <c r="J12" s="202"/>
      <c r="M12" s="147"/>
    </row>
    <row r="13" spans="1:13" ht="14.25" x14ac:dyDescent="0.2">
      <c r="A13" s="197"/>
      <c r="B13" s="148"/>
      <c r="C13" s="153" t="s">
        <v>34</v>
      </c>
      <c r="D13" s="87">
        <f>11/6</f>
        <v>1.8333333333333333</v>
      </c>
      <c r="E13" s="174" t="s">
        <v>2</v>
      </c>
      <c r="F13" s="258" t="s">
        <v>426</v>
      </c>
      <c r="G13" s="259"/>
      <c r="H13" s="260"/>
      <c r="I13" s="198"/>
      <c r="J13" s="202"/>
      <c r="M13" s="147"/>
    </row>
    <row r="14" spans="1:13" ht="14.25" x14ac:dyDescent="0.2">
      <c r="A14" s="197"/>
      <c r="B14" s="148"/>
      <c r="C14" s="153" t="s">
        <v>35</v>
      </c>
      <c r="D14" s="86">
        <v>750</v>
      </c>
      <c r="E14" s="174" t="s">
        <v>138</v>
      </c>
      <c r="F14" s="258" t="s">
        <v>47</v>
      </c>
      <c r="G14" s="259"/>
      <c r="H14" s="260"/>
      <c r="I14" s="198"/>
      <c r="J14" s="202"/>
      <c r="M14" s="147"/>
    </row>
    <row r="15" spans="1:13" ht="14.25" x14ac:dyDescent="0.2">
      <c r="A15" s="197"/>
      <c r="B15" s="148"/>
      <c r="C15" s="153" t="s">
        <v>61</v>
      </c>
      <c r="D15" s="87">
        <f>Iout/2</f>
        <v>0.91666666666666663</v>
      </c>
      <c r="E15" s="174" t="s">
        <v>2</v>
      </c>
      <c r="F15" s="258" t="s">
        <v>108</v>
      </c>
      <c r="G15" s="259"/>
      <c r="H15" s="260"/>
      <c r="I15" s="198"/>
      <c r="J15" s="202"/>
      <c r="M15" s="147"/>
    </row>
    <row r="16" spans="1:13" ht="14.25" x14ac:dyDescent="0.2">
      <c r="A16" s="197"/>
      <c r="B16" s="148"/>
      <c r="C16" s="153" t="s">
        <v>62</v>
      </c>
      <c r="D16" s="84">
        <f>Vout*0.04</f>
        <v>0.96</v>
      </c>
      <c r="E16" s="174" t="s">
        <v>3</v>
      </c>
      <c r="F16" s="258" t="s">
        <v>109</v>
      </c>
      <c r="G16" s="259"/>
      <c r="H16" s="260"/>
      <c r="I16" s="198"/>
      <c r="J16" s="202"/>
      <c r="M16" s="147"/>
    </row>
    <row r="17" spans="1:256" ht="14.25" x14ac:dyDescent="0.2">
      <c r="A17" s="197"/>
      <c r="B17" s="148"/>
      <c r="C17" s="153" t="s">
        <v>369</v>
      </c>
      <c r="D17" s="84">
        <v>4.8</v>
      </c>
      <c r="E17" s="174" t="s">
        <v>3</v>
      </c>
      <c r="F17" s="258" t="s">
        <v>427</v>
      </c>
      <c r="G17" s="259"/>
      <c r="H17" s="260"/>
      <c r="I17" s="198"/>
      <c r="J17" s="202"/>
      <c r="M17" s="147"/>
    </row>
    <row r="18" spans="1:256" ht="14.25" x14ac:dyDescent="0.2">
      <c r="A18" s="197"/>
      <c r="B18" s="148"/>
      <c r="C18" s="153" t="s">
        <v>370</v>
      </c>
      <c r="D18" s="84">
        <v>4.5</v>
      </c>
      <c r="E18" s="174" t="s">
        <v>3</v>
      </c>
      <c r="F18" s="258" t="s">
        <v>428</v>
      </c>
      <c r="G18" s="259"/>
      <c r="H18" s="260"/>
      <c r="I18" s="198"/>
      <c r="J18" s="202"/>
      <c r="M18" s="147"/>
    </row>
    <row r="19" spans="1:256" s="79" customFormat="1" ht="15" x14ac:dyDescent="0.25">
      <c r="A19" s="196"/>
      <c r="B19" s="261" t="s">
        <v>104</v>
      </c>
      <c r="C19" s="261"/>
      <c r="D19" s="261"/>
      <c r="E19" s="261"/>
      <c r="F19" s="261"/>
      <c r="G19" s="261"/>
      <c r="H19" s="261"/>
      <c r="I19" s="206"/>
      <c r="J19" s="207"/>
      <c r="K19" s="150"/>
      <c r="L19" s="150"/>
      <c r="M19" s="151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  <c r="DY19" s="150"/>
      <c r="DZ19" s="150"/>
      <c r="EA19" s="150"/>
      <c r="EB19" s="150"/>
      <c r="EC19" s="150"/>
      <c r="ED19" s="150"/>
      <c r="EE19" s="150"/>
      <c r="EF19" s="150"/>
      <c r="EG19" s="150"/>
      <c r="EH19" s="150"/>
      <c r="EI19" s="150"/>
      <c r="EJ19" s="150"/>
      <c r="EK19" s="150"/>
      <c r="EL19" s="150"/>
      <c r="EM19" s="150"/>
      <c r="EN19" s="150"/>
      <c r="EO19" s="150"/>
      <c r="EP19" s="150"/>
      <c r="EQ19" s="150"/>
      <c r="ER19" s="150"/>
      <c r="ES19" s="150"/>
      <c r="ET19" s="150"/>
      <c r="EU19" s="150"/>
      <c r="EV19" s="150"/>
      <c r="EW19" s="150"/>
      <c r="EX19" s="150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  <c r="FT19" s="150"/>
      <c r="FU19" s="150"/>
      <c r="FV19" s="150"/>
      <c r="FW19" s="150"/>
      <c r="FX19" s="150"/>
      <c r="FY19" s="150"/>
      <c r="FZ19" s="150"/>
      <c r="GA19" s="150"/>
      <c r="GB19" s="150"/>
      <c r="GC19" s="150"/>
      <c r="GD19" s="150"/>
      <c r="GE19" s="150"/>
      <c r="GF19" s="150"/>
      <c r="GG19" s="150"/>
      <c r="GH19" s="150"/>
      <c r="GI19" s="150"/>
      <c r="GJ19" s="150"/>
      <c r="GK19" s="150"/>
      <c r="GL19" s="150"/>
      <c r="GM19" s="150"/>
      <c r="GN19" s="150"/>
      <c r="GO19" s="150"/>
      <c r="GP19" s="150"/>
      <c r="GQ19" s="150"/>
      <c r="GR19" s="150"/>
      <c r="GS19" s="150"/>
      <c r="GT19" s="150"/>
      <c r="GU19" s="150"/>
      <c r="GV19" s="150"/>
      <c r="GW19" s="150"/>
      <c r="GX19" s="150"/>
      <c r="GY19" s="150"/>
      <c r="GZ19" s="150"/>
      <c r="HA19" s="150"/>
      <c r="HB19" s="150"/>
      <c r="HC19" s="150"/>
      <c r="HD19" s="150"/>
      <c r="HE19" s="150"/>
      <c r="HF19" s="150"/>
      <c r="HG19" s="150"/>
      <c r="HH19" s="150"/>
      <c r="HI19" s="150"/>
      <c r="HJ19" s="150"/>
      <c r="HK19" s="150"/>
      <c r="HL19" s="150"/>
      <c r="HM19" s="150"/>
      <c r="HN19" s="150"/>
      <c r="HO19" s="150"/>
      <c r="HP19" s="150"/>
      <c r="HQ19" s="150"/>
      <c r="HR19" s="150"/>
      <c r="HS19" s="150"/>
      <c r="HT19" s="150"/>
      <c r="HU19" s="150"/>
      <c r="HV19" s="150"/>
      <c r="HW19" s="150"/>
      <c r="HX19" s="150"/>
      <c r="HY19" s="150"/>
      <c r="HZ19" s="150"/>
      <c r="IA19" s="150"/>
      <c r="IB19" s="150"/>
      <c r="IC19" s="150"/>
      <c r="ID19" s="150"/>
      <c r="IE19" s="150"/>
      <c r="IF19" s="150"/>
      <c r="IG19" s="150"/>
      <c r="IH19" s="150"/>
      <c r="II19" s="150"/>
      <c r="IJ19" s="150"/>
      <c r="IK19" s="150"/>
      <c r="IL19" s="150"/>
      <c r="IM19" s="150"/>
      <c r="IN19" s="150"/>
      <c r="IO19" s="150"/>
      <c r="IP19" s="150"/>
      <c r="IQ19" s="150"/>
      <c r="IR19" s="150"/>
      <c r="IS19" s="150"/>
      <c r="IT19" s="150"/>
      <c r="IU19" s="150"/>
      <c r="IV19" s="150"/>
    </row>
    <row r="20" spans="1:256" s="74" customFormat="1" ht="12.75" customHeight="1" x14ac:dyDescent="0.2">
      <c r="A20" s="195"/>
      <c r="B20" s="152" t="s">
        <v>105</v>
      </c>
      <c r="C20" s="152" t="s">
        <v>389</v>
      </c>
      <c r="D20" s="262" t="s">
        <v>123</v>
      </c>
      <c r="E20" s="262"/>
      <c r="F20" s="262"/>
      <c r="G20" s="262"/>
      <c r="H20" s="263"/>
      <c r="I20" s="208"/>
      <c r="J20" s="209"/>
      <c r="K20" s="146"/>
      <c r="L20" s="141"/>
      <c r="M20" s="146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1"/>
      <c r="BU20" s="141"/>
      <c r="BV20" s="141"/>
      <c r="BW20" s="141"/>
      <c r="BX20" s="141"/>
      <c r="BY20" s="141"/>
      <c r="BZ20" s="141"/>
      <c r="CA20" s="141"/>
      <c r="CB20" s="141"/>
      <c r="CC20" s="141"/>
      <c r="CD20" s="141"/>
      <c r="CE20" s="141"/>
      <c r="CF20" s="141"/>
      <c r="CG20" s="141"/>
      <c r="CH20" s="141"/>
      <c r="CI20" s="141"/>
      <c r="CJ20" s="141"/>
      <c r="CK20" s="141"/>
      <c r="CL20" s="141"/>
      <c r="CM20" s="141"/>
      <c r="CN20" s="141"/>
      <c r="CO20" s="141"/>
      <c r="CP20" s="141"/>
      <c r="CQ20" s="141"/>
      <c r="CR20" s="141"/>
      <c r="CS20" s="141"/>
      <c r="CT20" s="141"/>
      <c r="CU20" s="141"/>
      <c r="CV20" s="141"/>
      <c r="CW20" s="141"/>
      <c r="CX20" s="141"/>
      <c r="CY20" s="141"/>
      <c r="CZ20" s="141"/>
      <c r="DA20" s="141"/>
      <c r="DB20" s="141"/>
      <c r="DC20" s="141"/>
      <c r="DD20" s="141"/>
      <c r="DE20" s="141"/>
      <c r="DF20" s="141"/>
      <c r="DG20" s="141"/>
      <c r="DH20" s="141"/>
      <c r="DI20" s="141"/>
      <c r="DJ20" s="141"/>
      <c r="DK20" s="141"/>
      <c r="DL20" s="141"/>
      <c r="DM20" s="141"/>
      <c r="DN20" s="141"/>
      <c r="DO20" s="141"/>
      <c r="DP20" s="141"/>
      <c r="DQ20" s="141"/>
      <c r="DR20" s="141"/>
      <c r="DS20" s="141"/>
      <c r="DT20" s="141"/>
      <c r="DU20" s="141"/>
      <c r="DV20" s="141"/>
      <c r="DW20" s="141"/>
      <c r="DX20" s="141"/>
      <c r="DY20" s="141"/>
      <c r="DZ20" s="141"/>
      <c r="EA20" s="141"/>
      <c r="EB20" s="141"/>
      <c r="EC20" s="141"/>
      <c r="ED20" s="141"/>
      <c r="EE20" s="141"/>
      <c r="EF20" s="141"/>
      <c r="EG20" s="141"/>
      <c r="EH20" s="141"/>
      <c r="EI20" s="141"/>
      <c r="EJ20" s="141"/>
      <c r="EK20" s="141"/>
      <c r="EL20" s="141"/>
      <c r="EM20" s="141"/>
      <c r="EN20" s="141"/>
      <c r="EO20" s="141"/>
      <c r="EP20" s="141"/>
      <c r="EQ20" s="141"/>
      <c r="ER20" s="141"/>
      <c r="ES20" s="141"/>
      <c r="ET20" s="141"/>
      <c r="EU20" s="141"/>
      <c r="EV20" s="141"/>
      <c r="EW20" s="141"/>
      <c r="EX20" s="141"/>
      <c r="EY20" s="141"/>
      <c r="EZ20" s="141"/>
      <c r="FA20" s="141"/>
      <c r="FB20" s="141"/>
      <c r="FC20" s="141"/>
      <c r="FD20" s="141"/>
      <c r="FE20" s="141"/>
      <c r="FF20" s="141"/>
      <c r="FG20" s="141"/>
      <c r="FH20" s="141"/>
      <c r="FI20" s="141"/>
      <c r="FJ20" s="141"/>
      <c r="FK20" s="141"/>
      <c r="FL20" s="141"/>
      <c r="FM20" s="141"/>
      <c r="FN20" s="141"/>
      <c r="FO20" s="141"/>
      <c r="FP20" s="141"/>
      <c r="FQ20" s="141"/>
      <c r="FR20" s="141"/>
      <c r="FS20" s="141"/>
      <c r="FT20" s="141"/>
      <c r="FU20" s="141"/>
      <c r="FV20" s="141"/>
      <c r="FW20" s="141"/>
      <c r="FX20" s="141"/>
      <c r="FY20" s="141"/>
      <c r="FZ20" s="141"/>
      <c r="GA20" s="141"/>
      <c r="GB20" s="141"/>
      <c r="GC20" s="141"/>
      <c r="GD20" s="141"/>
      <c r="GE20" s="141"/>
      <c r="GF20" s="141"/>
      <c r="GG20" s="141"/>
      <c r="GH20" s="141"/>
      <c r="GI20" s="141"/>
      <c r="GJ20" s="141"/>
      <c r="GK20" s="141"/>
      <c r="GL20" s="141"/>
      <c r="GM20" s="141"/>
      <c r="GN20" s="141"/>
      <c r="GO20" s="141"/>
      <c r="GP20" s="141"/>
      <c r="GQ20" s="141"/>
      <c r="GR20" s="141"/>
      <c r="GS20" s="141"/>
      <c r="GT20" s="141"/>
      <c r="GU20" s="141"/>
      <c r="GV20" s="141"/>
      <c r="GW20" s="141"/>
      <c r="GX20" s="141"/>
      <c r="GY20" s="141"/>
      <c r="GZ20" s="141"/>
      <c r="HA20" s="141"/>
      <c r="HB20" s="141"/>
      <c r="HC20" s="141"/>
      <c r="HD20" s="141"/>
      <c r="HE20" s="141"/>
      <c r="HF20" s="141"/>
      <c r="HG20" s="141"/>
      <c r="HH20" s="141"/>
      <c r="HI20" s="141"/>
      <c r="HJ20" s="141"/>
      <c r="HK20" s="141"/>
      <c r="HL20" s="141"/>
      <c r="HM20" s="141"/>
      <c r="HN20" s="141"/>
      <c r="HO20" s="141"/>
      <c r="HP20" s="141"/>
      <c r="HQ20" s="141"/>
      <c r="HR20" s="141"/>
      <c r="HS20" s="141"/>
      <c r="HT20" s="141"/>
      <c r="HU20" s="141"/>
      <c r="HV20" s="141"/>
      <c r="HW20" s="141"/>
      <c r="HX20" s="141"/>
      <c r="HY20" s="141"/>
      <c r="HZ20" s="141"/>
      <c r="IA20" s="141"/>
      <c r="IB20" s="141"/>
      <c r="IC20" s="141"/>
      <c r="ID20" s="141"/>
      <c r="IE20" s="141"/>
      <c r="IF20" s="141"/>
      <c r="IG20" s="141"/>
      <c r="IH20" s="141"/>
      <c r="II20" s="141"/>
      <c r="IJ20" s="141"/>
      <c r="IK20" s="141"/>
      <c r="IL20" s="141"/>
      <c r="IM20" s="141"/>
      <c r="IN20" s="141"/>
      <c r="IO20" s="141"/>
      <c r="IP20" s="141"/>
      <c r="IQ20" s="141"/>
      <c r="IR20" s="141"/>
      <c r="IS20" s="141"/>
      <c r="IT20" s="141"/>
      <c r="IU20" s="141"/>
      <c r="IV20" s="141"/>
    </row>
    <row r="21" spans="1:256" s="74" customFormat="1" ht="19.5" x14ac:dyDescent="0.35">
      <c r="A21" s="195"/>
      <c r="B21" s="153" t="s">
        <v>184</v>
      </c>
      <c r="C21" s="153" t="s">
        <v>398</v>
      </c>
      <c r="D21" s="122" t="str">
        <f>TEXT(Cin_chosen*1000000,"0.0")&amp;" µF"</f>
        <v>11.2 µF</v>
      </c>
      <c r="E21" s="123" t="str">
        <f>Vin_Max&amp;"V"</f>
        <v>5.5V</v>
      </c>
      <c r="F21" s="124" t="str">
        <f>"Irms = "&amp;TEXT(Irms_cin,"0.000")&amp;"A"</f>
        <v>Irms = 0.347A</v>
      </c>
      <c r="G21" s="145"/>
      <c r="H21" s="141"/>
      <c r="I21" s="208"/>
      <c r="J21" s="209"/>
      <c r="K21" s="146"/>
      <c r="L21" s="141"/>
      <c r="M21" s="146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  <c r="BT21" s="141"/>
      <c r="BU21" s="141"/>
      <c r="BV21" s="141"/>
      <c r="BW21" s="141"/>
      <c r="BX21" s="141"/>
      <c r="BY21" s="141"/>
      <c r="BZ21" s="141"/>
      <c r="CA21" s="141"/>
      <c r="CB21" s="141"/>
      <c r="CC21" s="141"/>
      <c r="CD21" s="141"/>
      <c r="CE21" s="141"/>
      <c r="CF21" s="141"/>
      <c r="CG21" s="141"/>
      <c r="CH21" s="141"/>
      <c r="CI21" s="141"/>
      <c r="CJ21" s="141"/>
      <c r="CK21" s="141"/>
      <c r="CL21" s="141"/>
      <c r="CM21" s="141"/>
      <c r="CN21" s="141"/>
      <c r="CO21" s="141"/>
      <c r="CP21" s="141"/>
      <c r="CQ21" s="141"/>
      <c r="CR21" s="141"/>
      <c r="CS21" s="141"/>
      <c r="CT21" s="141"/>
      <c r="CU21" s="141"/>
      <c r="CV21" s="141"/>
      <c r="CW21" s="141"/>
      <c r="CX21" s="141"/>
      <c r="CY21" s="141"/>
      <c r="CZ21" s="141"/>
      <c r="DA21" s="141"/>
      <c r="DB21" s="141"/>
      <c r="DC21" s="141"/>
      <c r="DD21" s="141"/>
      <c r="DE21" s="141"/>
      <c r="DF21" s="141"/>
      <c r="DG21" s="141"/>
      <c r="DH21" s="141"/>
      <c r="DI21" s="141"/>
      <c r="DJ21" s="141"/>
      <c r="DK21" s="141"/>
      <c r="DL21" s="141"/>
      <c r="DM21" s="141"/>
      <c r="DN21" s="141"/>
      <c r="DO21" s="141"/>
      <c r="DP21" s="141"/>
      <c r="DQ21" s="141"/>
      <c r="DR21" s="141"/>
      <c r="DS21" s="141"/>
      <c r="DT21" s="141"/>
      <c r="DU21" s="141"/>
      <c r="DV21" s="141"/>
      <c r="DW21" s="141"/>
      <c r="DX21" s="141"/>
      <c r="DY21" s="141"/>
      <c r="DZ21" s="141"/>
      <c r="EA21" s="141"/>
      <c r="EB21" s="141"/>
      <c r="EC21" s="141"/>
      <c r="ED21" s="141"/>
      <c r="EE21" s="141"/>
      <c r="EF21" s="141"/>
      <c r="EG21" s="141"/>
      <c r="EH21" s="141"/>
      <c r="EI21" s="141"/>
      <c r="EJ21" s="141"/>
      <c r="EK21" s="141"/>
      <c r="EL21" s="141"/>
      <c r="EM21" s="141"/>
      <c r="EN21" s="141"/>
      <c r="EO21" s="141"/>
      <c r="EP21" s="141"/>
      <c r="EQ21" s="141"/>
      <c r="ER21" s="141"/>
      <c r="ES21" s="141"/>
      <c r="ET21" s="141"/>
      <c r="EU21" s="141"/>
      <c r="EV21" s="141"/>
      <c r="EW21" s="141"/>
      <c r="EX21" s="141"/>
      <c r="EY21" s="141"/>
      <c r="EZ21" s="141"/>
      <c r="FA21" s="141"/>
      <c r="FB21" s="141"/>
      <c r="FC21" s="141"/>
      <c r="FD21" s="141"/>
      <c r="FE21" s="141"/>
      <c r="FF21" s="141"/>
      <c r="FG21" s="141"/>
      <c r="FH21" s="141"/>
      <c r="FI21" s="141"/>
      <c r="FJ21" s="141"/>
      <c r="FK21" s="141"/>
      <c r="FL21" s="141"/>
      <c r="FM21" s="141"/>
      <c r="FN21" s="141"/>
      <c r="FO21" s="141"/>
      <c r="FP21" s="141"/>
      <c r="FQ21" s="141"/>
      <c r="FR21" s="141"/>
      <c r="FS21" s="141"/>
      <c r="FT21" s="141"/>
      <c r="FU21" s="141"/>
      <c r="FV21" s="141"/>
      <c r="FW21" s="141"/>
      <c r="FX21" s="141"/>
      <c r="FY21" s="141"/>
      <c r="FZ21" s="141"/>
      <c r="GA21" s="141"/>
      <c r="GB21" s="141"/>
      <c r="GC21" s="141"/>
      <c r="GD21" s="141"/>
      <c r="GE21" s="141"/>
      <c r="GF21" s="141"/>
      <c r="GG21" s="141"/>
      <c r="GH21" s="141"/>
      <c r="GI21" s="141"/>
      <c r="GJ21" s="141"/>
      <c r="GK21" s="141"/>
      <c r="GL21" s="141"/>
      <c r="GM21" s="141"/>
      <c r="GN21" s="141"/>
      <c r="GO21" s="141"/>
      <c r="GP21" s="141"/>
      <c r="GQ21" s="141"/>
      <c r="GR21" s="141"/>
      <c r="GS21" s="141"/>
      <c r="GT21" s="141"/>
      <c r="GU21" s="141"/>
      <c r="GV21" s="141"/>
      <c r="GW21" s="141"/>
      <c r="GX21" s="141"/>
      <c r="GY21" s="141"/>
      <c r="GZ21" s="141"/>
      <c r="HA21" s="141"/>
      <c r="HB21" s="141"/>
      <c r="HC21" s="141"/>
      <c r="HD21" s="141"/>
      <c r="HE21" s="141"/>
      <c r="HF21" s="141"/>
      <c r="HG21" s="141"/>
      <c r="HH21" s="141"/>
      <c r="HI21" s="141"/>
      <c r="HJ21" s="141"/>
      <c r="HK21" s="141"/>
      <c r="HL21" s="141"/>
      <c r="HM21" s="141"/>
      <c r="HN21" s="141"/>
      <c r="HO21" s="141"/>
      <c r="HP21" s="141"/>
      <c r="HQ21" s="141"/>
      <c r="HR21" s="141"/>
      <c r="HS21" s="141"/>
      <c r="HT21" s="141"/>
      <c r="HU21" s="141"/>
      <c r="HV21" s="141"/>
      <c r="HW21" s="141"/>
      <c r="HX21" s="141"/>
      <c r="HY21" s="141"/>
      <c r="HZ21" s="141"/>
      <c r="IA21" s="141"/>
      <c r="IB21" s="141"/>
      <c r="IC21" s="141"/>
      <c r="ID21" s="141"/>
      <c r="IE21" s="141"/>
      <c r="IF21" s="141"/>
      <c r="IG21" s="141"/>
      <c r="IH21" s="141"/>
      <c r="II21" s="141"/>
      <c r="IJ21" s="141"/>
      <c r="IK21" s="141"/>
      <c r="IL21" s="141"/>
      <c r="IM21" s="141"/>
      <c r="IN21" s="141"/>
      <c r="IO21" s="141"/>
      <c r="IP21" s="141"/>
      <c r="IQ21" s="141"/>
      <c r="IR21" s="141"/>
      <c r="IS21" s="141"/>
      <c r="IT21" s="141"/>
      <c r="IU21" s="141"/>
      <c r="IV21" s="141"/>
    </row>
    <row r="22" spans="1:256" s="74" customFormat="1" ht="19.5" x14ac:dyDescent="0.35">
      <c r="A22" s="195"/>
      <c r="B22" s="153" t="s">
        <v>376</v>
      </c>
      <c r="C22" s="153" t="s">
        <v>390</v>
      </c>
      <c r="D22" s="122" t="str">
        <f>TEXT(Ccomp*1000000,"0.000")&amp;" µF"</f>
        <v>0.047 µF</v>
      </c>
      <c r="E22" s="123" t="s">
        <v>378</v>
      </c>
      <c r="F22" s="154"/>
      <c r="G22" s="145"/>
      <c r="H22" s="141"/>
      <c r="I22" s="208"/>
      <c r="J22" s="209"/>
      <c r="K22" s="146"/>
      <c r="L22" s="141"/>
      <c r="M22" s="146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41"/>
      <c r="DL22" s="141"/>
      <c r="DM22" s="141"/>
      <c r="DN22" s="141"/>
      <c r="DO22" s="141"/>
      <c r="DP22" s="141"/>
      <c r="DQ22" s="141"/>
      <c r="DR22" s="141"/>
      <c r="DS22" s="141"/>
      <c r="DT22" s="141"/>
      <c r="DU22" s="141"/>
      <c r="DV22" s="141"/>
      <c r="DW22" s="141"/>
      <c r="DX22" s="141"/>
      <c r="DY22" s="141"/>
      <c r="DZ22" s="141"/>
      <c r="EA22" s="141"/>
      <c r="EB22" s="141"/>
      <c r="EC22" s="141"/>
      <c r="ED22" s="141"/>
      <c r="EE22" s="141"/>
      <c r="EF22" s="141"/>
      <c r="EG22" s="141"/>
      <c r="EH22" s="141"/>
      <c r="EI22" s="141"/>
      <c r="EJ22" s="141"/>
      <c r="EK22" s="141"/>
      <c r="EL22" s="141"/>
      <c r="EM22" s="141"/>
      <c r="EN22" s="141"/>
      <c r="EO22" s="141"/>
      <c r="EP22" s="141"/>
      <c r="EQ22" s="141"/>
      <c r="ER22" s="141"/>
      <c r="ES22" s="141"/>
      <c r="ET22" s="141"/>
      <c r="EU22" s="141"/>
      <c r="EV22" s="141"/>
      <c r="EW22" s="141"/>
      <c r="EX22" s="141"/>
      <c r="EY22" s="141"/>
      <c r="EZ22" s="141"/>
      <c r="FA22" s="141"/>
      <c r="FB22" s="141"/>
      <c r="FC22" s="141"/>
      <c r="FD22" s="141"/>
      <c r="FE22" s="141"/>
      <c r="FF22" s="141"/>
      <c r="FG22" s="141"/>
      <c r="FH22" s="141"/>
      <c r="FI22" s="141"/>
      <c r="FJ22" s="141"/>
      <c r="FK22" s="141"/>
      <c r="FL22" s="141"/>
      <c r="FM22" s="141"/>
      <c r="FN22" s="141"/>
      <c r="FO22" s="141"/>
      <c r="FP22" s="141"/>
      <c r="FQ22" s="141"/>
      <c r="FR22" s="141"/>
      <c r="FS22" s="141"/>
      <c r="FT22" s="141"/>
      <c r="FU22" s="141"/>
      <c r="FV22" s="141"/>
      <c r="FW22" s="141"/>
      <c r="FX22" s="141"/>
      <c r="FY22" s="141"/>
      <c r="FZ22" s="141"/>
      <c r="GA22" s="141"/>
      <c r="GB22" s="141"/>
      <c r="GC22" s="141"/>
      <c r="GD22" s="141"/>
      <c r="GE22" s="141"/>
      <c r="GF22" s="141"/>
      <c r="GG22" s="141"/>
      <c r="GH22" s="141"/>
      <c r="GI22" s="141"/>
      <c r="GJ22" s="141"/>
      <c r="GK22" s="141"/>
      <c r="GL22" s="141"/>
      <c r="GM22" s="141"/>
      <c r="GN22" s="141"/>
      <c r="GO22" s="141"/>
      <c r="GP22" s="141"/>
      <c r="GQ22" s="141"/>
      <c r="GR22" s="141"/>
      <c r="GS22" s="141"/>
      <c r="GT22" s="141"/>
      <c r="GU22" s="141"/>
      <c r="GV22" s="141"/>
      <c r="GW22" s="141"/>
      <c r="GX22" s="141"/>
      <c r="GY22" s="141"/>
      <c r="GZ22" s="141"/>
      <c r="HA22" s="141"/>
      <c r="HB22" s="141"/>
      <c r="HC22" s="141"/>
      <c r="HD22" s="141"/>
      <c r="HE22" s="141"/>
      <c r="HF22" s="141"/>
      <c r="HG22" s="141"/>
      <c r="HH22" s="141"/>
      <c r="HI22" s="141"/>
      <c r="HJ22" s="141"/>
      <c r="HK22" s="141"/>
      <c r="HL22" s="141"/>
      <c r="HM22" s="141"/>
      <c r="HN22" s="141"/>
      <c r="HO22" s="141"/>
      <c r="HP22" s="141"/>
      <c r="HQ22" s="141"/>
      <c r="HR22" s="141"/>
      <c r="HS22" s="141"/>
      <c r="HT22" s="141"/>
      <c r="HU22" s="141"/>
      <c r="HV22" s="141"/>
      <c r="HW22" s="141"/>
      <c r="HX22" s="141"/>
      <c r="HY22" s="141"/>
      <c r="HZ22" s="141"/>
      <c r="IA22" s="141"/>
      <c r="IB22" s="141"/>
      <c r="IC22" s="141"/>
      <c r="ID22" s="141"/>
      <c r="IE22" s="141"/>
      <c r="IF22" s="141"/>
      <c r="IG22" s="141"/>
      <c r="IH22" s="141"/>
      <c r="II22" s="141"/>
      <c r="IJ22" s="141"/>
      <c r="IK22" s="141"/>
      <c r="IL22" s="141"/>
      <c r="IM22" s="141"/>
      <c r="IN22" s="141"/>
      <c r="IO22" s="141"/>
      <c r="IP22" s="141"/>
      <c r="IQ22" s="141"/>
      <c r="IR22" s="141"/>
      <c r="IS22" s="141"/>
      <c r="IT22" s="141"/>
      <c r="IU22" s="141"/>
      <c r="IV22" s="141"/>
    </row>
    <row r="23" spans="1:256" s="74" customFormat="1" ht="19.5" x14ac:dyDescent="0.35">
      <c r="A23" s="195"/>
      <c r="B23" s="153" t="s">
        <v>186</v>
      </c>
      <c r="C23" s="153" t="s">
        <v>391</v>
      </c>
      <c r="D23" s="122" t="str">
        <f>TEXT(D142*1000000,"0.000")&amp;" µF"</f>
        <v>0.100 µF</v>
      </c>
      <c r="E23" s="123" t="s">
        <v>378</v>
      </c>
      <c r="F23" s="154"/>
      <c r="G23" s="145"/>
      <c r="H23" s="141"/>
      <c r="I23" s="208"/>
      <c r="J23" s="209"/>
      <c r="K23" s="146"/>
      <c r="L23" s="141"/>
      <c r="M23" s="146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  <c r="DD23" s="141"/>
      <c r="DE23" s="141"/>
      <c r="DF23" s="141"/>
      <c r="DG23" s="141"/>
      <c r="DH23" s="141"/>
      <c r="DI23" s="141"/>
      <c r="DJ23" s="141"/>
      <c r="DK23" s="141"/>
      <c r="DL23" s="141"/>
      <c r="DM23" s="141"/>
      <c r="DN23" s="141"/>
      <c r="DO23" s="141"/>
      <c r="DP23" s="141"/>
      <c r="DQ23" s="141"/>
      <c r="DR23" s="141"/>
      <c r="DS23" s="141"/>
      <c r="DT23" s="141"/>
      <c r="DU23" s="141"/>
      <c r="DV23" s="141"/>
      <c r="DW23" s="141"/>
      <c r="DX23" s="141"/>
      <c r="DY23" s="141"/>
      <c r="DZ23" s="141"/>
      <c r="EA23" s="141"/>
      <c r="EB23" s="141"/>
      <c r="EC23" s="141"/>
      <c r="ED23" s="141"/>
      <c r="EE23" s="141"/>
      <c r="EF23" s="141"/>
      <c r="EG23" s="141"/>
      <c r="EH23" s="141"/>
      <c r="EI23" s="141"/>
      <c r="EJ23" s="141"/>
      <c r="EK23" s="141"/>
      <c r="EL23" s="141"/>
      <c r="EM23" s="141"/>
      <c r="EN23" s="141"/>
      <c r="EO23" s="141"/>
      <c r="EP23" s="141"/>
      <c r="EQ23" s="141"/>
      <c r="ER23" s="141"/>
      <c r="ES23" s="141"/>
      <c r="ET23" s="141"/>
      <c r="EU23" s="141"/>
      <c r="EV23" s="141"/>
      <c r="EW23" s="141"/>
      <c r="EX23" s="141"/>
      <c r="EY23" s="141"/>
      <c r="EZ23" s="141"/>
      <c r="FA23" s="141"/>
      <c r="FB23" s="141"/>
      <c r="FC23" s="141"/>
      <c r="FD23" s="141"/>
      <c r="FE23" s="141"/>
      <c r="FF23" s="141"/>
      <c r="FG23" s="141"/>
      <c r="FH23" s="141"/>
      <c r="FI23" s="141"/>
      <c r="FJ23" s="141"/>
      <c r="FK23" s="141"/>
      <c r="FL23" s="141"/>
      <c r="FM23" s="141"/>
      <c r="FN23" s="141"/>
      <c r="FO23" s="141"/>
      <c r="FP23" s="141"/>
      <c r="FQ23" s="141"/>
      <c r="FR23" s="141"/>
      <c r="FS23" s="141"/>
      <c r="FT23" s="141"/>
      <c r="FU23" s="141"/>
      <c r="FV23" s="141"/>
      <c r="FW23" s="141"/>
      <c r="FX23" s="141"/>
      <c r="FY23" s="141"/>
      <c r="FZ23" s="141"/>
      <c r="GA23" s="141"/>
      <c r="GB23" s="141"/>
      <c r="GC23" s="141"/>
      <c r="GD23" s="141"/>
      <c r="GE23" s="141"/>
      <c r="GF23" s="141"/>
      <c r="GG23" s="141"/>
      <c r="GH23" s="141"/>
      <c r="GI23" s="141"/>
      <c r="GJ23" s="141"/>
      <c r="GK23" s="141"/>
      <c r="GL23" s="141"/>
      <c r="GM23" s="141"/>
      <c r="GN23" s="141"/>
      <c r="GO23" s="141"/>
      <c r="GP23" s="141"/>
      <c r="GQ23" s="141"/>
      <c r="GR23" s="141"/>
      <c r="GS23" s="141"/>
      <c r="GT23" s="141"/>
      <c r="GU23" s="141"/>
      <c r="GV23" s="141"/>
      <c r="GW23" s="141"/>
      <c r="GX23" s="141"/>
      <c r="GY23" s="141"/>
      <c r="GZ23" s="141"/>
      <c r="HA23" s="141"/>
      <c r="HB23" s="141"/>
      <c r="HC23" s="141"/>
      <c r="HD23" s="141"/>
      <c r="HE23" s="141"/>
      <c r="HF23" s="141"/>
      <c r="HG23" s="141"/>
      <c r="HH23" s="141"/>
      <c r="HI23" s="141"/>
      <c r="HJ23" s="141"/>
      <c r="HK23" s="141"/>
      <c r="HL23" s="141"/>
      <c r="HM23" s="141"/>
      <c r="HN23" s="141"/>
      <c r="HO23" s="141"/>
      <c r="HP23" s="141"/>
      <c r="HQ23" s="141"/>
      <c r="HR23" s="141"/>
      <c r="HS23" s="141"/>
      <c r="HT23" s="141"/>
      <c r="HU23" s="141"/>
      <c r="HV23" s="141"/>
      <c r="HW23" s="141"/>
      <c r="HX23" s="141"/>
      <c r="HY23" s="141"/>
      <c r="HZ23" s="141"/>
      <c r="IA23" s="141"/>
      <c r="IB23" s="141"/>
      <c r="IC23" s="141"/>
      <c r="ID23" s="141"/>
      <c r="IE23" s="141"/>
      <c r="IF23" s="141"/>
      <c r="IG23" s="141"/>
      <c r="IH23" s="141"/>
      <c r="II23" s="141"/>
      <c r="IJ23" s="141"/>
      <c r="IK23" s="141"/>
      <c r="IL23" s="141"/>
      <c r="IM23" s="141"/>
      <c r="IN23" s="141"/>
      <c r="IO23" s="141"/>
      <c r="IP23" s="141"/>
      <c r="IQ23" s="141"/>
      <c r="IR23" s="141"/>
      <c r="IS23" s="141"/>
      <c r="IT23" s="141"/>
      <c r="IU23" s="141"/>
      <c r="IV23" s="141"/>
    </row>
    <row r="24" spans="1:256" s="74" customFormat="1" ht="19.5" x14ac:dyDescent="0.35">
      <c r="A24" s="195"/>
      <c r="B24" s="153" t="s">
        <v>187</v>
      </c>
      <c r="C24" s="153" t="s">
        <v>392</v>
      </c>
      <c r="D24" s="122" t="str">
        <f>IF(Chf&lt;=0.000000000001,"not used",TEXT(Chf*1000000000000,"0")&amp;" pF")</f>
        <v>560 pF</v>
      </c>
      <c r="E24" s="123" t="s">
        <v>378</v>
      </c>
      <c r="F24" s="154"/>
      <c r="G24" s="145"/>
      <c r="H24" s="141"/>
      <c r="I24" s="208"/>
      <c r="J24" s="209"/>
      <c r="K24" s="146"/>
      <c r="L24" s="141"/>
      <c r="M24" s="146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  <c r="DD24" s="141"/>
      <c r="DE24" s="141"/>
      <c r="DF24" s="141"/>
      <c r="DG24" s="141"/>
      <c r="DH24" s="141"/>
      <c r="DI24" s="141"/>
      <c r="DJ24" s="141"/>
      <c r="DK24" s="141"/>
      <c r="DL24" s="141"/>
      <c r="DM24" s="141"/>
      <c r="DN24" s="141"/>
      <c r="DO24" s="141"/>
      <c r="DP24" s="141"/>
      <c r="DQ24" s="141"/>
      <c r="DR24" s="141"/>
      <c r="DS24" s="141"/>
      <c r="DT24" s="141"/>
      <c r="DU24" s="141"/>
      <c r="DV24" s="141"/>
      <c r="DW24" s="141"/>
      <c r="DX24" s="141"/>
      <c r="DY24" s="141"/>
      <c r="DZ24" s="141"/>
      <c r="EA24" s="141"/>
      <c r="EB24" s="141"/>
      <c r="EC24" s="141"/>
      <c r="ED24" s="141"/>
      <c r="EE24" s="141"/>
      <c r="EF24" s="141"/>
      <c r="EG24" s="141"/>
      <c r="EH24" s="141"/>
      <c r="EI24" s="141"/>
      <c r="EJ24" s="141"/>
      <c r="EK24" s="141"/>
      <c r="EL24" s="141"/>
      <c r="EM24" s="141"/>
      <c r="EN24" s="141"/>
      <c r="EO24" s="141"/>
      <c r="EP24" s="141"/>
      <c r="EQ24" s="141"/>
      <c r="ER24" s="141"/>
      <c r="ES24" s="141"/>
      <c r="ET24" s="141"/>
      <c r="EU24" s="141"/>
      <c r="EV24" s="141"/>
      <c r="EW24" s="141"/>
      <c r="EX24" s="141"/>
      <c r="EY24" s="141"/>
      <c r="EZ24" s="141"/>
      <c r="FA24" s="141"/>
      <c r="FB24" s="141"/>
      <c r="FC24" s="141"/>
      <c r="FD24" s="141"/>
      <c r="FE24" s="141"/>
      <c r="FF24" s="141"/>
      <c r="FG24" s="141"/>
      <c r="FH24" s="141"/>
      <c r="FI24" s="141"/>
      <c r="FJ24" s="141"/>
      <c r="FK24" s="141"/>
      <c r="FL24" s="141"/>
      <c r="FM24" s="141"/>
      <c r="FN24" s="141"/>
      <c r="FO24" s="141"/>
      <c r="FP24" s="141"/>
      <c r="FQ24" s="141"/>
      <c r="FR24" s="141"/>
      <c r="FS24" s="141"/>
      <c r="FT24" s="141"/>
      <c r="FU24" s="141"/>
      <c r="FV24" s="141"/>
      <c r="FW24" s="141"/>
      <c r="FX24" s="141"/>
      <c r="FY24" s="141"/>
      <c r="FZ24" s="141"/>
      <c r="GA24" s="141"/>
      <c r="GB24" s="141"/>
      <c r="GC24" s="141"/>
      <c r="GD24" s="141"/>
      <c r="GE24" s="141"/>
      <c r="GF24" s="141"/>
      <c r="GG24" s="141"/>
      <c r="GH24" s="141"/>
      <c r="GI24" s="141"/>
      <c r="GJ24" s="141"/>
      <c r="GK24" s="141"/>
      <c r="GL24" s="141"/>
      <c r="GM24" s="141"/>
      <c r="GN24" s="141"/>
      <c r="GO24" s="141"/>
      <c r="GP24" s="141"/>
      <c r="GQ24" s="141"/>
      <c r="GR24" s="141"/>
      <c r="GS24" s="141"/>
      <c r="GT24" s="141"/>
      <c r="GU24" s="141"/>
      <c r="GV24" s="141"/>
      <c r="GW24" s="141"/>
      <c r="GX24" s="141"/>
      <c r="GY24" s="141"/>
      <c r="GZ24" s="141"/>
      <c r="HA24" s="141"/>
      <c r="HB24" s="141"/>
      <c r="HC24" s="141"/>
      <c r="HD24" s="141"/>
      <c r="HE24" s="141"/>
      <c r="HF24" s="141"/>
      <c r="HG24" s="141"/>
      <c r="HH24" s="141"/>
      <c r="HI24" s="141"/>
      <c r="HJ24" s="141"/>
      <c r="HK24" s="141"/>
      <c r="HL24" s="141"/>
      <c r="HM24" s="141"/>
      <c r="HN24" s="141"/>
      <c r="HO24" s="141"/>
      <c r="HP24" s="141"/>
      <c r="HQ24" s="141"/>
      <c r="HR24" s="141"/>
      <c r="HS24" s="141"/>
      <c r="HT24" s="141"/>
      <c r="HU24" s="141"/>
      <c r="HV24" s="141"/>
      <c r="HW24" s="141"/>
      <c r="HX24" s="141"/>
      <c r="HY24" s="141"/>
      <c r="HZ24" s="141"/>
      <c r="IA24" s="141"/>
      <c r="IB24" s="141"/>
      <c r="IC24" s="141"/>
      <c r="ID24" s="141"/>
      <c r="IE24" s="141"/>
      <c r="IF24" s="141"/>
      <c r="IG24" s="141"/>
      <c r="IH24" s="141"/>
      <c r="II24" s="141"/>
      <c r="IJ24" s="141"/>
      <c r="IK24" s="141"/>
      <c r="IL24" s="141"/>
      <c r="IM24" s="141"/>
      <c r="IN24" s="141"/>
      <c r="IO24" s="141"/>
      <c r="IP24" s="141"/>
      <c r="IQ24" s="141"/>
      <c r="IR24" s="141"/>
      <c r="IS24" s="141"/>
      <c r="IT24" s="141"/>
      <c r="IU24" s="141"/>
      <c r="IV24" s="141"/>
    </row>
    <row r="25" spans="1:256" s="74" customFormat="1" ht="19.5" x14ac:dyDescent="0.35">
      <c r="A25" s="195"/>
      <c r="B25" s="153" t="s">
        <v>380</v>
      </c>
      <c r="C25" s="153" t="s">
        <v>393</v>
      </c>
      <c r="D25" s="122" t="str">
        <f>TEXT(D107*1000000,"0.000")&amp;" µF"</f>
        <v>0.100 µF</v>
      </c>
      <c r="E25" s="123" t="str">
        <f>Vcc_typ&amp;"V"</f>
        <v>5.5V</v>
      </c>
      <c r="F25" s="154"/>
      <c r="G25" s="145"/>
      <c r="H25" s="141"/>
      <c r="I25" s="208"/>
      <c r="J25" s="209"/>
      <c r="K25" s="146"/>
      <c r="L25" s="141"/>
      <c r="M25" s="146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41"/>
      <c r="CN25" s="141"/>
      <c r="CO25" s="141"/>
      <c r="CP25" s="141"/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  <c r="DD25" s="141"/>
      <c r="DE25" s="141"/>
      <c r="DF25" s="141"/>
      <c r="DG25" s="141"/>
      <c r="DH25" s="141"/>
      <c r="DI25" s="141"/>
      <c r="DJ25" s="141"/>
      <c r="DK25" s="141"/>
      <c r="DL25" s="141"/>
      <c r="DM25" s="141"/>
      <c r="DN25" s="141"/>
      <c r="DO25" s="141"/>
      <c r="DP25" s="141"/>
      <c r="DQ25" s="141"/>
      <c r="DR25" s="141"/>
      <c r="DS25" s="141"/>
      <c r="DT25" s="141"/>
      <c r="DU25" s="141"/>
      <c r="DV25" s="141"/>
      <c r="DW25" s="141"/>
      <c r="DX25" s="141"/>
      <c r="DY25" s="141"/>
      <c r="DZ25" s="141"/>
      <c r="EA25" s="141"/>
      <c r="EB25" s="141"/>
      <c r="EC25" s="141"/>
      <c r="ED25" s="141"/>
      <c r="EE25" s="141"/>
      <c r="EF25" s="141"/>
      <c r="EG25" s="141"/>
      <c r="EH25" s="141"/>
      <c r="EI25" s="141"/>
      <c r="EJ25" s="141"/>
      <c r="EK25" s="141"/>
      <c r="EL25" s="141"/>
      <c r="EM25" s="141"/>
      <c r="EN25" s="141"/>
      <c r="EO25" s="141"/>
      <c r="EP25" s="141"/>
      <c r="EQ25" s="141"/>
      <c r="ER25" s="141"/>
      <c r="ES25" s="141"/>
      <c r="ET25" s="141"/>
      <c r="EU25" s="141"/>
      <c r="EV25" s="141"/>
      <c r="EW25" s="141"/>
      <c r="EX25" s="141"/>
      <c r="EY25" s="141"/>
      <c r="EZ25" s="141"/>
      <c r="FA25" s="141"/>
      <c r="FB25" s="141"/>
      <c r="FC25" s="141"/>
      <c r="FD25" s="141"/>
      <c r="FE25" s="141"/>
      <c r="FF25" s="141"/>
      <c r="FG25" s="141"/>
      <c r="FH25" s="141"/>
      <c r="FI25" s="141"/>
      <c r="FJ25" s="141"/>
      <c r="FK25" s="141"/>
      <c r="FL25" s="141"/>
      <c r="FM25" s="141"/>
      <c r="FN25" s="141"/>
      <c r="FO25" s="141"/>
      <c r="FP25" s="141"/>
      <c r="FQ25" s="141"/>
      <c r="FR25" s="141"/>
      <c r="FS25" s="141"/>
      <c r="FT25" s="141"/>
      <c r="FU25" s="141"/>
      <c r="FV25" s="141"/>
      <c r="FW25" s="141"/>
      <c r="FX25" s="141"/>
      <c r="FY25" s="141"/>
      <c r="FZ25" s="141"/>
      <c r="GA25" s="141"/>
      <c r="GB25" s="141"/>
      <c r="GC25" s="141"/>
      <c r="GD25" s="141"/>
      <c r="GE25" s="141"/>
      <c r="GF25" s="141"/>
      <c r="GG25" s="141"/>
      <c r="GH25" s="141"/>
      <c r="GI25" s="141"/>
      <c r="GJ25" s="141"/>
      <c r="GK25" s="141"/>
      <c r="GL25" s="141"/>
      <c r="GM25" s="141"/>
      <c r="GN25" s="141"/>
      <c r="GO25" s="141"/>
      <c r="GP25" s="141"/>
      <c r="GQ25" s="141"/>
      <c r="GR25" s="141"/>
      <c r="GS25" s="141"/>
      <c r="GT25" s="141"/>
      <c r="GU25" s="141"/>
      <c r="GV25" s="141"/>
      <c r="GW25" s="141"/>
      <c r="GX25" s="141"/>
      <c r="GY25" s="141"/>
      <c r="GZ25" s="141"/>
      <c r="HA25" s="141"/>
      <c r="HB25" s="141"/>
      <c r="HC25" s="141"/>
      <c r="HD25" s="141"/>
      <c r="HE25" s="141"/>
      <c r="HF25" s="141"/>
      <c r="HG25" s="141"/>
      <c r="HH25" s="141"/>
      <c r="HI25" s="141"/>
      <c r="HJ25" s="141"/>
      <c r="HK25" s="141"/>
      <c r="HL25" s="141"/>
      <c r="HM25" s="141"/>
      <c r="HN25" s="141"/>
      <c r="HO25" s="141"/>
      <c r="HP25" s="141"/>
      <c r="HQ25" s="141"/>
      <c r="HR25" s="141"/>
      <c r="HS25" s="141"/>
      <c r="HT25" s="141"/>
      <c r="HU25" s="141"/>
      <c r="HV25" s="141"/>
      <c r="HW25" s="141"/>
      <c r="HX25" s="141"/>
      <c r="HY25" s="141"/>
      <c r="HZ25" s="141"/>
      <c r="IA25" s="141"/>
      <c r="IB25" s="141"/>
      <c r="IC25" s="141"/>
      <c r="ID25" s="141"/>
      <c r="IE25" s="141"/>
      <c r="IF25" s="141"/>
      <c r="IG25" s="141"/>
      <c r="IH25" s="141"/>
      <c r="II25" s="141"/>
      <c r="IJ25" s="141"/>
      <c r="IK25" s="141"/>
      <c r="IL25" s="141"/>
      <c r="IM25" s="141"/>
      <c r="IN25" s="141"/>
      <c r="IO25" s="141"/>
      <c r="IP25" s="141"/>
      <c r="IQ25" s="141"/>
      <c r="IR25" s="141"/>
      <c r="IS25" s="141"/>
      <c r="IT25" s="141"/>
      <c r="IU25" s="141"/>
      <c r="IV25" s="141"/>
    </row>
    <row r="26" spans="1:256" s="74" customFormat="1" ht="19.5" x14ac:dyDescent="0.35">
      <c r="A26" s="195"/>
      <c r="B26" s="153" t="s">
        <v>381</v>
      </c>
      <c r="C26" s="153" t="s">
        <v>394</v>
      </c>
      <c r="D26" s="122" t="str">
        <f>TEXT(CVcc*1000000,"0.000")&amp;" µF"</f>
        <v>5.600 µF</v>
      </c>
      <c r="E26" s="123" t="str">
        <f>Vcc_typ&amp;"V"</f>
        <v>5.5V</v>
      </c>
      <c r="F26" s="154"/>
      <c r="G26" s="145"/>
      <c r="H26" s="141"/>
      <c r="I26" s="208"/>
      <c r="J26" s="209"/>
      <c r="K26" s="146"/>
      <c r="L26" s="141"/>
      <c r="M26" s="146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141"/>
      <c r="CP26" s="141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41"/>
      <c r="DP26" s="141"/>
      <c r="DQ26" s="141"/>
      <c r="DR26" s="141"/>
      <c r="DS26" s="141"/>
      <c r="DT26" s="141"/>
      <c r="DU26" s="141"/>
      <c r="DV26" s="141"/>
      <c r="DW26" s="141"/>
      <c r="DX26" s="141"/>
      <c r="DY26" s="141"/>
      <c r="DZ26" s="141"/>
      <c r="EA26" s="141"/>
      <c r="EB26" s="141"/>
      <c r="EC26" s="141"/>
      <c r="ED26" s="141"/>
      <c r="EE26" s="141"/>
      <c r="EF26" s="141"/>
      <c r="EG26" s="141"/>
      <c r="EH26" s="141"/>
      <c r="EI26" s="141"/>
      <c r="EJ26" s="141"/>
      <c r="EK26" s="141"/>
      <c r="EL26" s="141"/>
      <c r="EM26" s="141"/>
      <c r="EN26" s="141"/>
      <c r="EO26" s="141"/>
      <c r="EP26" s="141"/>
      <c r="EQ26" s="141"/>
      <c r="ER26" s="141"/>
      <c r="ES26" s="141"/>
      <c r="ET26" s="141"/>
      <c r="EU26" s="141"/>
      <c r="EV26" s="141"/>
      <c r="EW26" s="141"/>
      <c r="EX26" s="141"/>
      <c r="EY26" s="141"/>
      <c r="EZ26" s="141"/>
      <c r="FA26" s="141"/>
      <c r="FB26" s="141"/>
      <c r="FC26" s="141"/>
      <c r="FD26" s="141"/>
      <c r="FE26" s="141"/>
      <c r="FF26" s="141"/>
      <c r="FG26" s="141"/>
      <c r="FH26" s="141"/>
      <c r="FI26" s="141"/>
      <c r="FJ26" s="141"/>
      <c r="FK26" s="141"/>
      <c r="FL26" s="141"/>
      <c r="FM26" s="141"/>
      <c r="FN26" s="141"/>
      <c r="FO26" s="141"/>
      <c r="FP26" s="141"/>
      <c r="FQ26" s="141"/>
      <c r="FR26" s="141"/>
      <c r="FS26" s="141"/>
      <c r="FT26" s="141"/>
      <c r="FU26" s="141"/>
      <c r="FV26" s="141"/>
      <c r="FW26" s="141"/>
      <c r="FX26" s="141"/>
      <c r="FY26" s="141"/>
      <c r="FZ26" s="141"/>
      <c r="GA26" s="141"/>
      <c r="GB26" s="141"/>
      <c r="GC26" s="141"/>
      <c r="GD26" s="141"/>
      <c r="GE26" s="141"/>
      <c r="GF26" s="141"/>
      <c r="GG26" s="141"/>
      <c r="GH26" s="141"/>
      <c r="GI26" s="141"/>
      <c r="GJ26" s="141"/>
      <c r="GK26" s="141"/>
      <c r="GL26" s="141"/>
      <c r="GM26" s="141"/>
      <c r="GN26" s="141"/>
      <c r="GO26" s="141"/>
      <c r="GP26" s="141"/>
      <c r="GQ26" s="141"/>
      <c r="GR26" s="141"/>
      <c r="GS26" s="141"/>
      <c r="GT26" s="141"/>
      <c r="GU26" s="141"/>
      <c r="GV26" s="141"/>
      <c r="GW26" s="141"/>
      <c r="GX26" s="141"/>
      <c r="GY26" s="141"/>
      <c r="GZ26" s="141"/>
      <c r="HA26" s="141"/>
      <c r="HB26" s="141"/>
      <c r="HC26" s="141"/>
      <c r="HD26" s="141"/>
      <c r="HE26" s="141"/>
      <c r="HF26" s="141"/>
      <c r="HG26" s="141"/>
      <c r="HH26" s="141"/>
      <c r="HI26" s="141"/>
      <c r="HJ26" s="141"/>
      <c r="HK26" s="141"/>
      <c r="HL26" s="141"/>
      <c r="HM26" s="141"/>
      <c r="HN26" s="141"/>
      <c r="HO26" s="141"/>
      <c r="HP26" s="141"/>
      <c r="HQ26" s="141"/>
      <c r="HR26" s="141"/>
      <c r="HS26" s="141"/>
      <c r="HT26" s="141"/>
      <c r="HU26" s="141"/>
      <c r="HV26" s="141"/>
      <c r="HW26" s="141"/>
      <c r="HX26" s="141"/>
      <c r="HY26" s="141"/>
      <c r="HZ26" s="141"/>
      <c r="IA26" s="141"/>
      <c r="IB26" s="141"/>
      <c r="IC26" s="141"/>
      <c r="ID26" s="141"/>
      <c r="IE26" s="141"/>
      <c r="IF26" s="141"/>
      <c r="IG26" s="141"/>
      <c r="IH26" s="141"/>
      <c r="II26" s="141"/>
      <c r="IJ26" s="141"/>
      <c r="IK26" s="141"/>
      <c r="IL26" s="141"/>
      <c r="IM26" s="141"/>
      <c r="IN26" s="141"/>
      <c r="IO26" s="141"/>
      <c r="IP26" s="141"/>
      <c r="IQ26" s="141"/>
      <c r="IR26" s="141"/>
      <c r="IS26" s="141"/>
      <c r="IT26" s="141"/>
      <c r="IU26" s="141"/>
      <c r="IV26" s="141"/>
    </row>
    <row r="27" spans="1:256" s="74" customFormat="1" ht="19.5" x14ac:dyDescent="0.35">
      <c r="A27" s="195"/>
      <c r="B27" s="153" t="s">
        <v>185</v>
      </c>
      <c r="C27" s="153" t="s">
        <v>399</v>
      </c>
      <c r="D27" s="122" t="str">
        <f>TEXT(Cochosen*1000000,"0.0")&amp;" µF, "&amp;TEXT(Co_esr,"0.000")&amp;"Ω"</f>
        <v>26.1 µF, 0.009Ω</v>
      </c>
      <c r="E27" s="123" t="str">
        <f>Vout&amp;"V"</f>
        <v>24V</v>
      </c>
      <c r="F27" s="124" t="str">
        <f>"Irms = "&amp;TEXT(Irms_cout,"0.000")&amp;"A"</f>
        <v>Irms = 3.362A</v>
      </c>
      <c r="G27" s="145"/>
      <c r="H27" s="141"/>
      <c r="I27" s="208"/>
      <c r="J27" s="209"/>
      <c r="K27" s="146"/>
      <c r="L27" s="141"/>
      <c r="M27" s="146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1"/>
      <c r="BN27" s="141"/>
      <c r="BO27" s="141"/>
      <c r="BP27" s="141"/>
      <c r="BQ27" s="141"/>
      <c r="BR27" s="141"/>
      <c r="BS27" s="141"/>
      <c r="BT27" s="141"/>
      <c r="BU27" s="141"/>
      <c r="BV27" s="141"/>
      <c r="BW27" s="141"/>
      <c r="BX27" s="141"/>
      <c r="BY27" s="141"/>
      <c r="BZ27" s="141"/>
      <c r="CA27" s="141"/>
      <c r="CB27" s="141"/>
      <c r="CC27" s="141"/>
      <c r="CD27" s="141"/>
      <c r="CE27" s="141"/>
      <c r="CF27" s="141"/>
      <c r="CG27" s="141"/>
      <c r="CH27" s="141"/>
      <c r="CI27" s="141"/>
      <c r="CJ27" s="141"/>
      <c r="CK27" s="141"/>
      <c r="CL27" s="141"/>
      <c r="CM27" s="141"/>
      <c r="CN27" s="141"/>
      <c r="CO27" s="141"/>
      <c r="CP27" s="141"/>
      <c r="CQ27" s="141"/>
      <c r="CR27" s="141"/>
      <c r="CS27" s="141"/>
      <c r="CT27" s="141"/>
      <c r="CU27" s="141"/>
      <c r="CV27" s="141"/>
      <c r="CW27" s="141"/>
      <c r="CX27" s="141"/>
      <c r="CY27" s="141"/>
      <c r="CZ27" s="141"/>
      <c r="DA27" s="141"/>
      <c r="DB27" s="141"/>
      <c r="DC27" s="141"/>
      <c r="DD27" s="141"/>
      <c r="DE27" s="141"/>
      <c r="DF27" s="141"/>
      <c r="DG27" s="141"/>
      <c r="DH27" s="141"/>
      <c r="DI27" s="141"/>
      <c r="DJ27" s="141"/>
      <c r="DK27" s="141"/>
      <c r="DL27" s="141"/>
      <c r="DM27" s="141"/>
      <c r="DN27" s="141"/>
      <c r="DO27" s="141"/>
      <c r="DP27" s="141"/>
      <c r="DQ27" s="141"/>
      <c r="DR27" s="141"/>
      <c r="DS27" s="141"/>
      <c r="DT27" s="141"/>
      <c r="DU27" s="141"/>
      <c r="DV27" s="141"/>
      <c r="DW27" s="141"/>
      <c r="DX27" s="141"/>
      <c r="DY27" s="141"/>
      <c r="DZ27" s="141"/>
      <c r="EA27" s="141"/>
      <c r="EB27" s="141"/>
      <c r="EC27" s="141"/>
      <c r="ED27" s="141"/>
      <c r="EE27" s="141"/>
      <c r="EF27" s="141"/>
      <c r="EG27" s="141"/>
      <c r="EH27" s="141"/>
      <c r="EI27" s="141"/>
      <c r="EJ27" s="141"/>
      <c r="EK27" s="141"/>
      <c r="EL27" s="141"/>
      <c r="EM27" s="141"/>
      <c r="EN27" s="141"/>
      <c r="EO27" s="141"/>
      <c r="EP27" s="141"/>
      <c r="EQ27" s="141"/>
      <c r="ER27" s="141"/>
      <c r="ES27" s="141"/>
      <c r="ET27" s="141"/>
      <c r="EU27" s="141"/>
      <c r="EV27" s="141"/>
      <c r="EW27" s="141"/>
      <c r="EX27" s="141"/>
      <c r="EY27" s="141"/>
      <c r="EZ27" s="141"/>
      <c r="FA27" s="141"/>
      <c r="FB27" s="141"/>
      <c r="FC27" s="141"/>
      <c r="FD27" s="141"/>
      <c r="FE27" s="141"/>
      <c r="FF27" s="141"/>
      <c r="FG27" s="141"/>
      <c r="FH27" s="141"/>
      <c r="FI27" s="141"/>
      <c r="FJ27" s="141"/>
      <c r="FK27" s="141"/>
      <c r="FL27" s="141"/>
      <c r="FM27" s="141"/>
      <c r="FN27" s="141"/>
      <c r="FO27" s="141"/>
      <c r="FP27" s="141"/>
      <c r="FQ27" s="141"/>
      <c r="FR27" s="141"/>
      <c r="FS27" s="141"/>
      <c r="FT27" s="141"/>
      <c r="FU27" s="141"/>
      <c r="FV27" s="141"/>
      <c r="FW27" s="141"/>
      <c r="FX27" s="141"/>
      <c r="FY27" s="141"/>
      <c r="FZ27" s="141"/>
      <c r="GA27" s="141"/>
      <c r="GB27" s="141"/>
      <c r="GC27" s="141"/>
      <c r="GD27" s="141"/>
      <c r="GE27" s="141"/>
      <c r="GF27" s="141"/>
      <c r="GG27" s="141"/>
      <c r="GH27" s="141"/>
      <c r="GI27" s="141"/>
      <c r="GJ27" s="141"/>
      <c r="GK27" s="141"/>
      <c r="GL27" s="141"/>
      <c r="GM27" s="141"/>
      <c r="GN27" s="141"/>
      <c r="GO27" s="141"/>
      <c r="GP27" s="141"/>
      <c r="GQ27" s="141"/>
      <c r="GR27" s="141"/>
      <c r="GS27" s="141"/>
      <c r="GT27" s="141"/>
      <c r="GU27" s="141"/>
      <c r="GV27" s="141"/>
      <c r="GW27" s="141"/>
      <c r="GX27" s="141"/>
      <c r="GY27" s="141"/>
      <c r="GZ27" s="141"/>
      <c r="HA27" s="141"/>
      <c r="HB27" s="141"/>
      <c r="HC27" s="141"/>
      <c r="HD27" s="141"/>
      <c r="HE27" s="141"/>
      <c r="HF27" s="141"/>
      <c r="HG27" s="141"/>
      <c r="HH27" s="141"/>
      <c r="HI27" s="141"/>
      <c r="HJ27" s="141"/>
      <c r="HK27" s="141"/>
      <c r="HL27" s="141"/>
      <c r="HM27" s="141"/>
      <c r="HN27" s="141"/>
      <c r="HO27" s="141"/>
      <c r="HP27" s="141"/>
      <c r="HQ27" s="141"/>
      <c r="HR27" s="141"/>
      <c r="HS27" s="141"/>
      <c r="HT27" s="141"/>
      <c r="HU27" s="141"/>
      <c r="HV27" s="141"/>
      <c r="HW27" s="141"/>
      <c r="HX27" s="141"/>
      <c r="HY27" s="141"/>
      <c r="HZ27" s="141"/>
      <c r="IA27" s="141"/>
      <c r="IB27" s="141"/>
      <c r="IC27" s="141"/>
      <c r="ID27" s="141"/>
      <c r="IE27" s="141"/>
      <c r="IF27" s="141"/>
      <c r="IG27" s="141"/>
      <c r="IH27" s="141"/>
      <c r="II27" s="141"/>
      <c r="IJ27" s="141"/>
      <c r="IK27" s="141"/>
      <c r="IL27" s="141"/>
      <c r="IM27" s="141"/>
      <c r="IN27" s="141"/>
      <c r="IO27" s="141"/>
      <c r="IP27" s="141"/>
      <c r="IQ27" s="141"/>
      <c r="IR27" s="141"/>
      <c r="IS27" s="141"/>
      <c r="IT27" s="141"/>
      <c r="IU27" s="141"/>
      <c r="IV27" s="141"/>
    </row>
    <row r="28" spans="1:256" s="74" customFormat="1" ht="19.5" x14ac:dyDescent="0.35">
      <c r="A28" s="195"/>
      <c r="B28" s="153" t="s">
        <v>384</v>
      </c>
      <c r="C28" s="153" t="s">
        <v>395</v>
      </c>
      <c r="D28" s="122" t="str">
        <f>D118</f>
        <v>n/a</v>
      </c>
      <c r="E28" s="123" t="str">
        <f>Vout&amp;"V"</f>
        <v>24V</v>
      </c>
      <c r="F28" s="141"/>
      <c r="G28" s="146"/>
      <c r="H28" s="141"/>
      <c r="I28" s="198"/>
      <c r="J28" s="209"/>
      <c r="K28" s="146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/>
      <c r="DA28" s="141"/>
      <c r="DB28" s="141"/>
      <c r="DC28" s="141"/>
      <c r="DD28" s="141"/>
      <c r="DE28" s="141"/>
      <c r="DF28" s="141"/>
      <c r="DG28" s="141"/>
      <c r="DH28" s="141"/>
      <c r="DI28" s="141"/>
      <c r="DJ28" s="141"/>
      <c r="DK28" s="141"/>
      <c r="DL28" s="141"/>
      <c r="DM28" s="141"/>
      <c r="DN28" s="141"/>
      <c r="DO28" s="141"/>
      <c r="DP28" s="141"/>
      <c r="DQ28" s="141"/>
      <c r="DR28" s="141"/>
      <c r="DS28" s="141"/>
      <c r="DT28" s="141"/>
      <c r="DU28" s="141"/>
      <c r="DV28" s="141"/>
      <c r="DW28" s="141"/>
      <c r="DX28" s="141"/>
      <c r="DY28" s="141"/>
      <c r="DZ28" s="141"/>
      <c r="EA28" s="141"/>
      <c r="EB28" s="141"/>
      <c r="EC28" s="141"/>
      <c r="ED28" s="141"/>
      <c r="EE28" s="141"/>
      <c r="EF28" s="141"/>
      <c r="EG28" s="141"/>
      <c r="EH28" s="141"/>
      <c r="EI28" s="141"/>
      <c r="EJ28" s="141"/>
      <c r="EK28" s="141"/>
      <c r="EL28" s="141"/>
      <c r="EM28" s="141"/>
      <c r="EN28" s="141"/>
      <c r="EO28" s="141"/>
      <c r="EP28" s="141"/>
      <c r="EQ28" s="141"/>
      <c r="ER28" s="141"/>
      <c r="ES28" s="141"/>
      <c r="ET28" s="141"/>
      <c r="EU28" s="141"/>
      <c r="EV28" s="141"/>
      <c r="EW28" s="141"/>
      <c r="EX28" s="141"/>
      <c r="EY28" s="141"/>
      <c r="EZ28" s="141"/>
      <c r="FA28" s="141"/>
      <c r="FB28" s="141"/>
      <c r="FC28" s="141"/>
      <c r="FD28" s="141"/>
      <c r="FE28" s="141"/>
      <c r="FF28" s="141"/>
      <c r="FG28" s="141"/>
      <c r="FH28" s="141"/>
      <c r="FI28" s="141"/>
      <c r="FJ28" s="141"/>
      <c r="FK28" s="141"/>
      <c r="FL28" s="141"/>
      <c r="FM28" s="141"/>
      <c r="FN28" s="141"/>
      <c r="FO28" s="141"/>
      <c r="FP28" s="141"/>
      <c r="FQ28" s="141"/>
      <c r="FR28" s="141"/>
      <c r="FS28" s="141"/>
      <c r="FT28" s="141"/>
      <c r="FU28" s="141"/>
      <c r="FV28" s="141"/>
      <c r="FW28" s="141"/>
      <c r="FX28" s="141"/>
      <c r="FY28" s="141"/>
      <c r="FZ28" s="141"/>
      <c r="GA28" s="141"/>
      <c r="GB28" s="141"/>
      <c r="GC28" s="141"/>
      <c r="GD28" s="141"/>
      <c r="GE28" s="141"/>
      <c r="GF28" s="141"/>
      <c r="GG28" s="141"/>
      <c r="GH28" s="141"/>
      <c r="GI28" s="141"/>
      <c r="GJ28" s="141"/>
      <c r="GK28" s="141"/>
      <c r="GL28" s="141"/>
      <c r="GM28" s="141"/>
      <c r="GN28" s="141"/>
      <c r="GO28" s="141"/>
      <c r="GP28" s="141"/>
      <c r="GQ28" s="141"/>
      <c r="GR28" s="141"/>
      <c r="GS28" s="141"/>
      <c r="GT28" s="141"/>
      <c r="GU28" s="141"/>
      <c r="GV28" s="141"/>
      <c r="GW28" s="141"/>
      <c r="GX28" s="141"/>
      <c r="GY28" s="141"/>
      <c r="GZ28" s="141"/>
      <c r="HA28" s="141"/>
      <c r="HB28" s="141"/>
      <c r="HC28" s="141"/>
      <c r="HD28" s="141"/>
      <c r="HE28" s="141"/>
      <c r="HF28" s="141"/>
      <c r="HG28" s="141"/>
      <c r="HH28" s="141"/>
      <c r="HI28" s="141"/>
      <c r="HJ28" s="141"/>
      <c r="HK28" s="141"/>
      <c r="HL28" s="141"/>
      <c r="HM28" s="141"/>
      <c r="HN28" s="141"/>
      <c r="HO28" s="141"/>
      <c r="HP28" s="141"/>
      <c r="HQ28" s="141"/>
      <c r="HR28" s="141"/>
      <c r="HS28" s="141"/>
      <c r="HT28" s="141"/>
      <c r="HU28" s="141"/>
      <c r="HV28" s="141"/>
      <c r="HW28" s="141"/>
      <c r="HX28" s="141"/>
      <c r="HY28" s="141"/>
      <c r="HZ28" s="141"/>
      <c r="IA28" s="141"/>
      <c r="IB28" s="141"/>
      <c r="IC28" s="141"/>
      <c r="ID28" s="141"/>
      <c r="IE28" s="141"/>
      <c r="IF28" s="141"/>
      <c r="IG28" s="141"/>
      <c r="IH28" s="141"/>
      <c r="II28" s="141"/>
      <c r="IJ28" s="141"/>
      <c r="IK28" s="141"/>
      <c r="IL28" s="141"/>
      <c r="IM28" s="141"/>
      <c r="IN28" s="141"/>
      <c r="IO28" s="141"/>
      <c r="IP28" s="141"/>
      <c r="IQ28" s="141"/>
      <c r="IR28" s="141"/>
      <c r="IS28" s="141"/>
      <c r="IT28" s="141"/>
      <c r="IU28" s="141"/>
      <c r="IV28" s="141"/>
    </row>
    <row r="29" spans="1:256" s="74" customFormat="1" x14ac:dyDescent="0.2">
      <c r="A29" s="195"/>
      <c r="B29" s="153" t="s">
        <v>59</v>
      </c>
      <c r="C29" s="153" t="s">
        <v>396</v>
      </c>
      <c r="D29" s="122" t="str">
        <f>TEXT(L*1000000,"0.0")&amp;" µH"</f>
        <v>4.7 µH</v>
      </c>
      <c r="E29" s="124" t="str">
        <f>"Isat = "&amp;TEXT(Isat,"0.000")&amp;"A"</f>
        <v>Isat = 10.322A</v>
      </c>
      <c r="F29" s="124" t="str">
        <f>"Irms = "&amp;TEXT(Ilrms,"0.000")&amp;"A"</f>
        <v>Irms = 8.001A</v>
      </c>
      <c r="G29" s="145"/>
      <c r="H29" s="141"/>
      <c r="I29" s="208"/>
      <c r="J29" s="209"/>
      <c r="K29" s="146"/>
      <c r="L29" s="141"/>
      <c r="M29" s="146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1"/>
      <c r="CG29" s="141"/>
      <c r="CH29" s="141"/>
      <c r="CI29" s="141"/>
      <c r="CJ29" s="141"/>
      <c r="CK29" s="141"/>
      <c r="CL29" s="141"/>
      <c r="CM29" s="141"/>
      <c r="CN29" s="141"/>
      <c r="CO29" s="141"/>
      <c r="CP29" s="141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/>
      <c r="DA29" s="141"/>
      <c r="DB29" s="141"/>
      <c r="DC29" s="141"/>
      <c r="DD29" s="141"/>
      <c r="DE29" s="141"/>
      <c r="DF29" s="141"/>
      <c r="DG29" s="141"/>
      <c r="DH29" s="141"/>
      <c r="DI29" s="141"/>
      <c r="DJ29" s="141"/>
      <c r="DK29" s="141"/>
      <c r="DL29" s="141"/>
      <c r="DM29" s="141"/>
      <c r="DN29" s="141"/>
      <c r="DO29" s="141"/>
      <c r="DP29" s="141"/>
      <c r="DQ29" s="141"/>
      <c r="DR29" s="141"/>
      <c r="DS29" s="141"/>
      <c r="DT29" s="141"/>
      <c r="DU29" s="141"/>
      <c r="DV29" s="141"/>
      <c r="DW29" s="141"/>
      <c r="DX29" s="141"/>
      <c r="DY29" s="141"/>
      <c r="DZ29" s="141"/>
      <c r="EA29" s="141"/>
      <c r="EB29" s="141"/>
      <c r="EC29" s="141"/>
      <c r="ED29" s="141"/>
      <c r="EE29" s="141"/>
      <c r="EF29" s="141"/>
      <c r="EG29" s="141"/>
      <c r="EH29" s="141"/>
      <c r="EI29" s="141"/>
      <c r="EJ29" s="141"/>
      <c r="EK29" s="141"/>
      <c r="EL29" s="141"/>
      <c r="EM29" s="141"/>
      <c r="EN29" s="141"/>
      <c r="EO29" s="141"/>
      <c r="EP29" s="141"/>
      <c r="EQ29" s="141"/>
      <c r="ER29" s="141"/>
      <c r="ES29" s="141"/>
      <c r="ET29" s="141"/>
      <c r="EU29" s="141"/>
      <c r="EV29" s="141"/>
      <c r="EW29" s="141"/>
      <c r="EX29" s="141"/>
      <c r="EY29" s="141"/>
      <c r="EZ29" s="141"/>
      <c r="FA29" s="141"/>
      <c r="FB29" s="141"/>
      <c r="FC29" s="141"/>
      <c r="FD29" s="141"/>
      <c r="FE29" s="141"/>
      <c r="FF29" s="141"/>
      <c r="FG29" s="141"/>
      <c r="FH29" s="141"/>
      <c r="FI29" s="141"/>
      <c r="FJ29" s="141"/>
      <c r="FK29" s="141"/>
      <c r="FL29" s="141"/>
      <c r="FM29" s="141"/>
      <c r="FN29" s="141"/>
      <c r="FO29" s="141"/>
      <c r="FP29" s="141"/>
      <c r="FQ29" s="141"/>
      <c r="FR29" s="141"/>
      <c r="FS29" s="141"/>
      <c r="FT29" s="141"/>
      <c r="FU29" s="141"/>
      <c r="FV29" s="141"/>
      <c r="FW29" s="141"/>
      <c r="FX29" s="141"/>
      <c r="FY29" s="141"/>
      <c r="FZ29" s="141"/>
      <c r="GA29" s="141"/>
      <c r="GB29" s="141"/>
      <c r="GC29" s="141"/>
      <c r="GD29" s="141"/>
      <c r="GE29" s="141"/>
      <c r="GF29" s="141"/>
      <c r="GG29" s="141"/>
      <c r="GH29" s="141"/>
      <c r="GI29" s="141"/>
      <c r="GJ29" s="141"/>
      <c r="GK29" s="141"/>
      <c r="GL29" s="141"/>
      <c r="GM29" s="141"/>
      <c r="GN29" s="141"/>
      <c r="GO29" s="141"/>
      <c r="GP29" s="141"/>
      <c r="GQ29" s="141"/>
      <c r="GR29" s="141"/>
      <c r="GS29" s="141"/>
      <c r="GT29" s="141"/>
      <c r="GU29" s="141"/>
      <c r="GV29" s="141"/>
      <c r="GW29" s="141"/>
      <c r="GX29" s="141"/>
      <c r="GY29" s="141"/>
      <c r="GZ29" s="141"/>
      <c r="HA29" s="141"/>
      <c r="HB29" s="141"/>
      <c r="HC29" s="141"/>
      <c r="HD29" s="141"/>
      <c r="HE29" s="141"/>
      <c r="HF29" s="141"/>
      <c r="HG29" s="141"/>
      <c r="HH29" s="141"/>
      <c r="HI29" s="141"/>
      <c r="HJ29" s="141"/>
      <c r="HK29" s="141"/>
      <c r="HL29" s="141"/>
      <c r="HM29" s="141"/>
      <c r="HN29" s="141"/>
      <c r="HO29" s="141"/>
      <c r="HP29" s="141"/>
      <c r="HQ29" s="141"/>
      <c r="HR29" s="141"/>
      <c r="HS29" s="141"/>
      <c r="HT29" s="141"/>
      <c r="HU29" s="141"/>
      <c r="HV29" s="141"/>
      <c r="HW29" s="141"/>
      <c r="HX29" s="141"/>
      <c r="HY29" s="141"/>
      <c r="HZ29" s="141"/>
      <c r="IA29" s="141"/>
      <c r="IB29" s="141"/>
      <c r="IC29" s="141"/>
      <c r="ID29" s="141"/>
      <c r="IE29" s="141"/>
      <c r="IF29" s="141"/>
      <c r="IG29" s="141"/>
      <c r="IH29" s="141"/>
      <c r="II29" s="141"/>
      <c r="IJ29" s="141"/>
      <c r="IK29" s="141"/>
      <c r="IL29" s="141"/>
      <c r="IM29" s="141"/>
      <c r="IN29" s="141"/>
      <c r="IO29" s="141"/>
      <c r="IP29" s="141"/>
      <c r="IQ29" s="141"/>
      <c r="IR29" s="141"/>
      <c r="IS29" s="141"/>
      <c r="IT29" s="141"/>
      <c r="IU29" s="141"/>
      <c r="IV29" s="141"/>
    </row>
    <row r="30" spans="1:256" s="74" customFormat="1" ht="19.5" x14ac:dyDescent="0.35">
      <c r="A30" s="195"/>
      <c r="B30" s="153" t="s">
        <v>383</v>
      </c>
      <c r="C30" s="153" t="s">
        <v>397</v>
      </c>
      <c r="D30" s="122" t="str">
        <f>D88</f>
        <v>BSC059N04LS6</v>
      </c>
      <c r="E30" s="145"/>
      <c r="F30" s="141"/>
      <c r="G30" s="146"/>
      <c r="H30" s="141"/>
      <c r="I30" s="198"/>
      <c r="J30" s="209"/>
      <c r="K30" s="146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41"/>
      <c r="CL30" s="141"/>
      <c r="CM30" s="141"/>
      <c r="CN30" s="141"/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  <c r="DD30" s="141"/>
      <c r="DE30" s="141"/>
      <c r="DF30" s="141"/>
      <c r="DG30" s="141"/>
      <c r="DH30" s="141"/>
      <c r="DI30" s="141"/>
      <c r="DJ30" s="141"/>
      <c r="DK30" s="141"/>
      <c r="DL30" s="141"/>
      <c r="DM30" s="141"/>
      <c r="DN30" s="141"/>
      <c r="DO30" s="141"/>
      <c r="DP30" s="141"/>
      <c r="DQ30" s="141"/>
      <c r="DR30" s="141"/>
      <c r="DS30" s="141"/>
      <c r="DT30" s="141"/>
      <c r="DU30" s="141"/>
      <c r="DV30" s="141"/>
      <c r="DW30" s="141"/>
      <c r="DX30" s="141"/>
      <c r="DY30" s="141"/>
      <c r="DZ30" s="141"/>
      <c r="EA30" s="141"/>
      <c r="EB30" s="141"/>
      <c r="EC30" s="141"/>
      <c r="ED30" s="141"/>
      <c r="EE30" s="141"/>
      <c r="EF30" s="141"/>
      <c r="EG30" s="141"/>
      <c r="EH30" s="141"/>
      <c r="EI30" s="141"/>
      <c r="EJ30" s="141"/>
      <c r="EK30" s="141"/>
      <c r="EL30" s="141"/>
      <c r="EM30" s="141"/>
      <c r="EN30" s="141"/>
      <c r="EO30" s="141"/>
      <c r="EP30" s="141"/>
      <c r="EQ30" s="141"/>
      <c r="ER30" s="141"/>
      <c r="ES30" s="141"/>
      <c r="ET30" s="141"/>
      <c r="EU30" s="141"/>
      <c r="EV30" s="141"/>
      <c r="EW30" s="141"/>
      <c r="EX30" s="141"/>
      <c r="EY30" s="141"/>
      <c r="EZ30" s="141"/>
      <c r="FA30" s="141"/>
      <c r="FB30" s="141"/>
      <c r="FC30" s="141"/>
      <c r="FD30" s="141"/>
      <c r="FE30" s="141"/>
      <c r="FF30" s="141"/>
      <c r="FG30" s="141"/>
      <c r="FH30" s="141"/>
      <c r="FI30" s="141"/>
      <c r="FJ30" s="141"/>
      <c r="FK30" s="141"/>
      <c r="FL30" s="141"/>
      <c r="FM30" s="141"/>
      <c r="FN30" s="141"/>
      <c r="FO30" s="141"/>
      <c r="FP30" s="141"/>
      <c r="FQ30" s="141"/>
      <c r="FR30" s="141"/>
      <c r="FS30" s="141"/>
      <c r="FT30" s="141"/>
      <c r="FU30" s="141"/>
      <c r="FV30" s="141"/>
      <c r="FW30" s="141"/>
      <c r="FX30" s="141"/>
      <c r="FY30" s="141"/>
      <c r="FZ30" s="141"/>
      <c r="GA30" s="141"/>
      <c r="GB30" s="141"/>
      <c r="GC30" s="141"/>
      <c r="GD30" s="141"/>
      <c r="GE30" s="141"/>
      <c r="GF30" s="141"/>
      <c r="GG30" s="141"/>
      <c r="GH30" s="141"/>
      <c r="GI30" s="141"/>
      <c r="GJ30" s="141"/>
      <c r="GK30" s="141"/>
      <c r="GL30" s="141"/>
      <c r="GM30" s="141"/>
      <c r="GN30" s="141"/>
      <c r="GO30" s="141"/>
      <c r="GP30" s="141"/>
      <c r="GQ30" s="141"/>
      <c r="GR30" s="141"/>
      <c r="GS30" s="141"/>
      <c r="GT30" s="141"/>
      <c r="GU30" s="141"/>
      <c r="GV30" s="141"/>
      <c r="GW30" s="141"/>
      <c r="GX30" s="141"/>
      <c r="GY30" s="141"/>
      <c r="GZ30" s="141"/>
      <c r="HA30" s="141"/>
      <c r="HB30" s="141"/>
      <c r="HC30" s="141"/>
      <c r="HD30" s="141"/>
      <c r="HE30" s="141"/>
      <c r="HF30" s="141"/>
      <c r="HG30" s="141"/>
      <c r="HH30" s="141"/>
      <c r="HI30" s="141"/>
      <c r="HJ30" s="141"/>
      <c r="HK30" s="141"/>
      <c r="HL30" s="141"/>
      <c r="HM30" s="141"/>
      <c r="HN30" s="141"/>
      <c r="HO30" s="141"/>
      <c r="HP30" s="141"/>
      <c r="HQ30" s="141"/>
      <c r="HR30" s="141"/>
      <c r="HS30" s="141"/>
      <c r="HT30" s="141"/>
      <c r="HU30" s="141"/>
      <c r="HV30" s="141"/>
      <c r="HW30" s="141"/>
      <c r="HX30" s="141"/>
      <c r="HY30" s="141"/>
      <c r="HZ30" s="141"/>
      <c r="IA30" s="141"/>
      <c r="IB30" s="141"/>
      <c r="IC30" s="141"/>
      <c r="ID30" s="141"/>
      <c r="IE30" s="141"/>
      <c r="IF30" s="141"/>
      <c r="IG30" s="141"/>
      <c r="IH30" s="141"/>
      <c r="II30" s="141"/>
      <c r="IJ30" s="141"/>
      <c r="IK30" s="141"/>
      <c r="IL30" s="141"/>
      <c r="IM30" s="141"/>
      <c r="IN30" s="141"/>
      <c r="IO30" s="141"/>
      <c r="IP30" s="141"/>
      <c r="IQ30" s="141"/>
      <c r="IR30" s="141"/>
      <c r="IS30" s="141"/>
      <c r="IT30" s="141"/>
      <c r="IU30" s="141"/>
      <c r="IV30" s="141"/>
    </row>
    <row r="31" spans="1:256" s="74" customFormat="1" ht="19.5" x14ac:dyDescent="0.35">
      <c r="A31" s="195"/>
      <c r="B31" s="153" t="s">
        <v>382</v>
      </c>
      <c r="C31" s="153" t="s">
        <v>400</v>
      </c>
      <c r="D31" s="122" t="str">
        <f>D103</f>
        <v>BSC059N04LS6</v>
      </c>
      <c r="E31" s="145"/>
      <c r="F31" s="141"/>
      <c r="G31" s="146"/>
      <c r="H31" s="141"/>
      <c r="I31" s="198"/>
      <c r="J31" s="209"/>
      <c r="K31" s="146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141"/>
      <c r="CP31" s="141"/>
      <c r="CQ31" s="141"/>
      <c r="CR31" s="141"/>
      <c r="CS31" s="141"/>
      <c r="CT31" s="141"/>
      <c r="CU31" s="141"/>
      <c r="CV31" s="141"/>
      <c r="CW31" s="141"/>
      <c r="CX31" s="141"/>
      <c r="CY31" s="141"/>
      <c r="CZ31" s="141"/>
      <c r="DA31" s="141"/>
      <c r="DB31" s="141"/>
      <c r="DC31" s="141"/>
      <c r="DD31" s="141"/>
      <c r="DE31" s="141"/>
      <c r="DF31" s="141"/>
      <c r="DG31" s="141"/>
      <c r="DH31" s="141"/>
      <c r="DI31" s="141"/>
      <c r="DJ31" s="141"/>
      <c r="DK31" s="141"/>
      <c r="DL31" s="141"/>
      <c r="DM31" s="141"/>
      <c r="DN31" s="141"/>
      <c r="DO31" s="141"/>
      <c r="DP31" s="141"/>
      <c r="DQ31" s="141"/>
      <c r="DR31" s="141"/>
      <c r="DS31" s="141"/>
      <c r="DT31" s="141"/>
      <c r="DU31" s="141"/>
      <c r="DV31" s="141"/>
      <c r="DW31" s="141"/>
      <c r="DX31" s="141"/>
      <c r="DY31" s="141"/>
      <c r="DZ31" s="141"/>
      <c r="EA31" s="141"/>
      <c r="EB31" s="141"/>
      <c r="EC31" s="141"/>
      <c r="ED31" s="141"/>
      <c r="EE31" s="141"/>
      <c r="EF31" s="141"/>
      <c r="EG31" s="141"/>
      <c r="EH31" s="141"/>
      <c r="EI31" s="141"/>
      <c r="EJ31" s="141"/>
      <c r="EK31" s="141"/>
      <c r="EL31" s="141"/>
      <c r="EM31" s="141"/>
      <c r="EN31" s="141"/>
      <c r="EO31" s="141"/>
      <c r="EP31" s="141"/>
      <c r="EQ31" s="141"/>
      <c r="ER31" s="141"/>
      <c r="ES31" s="141"/>
      <c r="ET31" s="141"/>
      <c r="EU31" s="141"/>
      <c r="EV31" s="141"/>
      <c r="EW31" s="141"/>
      <c r="EX31" s="141"/>
      <c r="EY31" s="141"/>
      <c r="EZ31" s="141"/>
      <c r="FA31" s="141"/>
      <c r="FB31" s="141"/>
      <c r="FC31" s="141"/>
      <c r="FD31" s="141"/>
      <c r="FE31" s="141"/>
      <c r="FF31" s="141"/>
      <c r="FG31" s="141"/>
      <c r="FH31" s="141"/>
      <c r="FI31" s="141"/>
      <c r="FJ31" s="141"/>
      <c r="FK31" s="141"/>
      <c r="FL31" s="141"/>
      <c r="FM31" s="141"/>
      <c r="FN31" s="141"/>
      <c r="FO31" s="141"/>
      <c r="FP31" s="141"/>
      <c r="FQ31" s="141"/>
      <c r="FR31" s="141"/>
      <c r="FS31" s="141"/>
      <c r="FT31" s="141"/>
      <c r="FU31" s="141"/>
      <c r="FV31" s="141"/>
      <c r="FW31" s="141"/>
      <c r="FX31" s="141"/>
      <c r="FY31" s="141"/>
      <c r="FZ31" s="141"/>
      <c r="GA31" s="141"/>
      <c r="GB31" s="141"/>
      <c r="GC31" s="141"/>
      <c r="GD31" s="141"/>
      <c r="GE31" s="141"/>
      <c r="GF31" s="141"/>
      <c r="GG31" s="141"/>
      <c r="GH31" s="141"/>
      <c r="GI31" s="141"/>
      <c r="GJ31" s="141"/>
      <c r="GK31" s="141"/>
      <c r="GL31" s="141"/>
      <c r="GM31" s="141"/>
      <c r="GN31" s="141"/>
      <c r="GO31" s="141"/>
      <c r="GP31" s="141"/>
      <c r="GQ31" s="141"/>
      <c r="GR31" s="141"/>
      <c r="GS31" s="141"/>
      <c r="GT31" s="141"/>
      <c r="GU31" s="141"/>
      <c r="GV31" s="141"/>
      <c r="GW31" s="141"/>
      <c r="GX31" s="141"/>
      <c r="GY31" s="141"/>
      <c r="GZ31" s="141"/>
      <c r="HA31" s="141"/>
      <c r="HB31" s="141"/>
      <c r="HC31" s="141"/>
      <c r="HD31" s="141"/>
      <c r="HE31" s="141"/>
      <c r="HF31" s="141"/>
      <c r="HG31" s="141"/>
      <c r="HH31" s="141"/>
      <c r="HI31" s="141"/>
      <c r="HJ31" s="141"/>
      <c r="HK31" s="141"/>
      <c r="HL31" s="141"/>
      <c r="HM31" s="141"/>
      <c r="HN31" s="141"/>
      <c r="HO31" s="141"/>
      <c r="HP31" s="141"/>
      <c r="HQ31" s="141"/>
      <c r="HR31" s="141"/>
      <c r="HS31" s="141"/>
      <c r="HT31" s="141"/>
      <c r="HU31" s="141"/>
      <c r="HV31" s="141"/>
      <c r="HW31" s="141"/>
      <c r="HX31" s="141"/>
      <c r="HY31" s="141"/>
      <c r="HZ31" s="141"/>
      <c r="IA31" s="141"/>
      <c r="IB31" s="141"/>
      <c r="IC31" s="141"/>
      <c r="ID31" s="141"/>
      <c r="IE31" s="141"/>
      <c r="IF31" s="141"/>
      <c r="IG31" s="141"/>
      <c r="IH31" s="141"/>
      <c r="II31" s="141"/>
      <c r="IJ31" s="141"/>
      <c r="IK31" s="141"/>
      <c r="IL31" s="141"/>
      <c r="IM31" s="141"/>
      <c r="IN31" s="141"/>
      <c r="IO31" s="141"/>
      <c r="IP31" s="141"/>
      <c r="IQ31" s="141"/>
      <c r="IR31" s="141"/>
      <c r="IS31" s="141"/>
      <c r="IT31" s="141"/>
      <c r="IU31" s="141"/>
      <c r="IV31" s="141"/>
    </row>
    <row r="32" spans="1:256" s="74" customFormat="1" ht="19.5" x14ac:dyDescent="0.35">
      <c r="A32" s="195"/>
      <c r="B32" s="153" t="s">
        <v>375</v>
      </c>
      <c r="C32" s="153" t="s">
        <v>401</v>
      </c>
      <c r="D32" s="123" t="str">
        <f>TEXT(Rsense,"0.000")&amp;" Ω"</f>
        <v>0.005 Ω</v>
      </c>
      <c r="E32" s="123" t="str">
        <f>TEXT(D72,"0.000")&amp;"W"</f>
        <v>1.345W</v>
      </c>
      <c r="F32" s="146"/>
      <c r="G32" s="145"/>
      <c r="H32" s="141"/>
      <c r="I32" s="208"/>
      <c r="J32" s="209"/>
      <c r="K32" s="146"/>
      <c r="L32" s="141"/>
      <c r="M32" s="146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I32" s="141"/>
      <c r="CJ32" s="141"/>
      <c r="CK32" s="141"/>
      <c r="CL32" s="141"/>
      <c r="CM32" s="141"/>
      <c r="CN32" s="141"/>
      <c r="CO32" s="141"/>
      <c r="CP32" s="141"/>
      <c r="CQ32" s="141"/>
      <c r="CR32" s="141"/>
      <c r="CS32" s="141"/>
      <c r="CT32" s="141"/>
      <c r="CU32" s="141"/>
      <c r="CV32" s="141"/>
      <c r="CW32" s="141"/>
      <c r="CX32" s="141"/>
      <c r="CY32" s="141"/>
      <c r="CZ32" s="141"/>
      <c r="DA32" s="141"/>
      <c r="DB32" s="141"/>
      <c r="DC32" s="141"/>
      <c r="DD32" s="141"/>
      <c r="DE32" s="141"/>
      <c r="DF32" s="141"/>
      <c r="DG32" s="141"/>
      <c r="DH32" s="141"/>
      <c r="DI32" s="141"/>
      <c r="DJ32" s="141"/>
      <c r="DK32" s="141"/>
      <c r="DL32" s="141"/>
      <c r="DM32" s="141"/>
      <c r="DN32" s="141"/>
      <c r="DO32" s="141"/>
      <c r="DP32" s="141"/>
      <c r="DQ32" s="141"/>
      <c r="DR32" s="141"/>
      <c r="DS32" s="141"/>
      <c r="DT32" s="141"/>
      <c r="DU32" s="141"/>
      <c r="DV32" s="141"/>
      <c r="DW32" s="141"/>
      <c r="DX32" s="141"/>
      <c r="DY32" s="141"/>
      <c r="DZ32" s="141"/>
      <c r="EA32" s="141"/>
      <c r="EB32" s="141"/>
      <c r="EC32" s="141"/>
      <c r="ED32" s="141"/>
      <c r="EE32" s="141"/>
      <c r="EF32" s="141"/>
      <c r="EG32" s="141"/>
      <c r="EH32" s="141"/>
      <c r="EI32" s="141"/>
      <c r="EJ32" s="141"/>
      <c r="EK32" s="141"/>
      <c r="EL32" s="141"/>
      <c r="EM32" s="141"/>
      <c r="EN32" s="141"/>
      <c r="EO32" s="141"/>
      <c r="EP32" s="141"/>
      <c r="EQ32" s="141"/>
      <c r="ER32" s="141"/>
      <c r="ES32" s="141"/>
      <c r="ET32" s="141"/>
      <c r="EU32" s="141"/>
      <c r="EV32" s="141"/>
      <c r="EW32" s="141"/>
      <c r="EX32" s="141"/>
      <c r="EY32" s="141"/>
      <c r="EZ32" s="141"/>
      <c r="FA32" s="141"/>
      <c r="FB32" s="141"/>
      <c r="FC32" s="141"/>
      <c r="FD32" s="141"/>
      <c r="FE32" s="141"/>
      <c r="FF32" s="141"/>
      <c r="FG32" s="141"/>
      <c r="FH32" s="141"/>
      <c r="FI32" s="141"/>
      <c r="FJ32" s="141"/>
      <c r="FK32" s="141"/>
      <c r="FL32" s="141"/>
      <c r="FM32" s="141"/>
      <c r="FN32" s="141"/>
      <c r="FO32" s="141"/>
      <c r="FP32" s="141"/>
      <c r="FQ32" s="141"/>
      <c r="FR32" s="141"/>
      <c r="FS32" s="141"/>
      <c r="FT32" s="141"/>
      <c r="FU32" s="141"/>
      <c r="FV32" s="141"/>
      <c r="FW32" s="141"/>
      <c r="FX32" s="141"/>
      <c r="FY32" s="141"/>
      <c r="FZ32" s="141"/>
      <c r="GA32" s="141"/>
      <c r="GB32" s="141"/>
      <c r="GC32" s="141"/>
      <c r="GD32" s="141"/>
      <c r="GE32" s="141"/>
      <c r="GF32" s="141"/>
      <c r="GG32" s="141"/>
      <c r="GH32" s="141"/>
      <c r="GI32" s="141"/>
      <c r="GJ32" s="141"/>
      <c r="GK32" s="141"/>
      <c r="GL32" s="141"/>
      <c r="GM32" s="141"/>
      <c r="GN32" s="141"/>
      <c r="GO32" s="141"/>
      <c r="GP32" s="141"/>
      <c r="GQ32" s="141"/>
      <c r="GR32" s="141"/>
      <c r="GS32" s="141"/>
      <c r="GT32" s="141"/>
      <c r="GU32" s="141"/>
      <c r="GV32" s="141"/>
      <c r="GW32" s="141"/>
      <c r="GX32" s="141"/>
      <c r="GY32" s="141"/>
      <c r="GZ32" s="141"/>
      <c r="HA32" s="141"/>
      <c r="HB32" s="141"/>
      <c r="HC32" s="141"/>
      <c r="HD32" s="141"/>
      <c r="HE32" s="141"/>
      <c r="HF32" s="141"/>
      <c r="HG32" s="141"/>
      <c r="HH32" s="141"/>
      <c r="HI32" s="141"/>
      <c r="HJ32" s="141"/>
      <c r="HK32" s="141"/>
      <c r="HL32" s="141"/>
      <c r="HM32" s="141"/>
      <c r="HN32" s="141"/>
      <c r="HO32" s="141"/>
      <c r="HP32" s="141"/>
      <c r="HQ32" s="141"/>
      <c r="HR32" s="141"/>
      <c r="HS32" s="141"/>
      <c r="HT32" s="141"/>
      <c r="HU32" s="141"/>
      <c r="HV32" s="141"/>
      <c r="HW32" s="141"/>
      <c r="HX32" s="141"/>
      <c r="HY32" s="141"/>
      <c r="HZ32" s="141"/>
      <c r="IA32" s="141"/>
      <c r="IB32" s="141"/>
      <c r="IC32" s="141"/>
      <c r="ID32" s="141"/>
      <c r="IE32" s="141"/>
      <c r="IF32" s="141"/>
      <c r="IG32" s="141"/>
      <c r="IH32" s="141"/>
      <c r="II32" s="141"/>
      <c r="IJ32" s="141"/>
      <c r="IK32" s="141"/>
      <c r="IL32" s="141"/>
      <c r="IM32" s="141"/>
      <c r="IN32" s="141"/>
      <c r="IO32" s="141"/>
      <c r="IP32" s="141"/>
      <c r="IQ32" s="141"/>
      <c r="IR32" s="141"/>
      <c r="IS32" s="141"/>
      <c r="IT32" s="141"/>
      <c r="IU32" s="141"/>
      <c r="IV32" s="141"/>
    </row>
    <row r="33" spans="1:256" s="74" customFormat="1" ht="19.5" x14ac:dyDescent="0.35">
      <c r="A33" s="195"/>
      <c r="B33" s="153" t="s">
        <v>414</v>
      </c>
      <c r="C33" s="153" t="s">
        <v>402</v>
      </c>
      <c r="D33" s="123" t="str">
        <f>Ruvloh/1000&amp;" kΩ"</f>
        <v>6.81 kΩ</v>
      </c>
      <c r="E33" s="145"/>
      <c r="F33" s="141"/>
      <c r="G33" s="146"/>
      <c r="H33" s="141"/>
      <c r="I33" s="198"/>
      <c r="J33" s="209"/>
      <c r="K33" s="146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1"/>
      <c r="BN33" s="141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41"/>
      <c r="CG33" s="141"/>
      <c r="CH33" s="141"/>
      <c r="CI33" s="141"/>
      <c r="CJ33" s="141"/>
      <c r="CK33" s="141"/>
      <c r="CL33" s="141"/>
      <c r="CM33" s="141"/>
      <c r="CN33" s="141"/>
      <c r="CO33" s="141"/>
      <c r="CP33" s="141"/>
      <c r="CQ33" s="141"/>
      <c r="CR33" s="141"/>
      <c r="CS33" s="141"/>
      <c r="CT33" s="141"/>
      <c r="CU33" s="141"/>
      <c r="CV33" s="141"/>
      <c r="CW33" s="141"/>
      <c r="CX33" s="141"/>
      <c r="CY33" s="141"/>
      <c r="CZ33" s="141"/>
      <c r="DA33" s="141"/>
      <c r="DB33" s="141"/>
      <c r="DC33" s="141"/>
      <c r="DD33" s="141"/>
      <c r="DE33" s="141"/>
      <c r="DF33" s="141"/>
      <c r="DG33" s="141"/>
      <c r="DH33" s="141"/>
      <c r="DI33" s="141"/>
      <c r="DJ33" s="141"/>
      <c r="DK33" s="141"/>
      <c r="DL33" s="141"/>
      <c r="DM33" s="141"/>
      <c r="DN33" s="141"/>
      <c r="DO33" s="141"/>
      <c r="DP33" s="141"/>
      <c r="DQ33" s="141"/>
      <c r="DR33" s="141"/>
      <c r="DS33" s="141"/>
      <c r="DT33" s="141"/>
      <c r="DU33" s="141"/>
      <c r="DV33" s="141"/>
      <c r="DW33" s="141"/>
      <c r="DX33" s="141"/>
      <c r="DY33" s="141"/>
      <c r="DZ33" s="141"/>
      <c r="EA33" s="141"/>
      <c r="EB33" s="141"/>
      <c r="EC33" s="141"/>
      <c r="ED33" s="141"/>
      <c r="EE33" s="141"/>
      <c r="EF33" s="141"/>
      <c r="EG33" s="141"/>
      <c r="EH33" s="141"/>
      <c r="EI33" s="141"/>
      <c r="EJ33" s="141"/>
      <c r="EK33" s="141"/>
      <c r="EL33" s="141"/>
      <c r="EM33" s="141"/>
      <c r="EN33" s="141"/>
      <c r="EO33" s="141"/>
      <c r="EP33" s="141"/>
      <c r="EQ33" s="141"/>
      <c r="ER33" s="141"/>
      <c r="ES33" s="141"/>
      <c r="ET33" s="141"/>
      <c r="EU33" s="141"/>
      <c r="EV33" s="141"/>
      <c r="EW33" s="141"/>
      <c r="EX33" s="141"/>
      <c r="EY33" s="141"/>
      <c r="EZ33" s="141"/>
      <c r="FA33" s="141"/>
      <c r="FB33" s="141"/>
      <c r="FC33" s="141"/>
      <c r="FD33" s="141"/>
      <c r="FE33" s="141"/>
      <c r="FF33" s="141"/>
      <c r="FG33" s="141"/>
      <c r="FH33" s="141"/>
      <c r="FI33" s="141"/>
      <c r="FJ33" s="141"/>
      <c r="FK33" s="141"/>
      <c r="FL33" s="141"/>
      <c r="FM33" s="141"/>
      <c r="FN33" s="141"/>
      <c r="FO33" s="141"/>
      <c r="FP33" s="141"/>
      <c r="FQ33" s="141"/>
      <c r="FR33" s="141"/>
      <c r="FS33" s="141"/>
      <c r="FT33" s="141"/>
      <c r="FU33" s="141"/>
      <c r="FV33" s="141"/>
      <c r="FW33" s="141"/>
      <c r="FX33" s="141"/>
      <c r="FY33" s="141"/>
      <c r="FZ33" s="141"/>
      <c r="GA33" s="141"/>
      <c r="GB33" s="141"/>
      <c r="GC33" s="141"/>
      <c r="GD33" s="141"/>
      <c r="GE33" s="141"/>
      <c r="GF33" s="141"/>
      <c r="GG33" s="141"/>
      <c r="GH33" s="141"/>
      <c r="GI33" s="141"/>
      <c r="GJ33" s="141"/>
      <c r="GK33" s="141"/>
      <c r="GL33" s="141"/>
      <c r="GM33" s="141"/>
      <c r="GN33" s="141"/>
      <c r="GO33" s="141"/>
      <c r="GP33" s="141"/>
      <c r="GQ33" s="141"/>
      <c r="GR33" s="141"/>
      <c r="GS33" s="141"/>
      <c r="GT33" s="141"/>
      <c r="GU33" s="141"/>
      <c r="GV33" s="141"/>
      <c r="GW33" s="141"/>
      <c r="GX33" s="141"/>
      <c r="GY33" s="141"/>
      <c r="GZ33" s="141"/>
      <c r="HA33" s="141"/>
      <c r="HB33" s="141"/>
      <c r="HC33" s="141"/>
      <c r="HD33" s="141"/>
      <c r="HE33" s="141"/>
      <c r="HF33" s="141"/>
      <c r="HG33" s="141"/>
      <c r="HH33" s="141"/>
      <c r="HI33" s="141"/>
      <c r="HJ33" s="141"/>
      <c r="HK33" s="141"/>
      <c r="HL33" s="141"/>
      <c r="HM33" s="141"/>
      <c r="HN33" s="141"/>
      <c r="HO33" s="141"/>
      <c r="HP33" s="141"/>
      <c r="HQ33" s="141"/>
      <c r="HR33" s="141"/>
      <c r="HS33" s="141"/>
      <c r="HT33" s="141"/>
      <c r="HU33" s="141"/>
      <c r="HV33" s="141"/>
      <c r="HW33" s="141"/>
      <c r="HX33" s="141"/>
      <c r="HY33" s="141"/>
      <c r="HZ33" s="141"/>
      <c r="IA33" s="141"/>
      <c r="IB33" s="141"/>
      <c r="IC33" s="141"/>
      <c r="ID33" s="141"/>
      <c r="IE33" s="141"/>
      <c r="IF33" s="141"/>
      <c r="IG33" s="141"/>
      <c r="IH33" s="141"/>
      <c r="II33" s="141"/>
      <c r="IJ33" s="141"/>
      <c r="IK33" s="141"/>
      <c r="IL33" s="141"/>
      <c r="IM33" s="141"/>
      <c r="IN33" s="141"/>
      <c r="IO33" s="141"/>
      <c r="IP33" s="141"/>
      <c r="IQ33" s="141"/>
      <c r="IR33" s="141"/>
      <c r="IS33" s="141"/>
      <c r="IT33" s="141"/>
      <c r="IU33" s="141"/>
      <c r="IV33" s="141"/>
    </row>
    <row r="34" spans="1:256" s="74" customFormat="1" ht="19.5" x14ac:dyDescent="0.35">
      <c r="A34" s="195"/>
      <c r="B34" s="153" t="s">
        <v>415</v>
      </c>
      <c r="C34" s="153" t="s">
        <v>403</v>
      </c>
      <c r="D34" s="123" t="str">
        <f>Ruvlol/1000&amp;" kΩ"</f>
        <v>2.26 kΩ</v>
      </c>
      <c r="E34" s="145"/>
      <c r="F34" s="141"/>
      <c r="G34" s="146"/>
      <c r="H34" s="141"/>
      <c r="I34" s="198"/>
      <c r="J34" s="209"/>
      <c r="K34" s="146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/>
      <c r="CQ34" s="141"/>
      <c r="CR34" s="141"/>
      <c r="CS34" s="141"/>
      <c r="CT34" s="141"/>
      <c r="CU34" s="141"/>
      <c r="CV34" s="141"/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1"/>
      <c r="DH34" s="141"/>
      <c r="DI34" s="141"/>
      <c r="DJ34" s="141"/>
      <c r="DK34" s="141"/>
      <c r="DL34" s="141"/>
      <c r="DM34" s="141"/>
      <c r="DN34" s="141"/>
      <c r="DO34" s="141"/>
      <c r="DP34" s="141"/>
      <c r="DQ34" s="141"/>
      <c r="DR34" s="141"/>
      <c r="DS34" s="141"/>
      <c r="DT34" s="141"/>
      <c r="DU34" s="141"/>
      <c r="DV34" s="141"/>
      <c r="DW34" s="141"/>
      <c r="DX34" s="141"/>
      <c r="DY34" s="141"/>
      <c r="DZ34" s="141"/>
      <c r="EA34" s="141"/>
      <c r="EB34" s="141"/>
      <c r="EC34" s="141"/>
      <c r="ED34" s="141"/>
      <c r="EE34" s="141"/>
      <c r="EF34" s="141"/>
      <c r="EG34" s="141"/>
      <c r="EH34" s="141"/>
      <c r="EI34" s="141"/>
      <c r="EJ34" s="141"/>
      <c r="EK34" s="141"/>
      <c r="EL34" s="141"/>
      <c r="EM34" s="141"/>
      <c r="EN34" s="141"/>
      <c r="EO34" s="141"/>
      <c r="EP34" s="141"/>
      <c r="EQ34" s="141"/>
      <c r="ER34" s="141"/>
      <c r="ES34" s="141"/>
      <c r="ET34" s="141"/>
      <c r="EU34" s="141"/>
      <c r="EV34" s="141"/>
      <c r="EW34" s="141"/>
      <c r="EX34" s="141"/>
      <c r="EY34" s="141"/>
      <c r="EZ34" s="141"/>
      <c r="FA34" s="141"/>
      <c r="FB34" s="141"/>
      <c r="FC34" s="141"/>
      <c r="FD34" s="141"/>
      <c r="FE34" s="141"/>
      <c r="FF34" s="141"/>
      <c r="FG34" s="141"/>
      <c r="FH34" s="141"/>
      <c r="FI34" s="141"/>
      <c r="FJ34" s="141"/>
      <c r="FK34" s="141"/>
      <c r="FL34" s="141"/>
      <c r="FM34" s="141"/>
      <c r="FN34" s="141"/>
      <c r="FO34" s="141"/>
      <c r="FP34" s="141"/>
      <c r="FQ34" s="141"/>
      <c r="FR34" s="141"/>
      <c r="FS34" s="141"/>
      <c r="FT34" s="141"/>
      <c r="FU34" s="141"/>
      <c r="FV34" s="141"/>
      <c r="FW34" s="141"/>
      <c r="FX34" s="141"/>
      <c r="FY34" s="141"/>
      <c r="FZ34" s="141"/>
      <c r="GA34" s="141"/>
      <c r="GB34" s="141"/>
      <c r="GC34" s="141"/>
      <c r="GD34" s="141"/>
      <c r="GE34" s="141"/>
      <c r="GF34" s="141"/>
      <c r="GG34" s="141"/>
      <c r="GH34" s="141"/>
      <c r="GI34" s="141"/>
      <c r="GJ34" s="141"/>
      <c r="GK34" s="141"/>
      <c r="GL34" s="141"/>
      <c r="GM34" s="141"/>
      <c r="GN34" s="141"/>
      <c r="GO34" s="141"/>
      <c r="GP34" s="141"/>
      <c r="GQ34" s="141"/>
      <c r="GR34" s="141"/>
      <c r="GS34" s="141"/>
      <c r="GT34" s="141"/>
      <c r="GU34" s="141"/>
      <c r="GV34" s="141"/>
      <c r="GW34" s="141"/>
      <c r="GX34" s="141"/>
      <c r="GY34" s="141"/>
      <c r="GZ34" s="141"/>
      <c r="HA34" s="141"/>
      <c r="HB34" s="141"/>
      <c r="HC34" s="141"/>
      <c r="HD34" s="141"/>
      <c r="HE34" s="141"/>
      <c r="HF34" s="141"/>
      <c r="HG34" s="141"/>
      <c r="HH34" s="141"/>
      <c r="HI34" s="141"/>
      <c r="HJ34" s="141"/>
      <c r="HK34" s="141"/>
      <c r="HL34" s="141"/>
      <c r="HM34" s="141"/>
      <c r="HN34" s="141"/>
      <c r="HO34" s="141"/>
      <c r="HP34" s="141"/>
      <c r="HQ34" s="141"/>
      <c r="HR34" s="141"/>
      <c r="HS34" s="141"/>
      <c r="HT34" s="141"/>
      <c r="HU34" s="141"/>
      <c r="HV34" s="141"/>
      <c r="HW34" s="141"/>
      <c r="HX34" s="141"/>
      <c r="HY34" s="141"/>
      <c r="HZ34" s="141"/>
      <c r="IA34" s="141"/>
      <c r="IB34" s="141"/>
      <c r="IC34" s="141"/>
      <c r="ID34" s="141"/>
      <c r="IE34" s="141"/>
      <c r="IF34" s="141"/>
      <c r="IG34" s="141"/>
      <c r="IH34" s="141"/>
      <c r="II34" s="141"/>
      <c r="IJ34" s="141"/>
      <c r="IK34" s="141"/>
      <c r="IL34" s="141"/>
      <c r="IM34" s="141"/>
      <c r="IN34" s="141"/>
      <c r="IO34" s="141"/>
      <c r="IP34" s="141"/>
      <c r="IQ34" s="141"/>
      <c r="IR34" s="141"/>
      <c r="IS34" s="141"/>
      <c r="IT34" s="141"/>
      <c r="IU34" s="141"/>
      <c r="IV34" s="141"/>
    </row>
    <row r="35" spans="1:256" s="74" customFormat="1" ht="19.5" x14ac:dyDescent="0.35">
      <c r="A35" s="195"/>
      <c r="B35" s="153" t="s">
        <v>377</v>
      </c>
      <c r="C35" s="153" t="s">
        <v>402</v>
      </c>
      <c r="D35" s="123" t="str">
        <f>Rcomp/1000&amp;" kΩ"</f>
        <v>4.99 kΩ</v>
      </c>
      <c r="E35" s="145"/>
      <c r="F35" s="141"/>
      <c r="G35" s="146"/>
      <c r="H35" s="141"/>
      <c r="I35" s="198"/>
      <c r="J35" s="209"/>
      <c r="K35" s="146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  <c r="BU35" s="141"/>
      <c r="BV35" s="141"/>
      <c r="BW35" s="141"/>
      <c r="BX35" s="141"/>
      <c r="BY35" s="141"/>
      <c r="BZ35" s="141"/>
      <c r="CA35" s="141"/>
      <c r="CB35" s="141"/>
      <c r="CC35" s="141"/>
      <c r="CD35" s="141"/>
      <c r="CE35" s="141"/>
      <c r="CF35" s="141"/>
      <c r="CG35" s="141"/>
      <c r="CH35" s="141"/>
      <c r="CI35" s="141"/>
      <c r="CJ35" s="141"/>
      <c r="CK35" s="141"/>
      <c r="CL35" s="141"/>
      <c r="CM35" s="141"/>
      <c r="CN35" s="141"/>
      <c r="CO35" s="141"/>
      <c r="CP35" s="141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  <c r="DD35" s="141"/>
      <c r="DE35" s="141"/>
      <c r="DF35" s="141"/>
      <c r="DG35" s="141"/>
      <c r="DH35" s="141"/>
      <c r="DI35" s="141"/>
      <c r="DJ35" s="141"/>
      <c r="DK35" s="141"/>
      <c r="DL35" s="141"/>
      <c r="DM35" s="141"/>
      <c r="DN35" s="141"/>
      <c r="DO35" s="141"/>
      <c r="DP35" s="141"/>
      <c r="DQ35" s="141"/>
      <c r="DR35" s="141"/>
      <c r="DS35" s="141"/>
      <c r="DT35" s="141"/>
      <c r="DU35" s="141"/>
      <c r="DV35" s="141"/>
      <c r="DW35" s="141"/>
      <c r="DX35" s="141"/>
      <c r="DY35" s="141"/>
      <c r="DZ35" s="141"/>
      <c r="EA35" s="141"/>
      <c r="EB35" s="141"/>
      <c r="EC35" s="141"/>
      <c r="ED35" s="141"/>
      <c r="EE35" s="141"/>
      <c r="EF35" s="141"/>
      <c r="EG35" s="141"/>
      <c r="EH35" s="141"/>
      <c r="EI35" s="141"/>
      <c r="EJ35" s="141"/>
      <c r="EK35" s="141"/>
      <c r="EL35" s="141"/>
      <c r="EM35" s="141"/>
      <c r="EN35" s="141"/>
      <c r="EO35" s="141"/>
      <c r="EP35" s="141"/>
      <c r="EQ35" s="141"/>
      <c r="ER35" s="141"/>
      <c r="ES35" s="141"/>
      <c r="ET35" s="141"/>
      <c r="EU35" s="141"/>
      <c r="EV35" s="141"/>
      <c r="EW35" s="141"/>
      <c r="EX35" s="141"/>
      <c r="EY35" s="141"/>
      <c r="EZ35" s="141"/>
      <c r="FA35" s="141"/>
      <c r="FB35" s="141"/>
      <c r="FC35" s="141"/>
      <c r="FD35" s="141"/>
      <c r="FE35" s="141"/>
      <c r="FF35" s="141"/>
      <c r="FG35" s="141"/>
      <c r="FH35" s="141"/>
      <c r="FI35" s="141"/>
      <c r="FJ35" s="141"/>
      <c r="FK35" s="141"/>
      <c r="FL35" s="141"/>
      <c r="FM35" s="141"/>
      <c r="FN35" s="141"/>
      <c r="FO35" s="141"/>
      <c r="FP35" s="141"/>
      <c r="FQ35" s="141"/>
      <c r="FR35" s="141"/>
      <c r="FS35" s="141"/>
      <c r="FT35" s="141"/>
      <c r="FU35" s="141"/>
      <c r="FV35" s="141"/>
      <c r="FW35" s="141"/>
      <c r="FX35" s="141"/>
      <c r="FY35" s="141"/>
      <c r="FZ35" s="141"/>
      <c r="GA35" s="141"/>
      <c r="GB35" s="141"/>
      <c r="GC35" s="141"/>
      <c r="GD35" s="141"/>
      <c r="GE35" s="141"/>
      <c r="GF35" s="141"/>
      <c r="GG35" s="141"/>
      <c r="GH35" s="141"/>
      <c r="GI35" s="141"/>
      <c r="GJ35" s="141"/>
      <c r="GK35" s="141"/>
      <c r="GL35" s="141"/>
      <c r="GM35" s="141"/>
      <c r="GN35" s="141"/>
      <c r="GO35" s="141"/>
      <c r="GP35" s="141"/>
      <c r="GQ35" s="141"/>
      <c r="GR35" s="141"/>
      <c r="GS35" s="141"/>
      <c r="GT35" s="141"/>
      <c r="GU35" s="141"/>
      <c r="GV35" s="141"/>
      <c r="GW35" s="141"/>
      <c r="GX35" s="141"/>
      <c r="GY35" s="141"/>
      <c r="GZ35" s="141"/>
      <c r="HA35" s="141"/>
      <c r="HB35" s="141"/>
      <c r="HC35" s="141"/>
      <c r="HD35" s="141"/>
      <c r="HE35" s="141"/>
      <c r="HF35" s="141"/>
      <c r="HG35" s="141"/>
      <c r="HH35" s="141"/>
      <c r="HI35" s="141"/>
      <c r="HJ35" s="141"/>
      <c r="HK35" s="141"/>
      <c r="HL35" s="141"/>
      <c r="HM35" s="141"/>
      <c r="HN35" s="141"/>
      <c r="HO35" s="141"/>
      <c r="HP35" s="141"/>
      <c r="HQ35" s="141"/>
      <c r="HR35" s="141"/>
      <c r="HS35" s="141"/>
      <c r="HT35" s="141"/>
      <c r="HU35" s="141"/>
      <c r="HV35" s="141"/>
      <c r="HW35" s="141"/>
      <c r="HX35" s="141"/>
      <c r="HY35" s="141"/>
      <c r="HZ35" s="141"/>
      <c r="IA35" s="141"/>
      <c r="IB35" s="141"/>
      <c r="IC35" s="141"/>
      <c r="ID35" s="141"/>
      <c r="IE35" s="141"/>
      <c r="IF35" s="141"/>
      <c r="IG35" s="141"/>
      <c r="IH35" s="141"/>
      <c r="II35" s="141"/>
      <c r="IJ35" s="141"/>
      <c r="IK35" s="141"/>
      <c r="IL35" s="141"/>
      <c r="IM35" s="141"/>
      <c r="IN35" s="141"/>
      <c r="IO35" s="141"/>
      <c r="IP35" s="141"/>
      <c r="IQ35" s="141"/>
      <c r="IR35" s="141"/>
      <c r="IS35" s="141"/>
      <c r="IT35" s="141"/>
      <c r="IU35" s="141"/>
      <c r="IV35" s="141"/>
    </row>
    <row r="36" spans="1:256" s="74" customFormat="1" ht="19.5" x14ac:dyDescent="0.35">
      <c r="A36" s="195"/>
      <c r="B36" s="153" t="s">
        <v>374</v>
      </c>
      <c r="C36" s="153" t="s">
        <v>403</v>
      </c>
      <c r="D36" s="123" t="str">
        <f>Rfreq/1000&amp;" kΩ"</f>
        <v>76.8 kΩ</v>
      </c>
      <c r="E36" s="145"/>
      <c r="F36" s="141"/>
      <c r="G36" s="146"/>
      <c r="H36" s="141"/>
      <c r="I36" s="198"/>
      <c r="J36" s="209"/>
      <c r="K36" s="146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141"/>
      <c r="DE36" s="141"/>
      <c r="DF36" s="141"/>
      <c r="DG36" s="141"/>
      <c r="DH36" s="141"/>
      <c r="DI36" s="141"/>
      <c r="DJ36" s="141"/>
      <c r="DK36" s="141"/>
      <c r="DL36" s="141"/>
      <c r="DM36" s="141"/>
      <c r="DN36" s="141"/>
      <c r="DO36" s="141"/>
      <c r="DP36" s="141"/>
      <c r="DQ36" s="141"/>
      <c r="DR36" s="141"/>
      <c r="DS36" s="141"/>
      <c r="DT36" s="141"/>
      <c r="DU36" s="141"/>
      <c r="DV36" s="141"/>
      <c r="DW36" s="141"/>
      <c r="DX36" s="141"/>
      <c r="DY36" s="141"/>
      <c r="DZ36" s="141"/>
      <c r="EA36" s="141"/>
      <c r="EB36" s="141"/>
      <c r="EC36" s="141"/>
      <c r="ED36" s="141"/>
      <c r="EE36" s="141"/>
      <c r="EF36" s="141"/>
      <c r="EG36" s="141"/>
      <c r="EH36" s="141"/>
      <c r="EI36" s="141"/>
      <c r="EJ36" s="141"/>
      <c r="EK36" s="141"/>
      <c r="EL36" s="141"/>
      <c r="EM36" s="141"/>
      <c r="EN36" s="141"/>
      <c r="EO36" s="141"/>
      <c r="EP36" s="141"/>
      <c r="EQ36" s="141"/>
      <c r="ER36" s="141"/>
      <c r="ES36" s="141"/>
      <c r="ET36" s="141"/>
      <c r="EU36" s="141"/>
      <c r="EV36" s="141"/>
      <c r="EW36" s="141"/>
      <c r="EX36" s="141"/>
      <c r="EY36" s="141"/>
      <c r="EZ36" s="141"/>
      <c r="FA36" s="141"/>
      <c r="FB36" s="141"/>
      <c r="FC36" s="141"/>
      <c r="FD36" s="141"/>
      <c r="FE36" s="141"/>
      <c r="FF36" s="141"/>
      <c r="FG36" s="141"/>
      <c r="FH36" s="141"/>
      <c r="FI36" s="141"/>
      <c r="FJ36" s="141"/>
      <c r="FK36" s="141"/>
      <c r="FL36" s="141"/>
      <c r="FM36" s="141"/>
      <c r="FN36" s="141"/>
      <c r="FO36" s="141"/>
      <c r="FP36" s="141"/>
      <c r="FQ36" s="141"/>
      <c r="FR36" s="141"/>
      <c r="FS36" s="141"/>
      <c r="FT36" s="141"/>
      <c r="FU36" s="141"/>
      <c r="FV36" s="141"/>
      <c r="FW36" s="141"/>
      <c r="FX36" s="141"/>
      <c r="FY36" s="141"/>
      <c r="FZ36" s="141"/>
      <c r="GA36" s="141"/>
      <c r="GB36" s="141"/>
      <c r="GC36" s="141"/>
      <c r="GD36" s="141"/>
      <c r="GE36" s="141"/>
      <c r="GF36" s="141"/>
      <c r="GG36" s="141"/>
      <c r="GH36" s="141"/>
      <c r="GI36" s="141"/>
      <c r="GJ36" s="141"/>
      <c r="GK36" s="141"/>
      <c r="GL36" s="141"/>
      <c r="GM36" s="141"/>
      <c r="GN36" s="141"/>
      <c r="GO36" s="141"/>
      <c r="GP36" s="141"/>
      <c r="GQ36" s="141"/>
      <c r="GR36" s="141"/>
      <c r="GS36" s="141"/>
      <c r="GT36" s="141"/>
      <c r="GU36" s="141"/>
      <c r="GV36" s="141"/>
      <c r="GW36" s="141"/>
      <c r="GX36" s="141"/>
      <c r="GY36" s="141"/>
      <c r="GZ36" s="141"/>
      <c r="HA36" s="141"/>
      <c r="HB36" s="141"/>
      <c r="HC36" s="141"/>
      <c r="HD36" s="141"/>
      <c r="HE36" s="141"/>
      <c r="HF36" s="141"/>
      <c r="HG36" s="141"/>
      <c r="HH36" s="141"/>
      <c r="HI36" s="141"/>
      <c r="HJ36" s="141"/>
      <c r="HK36" s="141"/>
      <c r="HL36" s="141"/>
      <c r="HM36" s="141"/>
      <c r="HN36" s="141"/>
      <c r="HO36" s="141"/>
      <c r="HP36" s="141"/>
      <c r="HQ36" s="141"/>
      <c r="HR36" s="141"/>
      <c r="HS36" s="141"/>
      <c r="HT36" s="141"/>
      <c r="HU36" s="141"/>
      <c r="HV36" s="141"/>
      <c r="HW36" s="141"/>
      <c r="HX36" s="141"/>
      <c r="HY36" s="141"/>
      <c r="HZ36" s="141"/>
      <c r="IA36" s="141"/>
      <c r="IB36" s="141"/>
      <c r="IC36" s="141"/>
      <c r="ID36" s="141"/>
      <c r="IE36" s="141"/>
      <c r="IF36" s="141"/>
      <c r="IG36" s="141"/>
      <c r="IH36" s="141"/>
      <c r="II36" s="141"/>
      <c r="IJ36" s="141"/>
      <c r="IK36" s="141"/>
      <c r="IL36" s="141"/>
      <c r="IM36" s="141"/>
      <c r="IN36" s="141"/>
      <c r="IO36" s="141"/>
      <c r="IP36" s="141"/>
      <c r="IQ36" s="141"/>
      <c r="IR36" s="141"/>
      <c r="IS36" s="141"/>
      <c r="IT36" s="141"/>
      <c r="IU36" s="141"/>
      <c r="IV36" s="141"/>
    </row>
    <row r="37" spans="1:256" s="74" customFormat="1" ht="19.5" x14ac:dyDescent="0.35">
      <c r="A37" s="195"/>
      <c r="B37" s="153" t="s">
        <v>189</v>
      </c>
      <c r="C37" s="153" t="s">
        <v>404</v>
      </c>
      <c r="D37" s="123" t="str">
        <f>Rsl/1000&amp;" kΩ"</f>
        <v>11 kΩ</v>
      </c>
      <c r="E37" s="145"/>
      <c r="F37" s="141"/>
      <c r="G37" s="146"/>
      <c r="H37" s="141"/>
      <c r="I37" s="198"/>
      <c r="J37" s="209"/>
      <c r="K37" s="146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BQ37" s="141"/>
      <c r="BR37" s="141"/>
      <c r="BS37" s="141"/>
      <c r="BT37" s="141"/>
      <c r="BU37" s="141"/>
      <c r="BV37" s="141"/>
      <c r="BW37" s="141"/>
      <c r="BX37" s="141"/>
      <c r="BY37" s="141"/>
      <c r="BZ37" s="141"/>
      <c r="CA37" s="141"/>
      <c r="CB37" s="141"/>
      <c r="CC37" s="141"/>
      <c r="CD37" s="141"/>
      <c r="CE37" s="141"/>
      <c r="CF37" s="141"/>
      <c r="CG37" s="141"/>
      <c r="CH37" s="141"/>
      <c r="CI37" s="141"/>
      <c r="CJ37" s="141"/>
      <c r="CK37" s="141"/>
      <c r="CL37" s="141"/>
      <c r="CM37" s="141"/>
      <c r="CN37" s="141"/>
      <c r="CO37" s="141"/>
      <c r="CP37" s="141"/>
      <c r="CQ37" s="141"/>
      <c r="CR37" s="141"/>
      <c r="CS37" s="141"/>
      <c r="CT37" s="141"/>
      <c r="CU37" s="141"/>
      <c r="CV37" s="141"/>
      <c r="CW37" s="141"/>
      <c r="CX37" s="141"/>
      <c r="CY37" s="141"/>
      <c r="CZ37" s="141"/>
      <c r="DA37" s="141"/>
      <c r="DB37" s="141"/>
      <c r="DC37" s="141"/>
      <c r="DD37" s="141"/>
      <c r="DE37" s="141"/>
      <c r="DF37" s="141"/>
      <c r="DG37" s="141"/>
      <c r="DH37" s="141"/>
      <c r="DI37" s="141"/>
      <c r="DJ37" s="141"/>
      <c r="DK37" s="141"/>
      <c r="DL37" s="141"/>
      <c r="DM37" s="141"/>
      <c r="DN37" s="141"/>
      <c r="DO37" s="141"/>
      <c r="DP37" s="141"/>
      <c r="DQ37" s="141"/>
      <c r="DR37" s="141"/>
      <c r="DS37" s="141"/>
      <c r="DT37" s="141"/>
      <c r="DU37" s="141"/>
      <c r="DV37" s="141"/>
      <c r="DW37" s="141"/>
      <c r="DX37" s="141"/>
      <c r="DY37" s="141"/>
      <c r="DZ37" s="141"/>
      <c r="EA37" s="141"/>
      <c r="EB37" s="141"/>
      <c r="EC37" s="141"/>
      <c r="ED37" s="141"/>
      <c r="EE37" s="141"/>
      <c r="EF37" s="141"/>
      <c r="EG37" s="141"/>
      <c r="EH37" s="141"/>
      <c r="EI37" s="141"/>
      <c r="EJ37" s="141"/>
      <c r="EK37" s="141"/>
      <c r="EL37" s="141"/>
      <c r="EM37" s="141"/>
      <c r="EN37" s="141"/>
      <c r="EO37" s="141"/>
      <c r="EP37" s="141"/>
      <c r="EQ37" s="141"/>
      <c r="ER37" s="141"/>
      <c r="ES37" s="141"/>
      <c r="ET37" s="141"/>
      <c r="EU37" s="141"/>
      <c r="EV37" s="141"/>
      <c r="EW37" s="141"/>
      <c r="EX37" s="141"/>
      <c r="EY37" s="141"/>
      <c r="EZ37" s="141"/>
      <c r="FA37" s="141"/>
      <c r="FB37" s="141"/>
      <c r="FC37" s="141"/>
      <c r="FD37" s="141"/>
      <c r="FE37" s="141"/>
      <c r="FF37" s="141"/>
      <c r="FG37" s="141"/>
      <c r="FH37" s="141"/>
      <c r="FI37" s="141"/>
      <c r="FJ37" s="141"/>
      <c r="FK37" s="141"/>
      <c r="FL37" s="141"/>
      <c r="FM37" s="141"/>
      <c r="FN37" s="141"/>
      <c r="FO37" s="141"/>
      <c r="FP37" s="141"/>
      <c r="FQ37" s="141"/>
      <c r="FR37" s="141"/>
      <c r="FS37" s="141"/>
      <c r="FT37" s="141"/>
      <c r="FU37" s="141"/>
      <c r="FV37" s="141"/>
      <c r="FW37" s="141"/>
      <c r="FX37" s="141"/>
      <c r="FY37" s="141"/>
      <c r="FZ37" s="141"/>
      <c r="GA37" s="141"/>
      <c r="GB37" s="141"/>
      <c r="GC37" s="141"/>
      <c r="GD37" s="141"/>
      <c r="GE37" s="141"/>
      <c r="GF37" s="141"/>
      <c r="GG37" s="141"/>
      <c r="GH37" s="141"/>
      <c r="GI37" s="141"/>
      <c r="GJ37" s="141"/>
      <c r="GK37" s="141"/>
      <c r="GL37" s="141"/>
      <c r="GM37" s="141"/>
      <c r="GN37" s="141"/>
      <c r="GO37" s="141"/>
      <c r="GP37" s="141"/>
      <c r="GQ37" s="141"/>
      <c r="GR37" s="141"/>
      <c r="GS37" s="141"/>
      <c r="GT37" s="141"/>
      <c r="GU37" s="141"/>
      <c r="GV37" s="141"/>
      <c r="GW37" s="141"/>
      <c r="GX37" s="141"/>
      <c r="GY37" s="141"/>
      <c r="GZ37" s="141"/>
      <c r="HA37" s="141"/>
      <c r="HB37" s="141"/>
      <c r="HC37" s="141"/>
      <c r="HD37" s="141"/>
      <c r="HE37" s="141"/>
      <c r="HF37" s="141"/>
      <c r="HG37" s="141"/>
      <c r="HH37" s="141"/>
      <c r="HI37" s="141"/>
      <c r="HJ37" s="141"/>
      <c r="HK37" s="141"/>
      <c r="HL37" s="141"/>
      <c r="HM37" s="141"/>
      <c r="HN37" s="141"/>
      <c r="HO37" s="141"/>
      <c r="HP37" s="141"/>
      <c r="HQ37" s="141"/>
      <c r="HR37" s="141"/>
      <c r="HS37" s="141"/>
      <c r="HT37" s="141"/>
      <c r="HU37" s="141"/>
      <c r="HV37" s="141"/>
      <c r="HW37" s="141"/>
      <c r="HX37" s="141"/>
      <c r="HY37" s="141"/>
      <c r="HZ37" s="141"/>
      <c r="IA37" s="141"/>
      <c r="IB37" s="141"/>
      <c r="IC37" s="141"/>
      <c r="ID37" s="141"/>
      <c r="IE37" s="141"/>
      <c r="IF37" s="141"/>
      <c r="IG37" s="141"/>
      <c r="IH37" s="141"/>
      <c r="II37" s="141"/>
      <c r="IJ37" s="141"/>
      <c r="IK37" s="141"/>
      <c r="IL37" s="141"/>
      <c r="IM37" s="141"/>
      <c r="IN37" s="141"/>
      <c r="IO37" s="141"/>
      <c r="IP37" s="141"/>
      <c r="IQ37" s="141"/>
      <c r="IR37" s="141"/>
      <c r="IS37" s="141"/>
      <c r="IT37" s="141"/>
      <c r="IU37" s="141"/>
      <c r="IV37" s="141"/>
    </row>
    <row r="38" spans="1:256" s="74" customFormat="1" ht="19.5" x14ac:dyDescent="0.35">
      <c r="A38" s="195"/>
      <c r="B38" s="153" t="s">
        <v>188</v>
      </c>
      <c r="C38" s="153" t="s">
        <v>405</v>
      </c>
      <c r="D38" s="123" t="str">
        <f>Rsh/1000&amp;" kΩ"</f>
        <v>205 kΩ</v>
      </c>
      <c r="E38" s="145"/>
      <c r="F38" s="141"/>
      <c r="G38" s="146"/>
      <c r="H38" s="141"/>
      <c r="I38" s="198"/>
      <c r="J38" s="209"/>
      <c r="K38" s="146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41"/>
      <c r="CB38" s="141"/>
      <c r="CC38" s="141"/>
      <c r="CD38" s="141"/>
      <c r="CE38" s="141"/>
      <c r="CF38" s="141"/>
      <c r="CG38" s="141"/>
      <c r="CH38" s="141"/>
      <c r="CI38" s="141"/>
      <c r="CJ38" s="141"/>
      <c r="CK38" s="141"/>
      <c r="CL38" s="141"/>
      <c r="CM38" s="141"/>
      <c r="CN38" s="141"/>
      <c r="CO38" s="141"/>
      <c r="CP38" s="141"/>
      <c r="CQ38" s="141"/>
      <c r="CR38" s="141"/>
      <c r="CS38" s="141"/>
      <c r="CT38" s="141"/>
      <c r="CU38" s="141"/>
      <c r="CV38" s="141"/>
      <c r="CW38" s="141"/>
      <c r="CX38" s="141"/>
      <c r="CY38" s="141"/>
      <c r="CZ38" s="141"/>
      <c r="DA38" s="141"/>
      <c r="DB38" s="141"/>
      <c r="DC38" s="141"/>
      <c r="DD38" s="141"/>
      <c r="DE38" s="141"/>
      <c r="DF38" s="141"/>
      <c r="DG38" s="141"/>
      <c r="DH38" s="141"/>
      <c r="DI38" s="141"/>
      <c r="DJ38" s="141"/>
      <c r="DK38" s="141"/>
      <c r="DL38" s="141"/>
      <c r="DM38" s="141"/>
      <c r="DN38" s="141"/>
      <c r="DO38" s="141"/>
      <c r="DP38" s="141"/>
      <c r="DQ38" s="141"/>
      <c r="DR38" s="141"/>
      <c r="DS38" s="141"/>
      <c r="DT38" s="141"/>
      <c r="DU38" s="141"/>
      <c r="DV38" s="141"/>
      <c r="DW38" s="141"/>
      <c r="DX38" s="141"/>
      <c r="DY38" s="141"/>
      <c r="DZ38" s="141"/>
      <c r="EA38" s="141"/>
      <c r="EB38" s="141"/>
      <c r="EC38" s="141"/>
      <c r="ED38" s="141"/>
      <c r="EE38" s="141"/>
      <c r="EF38" s="141"/>
      <c r="EG38" s="141"/>
      <c r="EH38" s="141"/>
      <c r="EI38" s="141"/>
      <c r="EJ38" s="141"/>
      <c r="EK38" s="141"/>
      <c r="EL38" s="141"/>
      <c r="EM38" s="141"/>
      <c r="EN38" s="141"/>
      <c r="EO38" s="141"/>
      <c r="EP38" s="141"/>
      <c r="EQ38" s="141"/>
      <c r="ER38" s="141"/>
      <c r="ES38" s="141"/>
      <c r="ET38" s="141"/>
      <c r="EU38" s="141"/>
      <c r="EV38" s="141"/>
      <c r="EW38" s="141"/>
      <c r="EX38" s="141"/>
      <c r="EY38" s="141"/>
      <c r="EZ38" s="141"/>
      <c r="FA38" s="141"/>
      <c r="FB38" s="141"/>
      <c r="FC38" s="141"/>
      <c r="FD38" s="141"/>
      <c r="FE38" s="141"/>
      <c r="FF38" s="141"/>
      <c r="FG38" s="141"/>
      <c r="FH38" s="141"/>
      <c r="FI38" s="141"/>
      <c r="FJ38" s="141"/>
      <c r="FK38" s="141"/>
      <c r="FL38" s="141"/>
      <c r="FM38" s="141"/>
      <c r="FN38" s="141"/>
      <c r="FO38" s="141"/>
      <c r="FP38" s="141"/>
      <c r="FQ38" s="141"/>
      <c r="FR38" s="141"/>
      <c r="FS38" s="141"/>
      <c r="FT38" s="141"/>
      <c r="FU38" s="141"/>
      <c r="FV38" s="141"/>
      <c r="FW38" s="141"/>
      <c r="FX38" s="141"/>
      <c r="FY38" s="141"/>
      <c r="FZ38" s="141"/>
      <c r="GA38" s="141"/>
      <c r="GB38" s="141"/>
      <c r="GC38" s="141"/>
      <c r="GD38" s="141"/>
      <c r="GE38" s="141"/>
      <c r="GF38" s="141"/>
      <c r="GG38" s="141"/>
      <c r="GH38" s="141"/>
      <c r="GI38" s="141"/>
      <c r="GJ38" s="141"/>
      <c r="GK38" s="141"/>
      <c r="GL38" s="141"/>
      <c r="GM38" s="141"/>
      <c r="GN38" s="141"/>
      <c r="GO38" s="141"/>
      <c r="GP38" s="141"/>
      <c r="GQ38" s="141"/>
      <c r="GR38" s="141"/>
      <c r="GS38" s="141"/>
      <c r="GT38" s="141"/>
      <c r="GU38" s="141"/>
      <c r="GV38" s="141"/>
      <c r="GW38" s="141"/>
      <c r="GX38" s="141"/>
      <c r="GY38" s="141"/>
      <c r="GZ38" s="141"/>
      <c r="HA38" s="141"/>
      <c r="HB38" s="141"/>
      <c r="HC38" s="141"/>
      <c r="HD38" s="141"/>
      <c r="HE38" s="141"/>
      <c r="HF38" s="141"/>
      <c r="HG38" s="141"/>
      <c r="HH38" s="141"/>
      <c r="HI38" s="141"/>
      <c r="HJ38" s="141"/>
      <c r="HK38" s="141"/>
      <c r="HL38" s="141"/>
      <c r="HM38" s="141"/>
      <c r="HN38" s="141"/>
      <c r="HO38" s="141"/>
      <c r="HP38" s="141"/>
      <c r="HQ38" s="141"/>
      <c r="HR38" s="141"/>
      <c r="HS38" s="141"/>
      <c r="HT38" s="141"/>
      <c r="HU38" s="141"/>
      <c r="HV38" s="141"/>
      <c r="HW38" s="141"/>
      <c r="HX38" s="141"/>
      <c r="HY38" s="141"/>
      <c r="HZ38" s="141"/>
      <c r="IA38" s="141"/>
      <c r="IB38" s="141"/>
      <c r="IC38" s="141"/>
      <c r="ID38" s="141"/>
      <c r="IE38" s="141"/>
      <c r="IF38" s="141"/>
      <c r="IG38" s="141"/>
      <c r="IH38" s="141"/>
      <c r="II38" s="141"/>
      <c r="IJ38" s="141"/>
      <c r="IK38" s="141"/>
      <c r="IL38" s="141"/>
      <c r="IM38" s="141"/>
      <c r="IN38" s="141"/>
      <c r="IO38" s="141"/>
      <c r="IP38" s="141"/>
      <c r="IQ38" s="141"/>
      <c r="IR38" s="141"/>
      <c r="IS38" s="141"/>
      <c r="IT38" s="141"/>
      <c r="IU38" s="141"/>
      <c r="IV38" s="141"/>
    </row>
    <row r="39" spans="1:256" s="74" customFormat="1" ht="19.5" x14ac:dyDescent="0.35">
      <c r="A39" s="195"/>
      <c r="B39" s="153" t="s">
        <v>452</v>
      </c>
      <c r="C39" s="153" t="s">
        <v>453</v>
      </c>
      <c r="D39" s="123" t="str">
        <f>D153/1000&amp;" kΩ"</f>
        <v>100 kΩ</v>
      </c>
      <c r="E39" s="145"/>
      <c r="F39" s="141"/>
      <c r="G39" s="146"/>
      <c r="H39" s="141"/>
      <c r="I39" s="198"/>
      <c r="J39" s="209"/>
      <c r="K39" s="146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41"/>
      <c r="CB39" s="141"/>
      <c r="CC39" s="141"/>
      <c r="CD39" s="141"/>
      <c r="CE39" s="141"/>
      <c r="CF39" s="141"/>
      <c r="CG39" s="141"/>
      <c r="CH39" s="141"/>
      <c r="CI39" s="141"/>
      <c r="CJ39" s="141"/>
      <c r="CK39" s="141"/>
      <c r="CL39" s="141"/>
      <c r="CM39" s="141"/>
      <c r="CN39" s="141"/>
      <c r="CO39" s="141"/>
      <c r="CP39" s="141"/>
      <c r="CQ39" s="141"/>
      <c r="CR39" s="141"/>
      <c r="CS39" s="141"/>
      <c r="CT39" s="141"/>
      <c r="CU39" s="141"/>
      <c r="CV39" s="141"/>
      <c r="CW39" s="141"/>
      <c r="CX39" s="141"/>
      <c r="CY39" s="141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1"/>
      <c r="DM39" s="141"/>
      <c r="DN39" s="141"/>
      <c r="DO39" s="141"/>
      <c r="DP39" s="141"/>
      <c r="DQ39" s="141"/>
      <c r="DR39" s="141"/>
      <c r="DS39" s="141"/>
      <c r="DT39" s="141"/>
      <c r="DU39" s="141"/>
      <c r="DV39" s="141"/>
      <c r="DW39" s="141"/>
      <c r="DX39" s="141"/>
      <c r="DY39" s="141"/>
      <c r="DZ39" s="141"/>
      <c r="EA39" s="141"/>
      <c r="EB39" s="141"/>
      <c r="EC39" s="141"/>
      <c r="ED39" s="141"/>
      <c r="EE39" s="141"/>
      <c r="EF39" s="141"/>
      <c r="EG39" s="141"/>
      <c r="EH39" s="141"/>
      <c r="EI39" s="141"/>
      <c r="EJ39" s="141"/>
      <c r="EK39" s="141"/>
      <c r="EL39" s="141"/>
      <c r="EM39" s="141"/>
      <c r="EN39" s="141"/>
      <c r="EO39" s="141"/>
      <c r="EP39" s="141"/>
      <c r="EQ39" s="141"/>
      <c r="ER39" s="141"/>
      <c r="ES39" s="141"/>
      <c r="ET39" s="141"/>
      <c r="EU39" s="141"/>
      <c r="EV39" s="141"/>
      <c r="EW39" s="141"/>
      <c r="EX39" s="141"/>
      <c r="EY39" s="141"/>
      <c r="EZ39" s="141"/>
      <c r="FA39" s="141"/>
      <c r="FB39" s="141"/>
      <c r="FC39" s="141"/>
      <c r="FD39" s="141"/>
      <c r="FE39" s="141"/>
      <c r="FF39" s="141"/>
      <c r="FG39" s="141"/>
      <c r="FH39" s="141"/>
      <c r="FI39" s="141"/>
      <c r="FJ39" s="141"/>
      <c r="FK39" s="141"/>
      <c r="FL39" s="141"/>
      <c r="FM39" s="141"/>
      <c r="FN39" s="141"/>
      <c r="FO39" s="141"/>
      <c r="FP39" s="141"/>
      <c r="FQ39" s="141"/>
      <c r="FR39" s="141"/>
      <c r="FS39" s="141"/>
      <c r="FT39" s="141"/>
      <c r="FU39" s="141"/>
      <c r="FV39" s="141"/>
      <c r="FW39" s="141"/>
      <c r="FX39" s="141"/>
      <c r="FY39" s="141"/>
      <c r="FZ39" s="141"/>
      <c r="GA39" s="141"/>
      <c r="GB39" s="141"/>
      <c r="GC39" s="141"/>
      <c r="GD39" s="141"/>
      <c r="GE39" s="141"/>
      <c r="GF39" s="141"/>
      <c r="GG39" s="141"/>
      <c r="GH39" s="141"/>
      <c r="GI39" s="141"/>
      <c r="GJ39" s="141"/>
      <c r="GK39" s="141"/>
      <c r="GL39" s="141"/>
      <c r="GM39" s="141"/>
      <c r="GN39" s="141"/>
      <c r="GO39" s="141"/>
      <c r="GP39" s="141"/>
      <c r="GQ39" s="141"/>
      <c r="GR39" s="141"/>
      <c r="GS39" s="141"/>
      <c r="GT39" s="141"/>
      <c r="GU39" s="141"/>
      <c r="GV39" s="141"/>
      <c r="GW39" s="141"/>
      <c r="GX39" s="141"/>
      <c r="GY39" s="141"/>
      <c r="GZ39" s="141"/>
      <c r="HA39" s="141"/>
      <c r="HB39" s="141"/>
      <c r="HC39" s="141"/>
      <c r="HD39" s="141"/>
      <c r="HE39" s="141"/>
      <c r="HF39" s="141"/>
      <c r="HG39" s="141"/>
      <c r="HH39" s="141"/>
      <c r="HI39" s="141"/>
      <c r="HJ39" s="141"/>
      <c r="HK39" s="141"/>
      <c r="HL39" s="141"/>
      <c r="HM39" s="141"/>
      <c r="HN39" s="141"/>
      <c r="HO39" s="141"/>
      <c r="HP39" s="141"/>
      <c r="HQ39" s="141"/>
      <c r="HR39" s="141"/>
      <c r="HS39" s="141"/>
      <c r="HT39" s="141"/>
      <c r="HU39" s="141"/>
      <c r="HV39" s="141"/>
      <c r="HW39" s="141"/>
      <c r="HX39" s="141"/>
      <c r="HY39" s="141"/>
      <c r="HZ39" s="141"/>
      <c r="IA39" s="141"/>
      <c r="IB39" s="141"/>
      <c r="IC39" s="141"/>
      <c r="ID39" s="141"/>
      <c r="IE39" s="141"/>
      <c r="IF39" s="141"/>
      <c r="IG39" s="141"/>
      <c r="IH39" s="141"/>
      <c r="II39" s="141"/>
      <c r="IJ39" s="141"/>
      <c r="IK39" s="141"/>
      <c r="IL39" s="141"/>
      <c r="IM39" s="141"/>
      <c r="IN39" s="141"/>
      <c r="IO39" s="141"/>
      <c r="IP39" s="141"/>
      <c r="IQ39" s="141"/>
      <c r="IR39" s="141"/>
      <c r="IS39" s="141"/>
      <c r="IT39" s="141"/>
      <c r="IU39" s="141"/>
      <c r="IV39" s="141"/>
    </row>
    <row r="40" spans="1:256" ht="15" x14ac:dyDescent="0.25">
      <c r="A40" s="198"/>
      <c r="B40" s="119" t="s">
        <v>120</v>
      </c>
      <c r="C40" s="118" t="s">
        <v>24</v>
      </c>
      <c r="D40" s="264" t="s">
        <v>9</v>
      </c>
      <c r="E40" s="265"/>
      <c r="F40" s="266"/>
      <c r="G40" s="118" t="s">
        <v>8</v>
      </c>
      <c r="H40" s="126" t="s">
        <v>422</v>
      </c>
      <c r="I40" s="210"/>
      <c r="J40" s="202"/>
      <c r="M40" s="147"/>
    </row>
    <row r="41" spans="1:256" x14ac:dyDescent="0.2">
      <c r="A41" s="195"/>
      <c r="B41" s="156"/>
      <c r="C41" s="157"/>
      <c r="D41" s="157"/>
      <c r="E41" s="157"/>
      <c r="F41" s="141"/>
      <c r="G41" s="156"/>
      <c r="H41" s="155"/>
      <c r="I41" s="211"/>
      <c r="J41" s="202"/>
      <c r="M41" s="147"/>
    </row>
    <row r="42" spans="1:256" x14ac:dyDescent="0.2">
      <c r="A42" s="195"/>
      <c r="B42" s="257" t="s">
        <v>36</v>
      </c>
      <c r="C42" s="257"/>
      <c r="D42" s="158"/>
      <c r="E42" s="158"/>
      <c r="F42" s="159"/>
      <c r="G42" s="160"/>
      <c r="H42" s="161"/>
      <c r="I42" s="211"/>
      <c r="J42" s="202"/>
      <c r="M42" s="147"/>
    </row>
    <row r="43" spans="1:256" x14ac:dyDescent="0.2">
      <c r="A43" s="195"/>
      <c r="B43" s="175"/>
      <c r="C43" s="131" t="s">
        <v>198</v>
      </c>
      <c r="D43" s="92">
        <f>MIN(1-toffmin*fsw,95)</f>
        <v>0.8125</v>
      </c>
      <c r="E43" s="92">
        <f>tonmin*fsw</f>
        <v>7.4999999999999997E-2</v>
      </c>
      <c r="F43" s="133"/>
      <c r="G43" s="130"/>
      <c r="H43" s="176" t="s">
        <v>432</v>
      </c>
      <c r="I43" s="211"/>
      <c r="J43" s="202"/>
      <c r="M43" s="147"/>
    </row>
    <row r="44" spans="1:256" x14ac:dyDescent="0.2">
      <c r="A44" s="195"/>
      <c r="B44" s="177">
        <v>11</v>
      </c>
      <c r="C44" s="131" t="s">
        <v>194</v>
      </c>
      <c r="D44" s="92">
        <f>(Vout-Vin_Nom)/(Vout)</f>
        <v>0.77083333333333337</v>
      </c>
      <c r="E44" s="133"/>
      <c r="F44" s="133"/>
      <c r="G44" s="178"/>
      <c r="H44" s="133" t="s">
        <v>195</v>
      </c>
      <c r="I44" s="198"/>
      <c r="J44" s="202"/>
    </row>
    <row r="45" spans="1:256" x14ac:dyDescent="0.2">
      <c r="A45" s="195"/>
      <c r="B45" s="177">
        <v>11</v>
      </c>
      <c r="C45" s="131" t="s">
        <v>302</v>
      </c>
      <c r="D45" s="92">
        <f>(Vout-Vin_Min)/(Vout)</f>
        <v>0.77083333333333337</v>
      </c>
      <c r="E45" s="133"/>
      <c r="F45" s="133"/>
      <c r="G45" s="178"/>
      <c r="H45" s="133" t="s">
        <v>196</v>
      </c>
      <c r="I45" s="198"/>
      <c r="J45" s="202"/>
    </row>
    <row r="46" spans="1:256" x14ac:dyDescent="0.2">
      <c r="A46" s="195"/>
      <c r="B46" s="177">
        <v>11</v>
      </c>
      <c r="C46" s="131" t="s">
        <v>303</v>
      </c>
      <c r="D46" s="92">
        <f>(Vout-Vin_Max)/(Vout)</f>
        <v>0.77083333333333337</v>
      </c>
      <c r="E46" s="133"/>
      <c r="F46" s="133"/>
      <c r="G46" s="178"/>
      <c r="H46" s="133" t="s">
        <v>197</v>
      </c>
      <c r="I46" s="198"/>
      <c r="J46" s="202"/>
    </row>
    <row r="47" spans="1:256" x14ac:dyDescent="0.2">
      <c r="A47" s="195"/>
      <c r="B47" s="177" t="s">
        <v>344</v>
      </c>
      <c r="C47" s="131" t="s">
        <v>334</v>
      </c>
      <c r="D47" s="116">
        <f>Dmin/tonmin</f>
        <v>7708333.333333334</v>
      </c>
      <c r="E47" s="116">
        <f>(1-Dmax)/(toffmin)</f>
        <v>916666.66666666651</v>
      </c>
      <c r="F47" s="133"/>
      <c r="G47" s="178" t="s">
        <v>5</v>
      </c>
      <c r="H47" s="133" t="s">
        <v>433</v>
      </c>
      <c r="I47" s="198"/>
      <c r="J47" s="202"/>
    </row>
    <row r="48" spans="1:256" x14ac:dyDescent="0.2">
      <c r="A48" s="195"/>
      <c r="B48" s="177">
        <v>14</v>
      </c>
      <c r="C48" s="131" t="s">
        <v>434</v>
      </c>
      <c r="D48" s="95">
        <f>57500/(fsw/1000)*1000</f>
        <v>76666.666666666672</v>
      </c>
      <c r="E48" s="94">
        <f>(IF((10^(LOG(D48)-INT(LOG(D48)))*100)-VLOOKUP((10^(LOG(D48)-INT(LOG(D48)))*100),E96_s:E96_f,1)&lt;VLOOKUP((10^(LOG(D48)-INT(LOG(D48)))*100),E96_s:E96_f,2)-(10^(LOG(D48)-INT(LOG(D48)))*100),VLOOKUP((10^(LOG(D48)-INT(LOG(D48)))*100),E96_s:E96_f,1),VLOOKUP((10^(LOG(D48)-INT(LOG(D48)))*100),E96_s:E96_f,2)))*10^INT(LOG(D48))/100</f>
        <v>76800</v>
      </c>
      <c r="F48" s="133"/>
      <c r="G48" s="178" t="s">
        <v>29</v>
      </c>
      <c r="H48" s="133" t="s">
        <v>264</v>
      </c>
      <c r="I48" s="198"/>
      <c r="J48" s="202"/>
      <c r="M48" s="147"/>
    </row>
    <row r="49" spans="1:41" x14ac:dyDescent="0.2">
      <c r="A49" s="195"/>
      <c r="B49" s="177"/>
      <c r="C49" s="131" t="s">
        <v>435</v>
      </c>
      <c r="D49" s="93">
        <f>E48</f>
        <v>76800</v>
      </c>
      <c r="E49" s="219"/>
      <c r="F49" s="133"/>
      <c r="G49" s="178" t="s">
        <v>29</v>
      </c>
      <c r="H49" s="133" t="s">
        <v>107</v>
      </c>
      <c r="I49" s="198"/>
      <c r="J49" s="202"/>
      <c r="M49" s="147"/>
    </row>
    <row r="50" spans="1:41" x14ac:dyDescent="0.2">
      <c r="A50" s="195"/>
      <c r="B50" s="156"/>
      <c r="C50" s="141"/>
      <c r="D50" s="141"/>
      <c r="E50" s="162"/>
      <c r="F50" s="163"/>
      <c r="G50" s="145"/>
      <c r="H50" s="141"/>
      <c r="I50" s="198"/>
      <c r="J50" s="202"/>
    </row>
    <row r="51" spans="1:41" x14ac:dyDescent="0.2">
      <c r="A51" s="195"/>
      <c r="B51" s="257" t="s">
        <v>111</v>
      </c>
      <c r="C51" s="257"/>
      <c r="D51" s="158"/>
      <c r="E51" s="158"/>
      <c r="F51" s="158"/>
      <c r="G51" s="164"/>
      <c r="H51" s="158"/>
      <c r="I51" s="212"/>
      <c r="J51" s="213"/>
      <c r="M51" s="157"/>
      <c r="N51" s="157"/>
      <c r="AO51" s="165"/>
    </row>
    <row r="52" spans="1:41" x14ac:dyDescent="0.2">
      <c r="A52" s="195"/>
      <c r="B52" s="177">
        <v>15</v>
      </c>
      <c r="C52" s="131" t="s">
        <v>317</v>
      </c>
      <c r="D52" s="115">
        <f>Iout/(1-Dmax)</f>
        <v>8.0000000000000018</v>
      </c>
      <c r="E52" s="133"/>
      <c r="F52" s="146"/>
      <c r="G52" s="178" t="s">
        <v>2</v>
      </c>
      <c r="H52" s="133" t="s">
        <v>343</v>
      </c>
      <c r="I52" s="198"/>
      <c r="J52" s="202"/>
    </row>
    <row r="53" spans="1:41" x14ac:dyDescent="0.2">
      <c r="A53" s="195"/>
      <c r="B53" s="177"/>
      <c r="C53" s="131" t="s">
        <v>4</v>
      </c>
      <c r="D53" s="84">
        <v>0.3</v>
      </c>
      <c r="E53" s="133"/>
      <c r="F53" s="133"/>
      <c r="G53" s="178"/>
      <c r="H53" s="133" t="s">
        <v>110</v>
      </c>
      <c r="I53" s="198"/>
      <c r="J53" s="202"/>
    </row>
    <row r="54" spans="1:41" x14ac:dyDescent="0.2">
      <c r="A54" s="195"/>
      <c r="B54" s="177"/>
      <c r="C54" s="131" t="s">
        <v>312</v>
      </c>
      <c r="D54" s="115">
        <f>Iout/(1-Dmax)*Kind</f>
        <v>2.4000000000000004</v>
      </c>
      <c r="E54" s="133"/>
      <c r="F54" s="133"/>
      <c r="G54" s="178" t="s">
        <v>2</v>
      </c>
      <c r="H54" s="133" t="s">
        <v>309</v>
      </c>
      <c r="I54" s="198"/>
      <c r="J54" s="202"/>
    </row>
    <row r="55" spans="1:41" x14ac:dyDescent="0.2">
      <c r="A55" s="195"/>
      <c r="B55" s="177">
        <v>17</v>
      </c>
      <c r="C55" s="131" t="s">
        <v>306</v>
      </c>
      <c r="D55" s="81">
        <f>Vin_Max*Dmin/(fsw*Iout/(1-Dmax)*Kind)</f>
        <v>2.3553240740740743E-6</v>
      </c>
      <c r="E55" s="133"/>
      <c r="F55" s="133"/>
      <c r="G55" s="178" t="s">
        <v>6</v>
      </c>
      <c r="H55" s="176" t="s">
        <v>454</v>
      </c>
      <c r="I55" s="214"/>
      <c r="J55" s="202"/>
      <c r="M55" s="147"/>
    </row>
    <row r="56" spans="1:41" x14ac:dyDescent="0.2">
      <c r="A56" s="195"/>
      <c r="B56" s="177">
        <v>17</v>
      </c>
      <c r="C56" s="131" t="s">
        <v>307</v>
      </c>
      <c r="D56" s="81">
        <f>Vin_Min*Dmax/(fsw*Iout/(1-Dmax)*Kind)</f>
        <v>2.3553240740740743E-6</v>
      </c>
      <c r="E56" s="133"/>
      <c r="F56" s="133"/>
      <c r="G56" s="178" t="s">
        <v>6</v>
      </c>
      <c r="H56" s="176" t="s">
        <v>455</v>
      </c>
      <c r="I56" s="214"/>
      <c r="J56" s="202"/>
      <c r="M56" s="147"/>
    </row>
    <row r="57" spans="1:41" x14ac:dyDescent="0.2">
      <c r="A57" s="195"/>
      <c r="B57" s="177">
        <v>16</v>
      </c>
      <c r="C57" s="131" t="s">
        <v>308</v>
      </c>
      <c r="D57" s="81" t="str">
        <f>IF(Dmax&lt;50%,"n/a",IF(Dmin&gt;50%,"n/a",Vout/(4*fsw*Iout/(1-Dmax)*Kind)))</f>
        <v>n/a</v>
      </c>
      <c r="E57" s="133"/>
      <c r="F57" s="133"/>
      <c r="G57" s="178" t="s">
        <v>6</v>
      </c>
      <c r="H57" s="176" t="s">
        <v>456</v>
      </c>
      <c r="I57" s="214"/>
      <c r="J57" s="202"/>
      <c r="M57" s="147"/>
    </row>
    <row r="58" spans="1:41" x14ac:dyDescent="0.2">
      <c r="A58" s="195"/>
      <c r="B58" s="177"/>
      <c r="C58" s="131" t="s">
        <v>436</v>
      </c>
      <c r="D58" s="93">
        <v>4.6999999999999999E-6</v>
      </c>
      <c r="E58" s="134"/>
      <c r="F58" s="133"/>
      <c r="G58" s="178" t="s">
        <v>6</v>
      </c>
      <c r="H58" s="176" t="s">
        <v>438</v>
      </c>
      <c r="I58" s="214"/>
      <c r="J58" s="202"/>
      <c r="M58" s="147"/>
    </row>
    <row r="59" spans="1:41" x14ac:dyDescent="0.2">
      <c r="A59" s="195"/>
      <c r="B59" s="177"/>
      <c r="C59" s="131" t="s">
        <v>27</v>
      </c>
      <c r="D59" s="100">
        <v>1.95E-2</v>
      </c>
      <c r="E59" s="133"/>
      <c r="F59" s="133"/>
      <c r="G59" s="178" t="s">
        <v>29</v>
      </c>
      <c r="H59" s="133" t="s">
        <v>437</v>
      </c>
      <c r="I59" s="198"/>
      <c r="J59" s="202"/>
    </row>
    <row r="60" spans="1:41" x14ac:dyDescent="0.2">
      <c r="A60" s="195"/>
      <c r="B60" s="177"/>
      <c r="C60" s="179" t="s">
        <v>202</v>
      </c>
      <c r="D60" s="83">
        <f>Vin_Min*Dmax/(L*fsw)</f>
        <v>1.2027186761229316</v>
      </c>
      <c r="E60" s="83">
        <f>Vin_Nom*Dnom/(L*fsw)</f>
        <v>1.2027186761229316</v>
      </c>
      <c r="F60" s="83">
        <f>Vin_Max*Dmin/(L*fsw)</f>
        <v>1.2027186761229316</v>
      </c>
      <c r="G60" s="178" t="s">
        <v>2</v>
      </c>
      <c r="H60" s="133" t="s">
        <v>118</v>
      </c>
      <c r="I60" s="198"/>
      <c r="J60" s="202"/>
    </row>
    <row r="61" spans="1:41" x14ac:dyDescent="0.2">
      <c r="A61" s="195"/>
      <c r="B61" s="177">
        <v>48</v>
      </c>
      <c r="C61" s="131" t="s">
        <v>30</v>
      </c>
      <c r="D61" s="83">
        <f>((Vout-Vin_Min)*Vin_Min^2)/(2*(Vout)^2*fsw*L)</f>
        <v>0.13781151497241922</v>
      </c>
      <c r="E61" s="83">
        <f>((Vout-Vin_Nom)*Vin_Nom^2)/(2*(Vout)^2*fsw*L)</f>
        <v>0.13781151497241922</v>
      </c>
      <c r="F61" s="83">
        <f>((Vout-Vin_Max)*Vin_Max^2)/(2*(Vout)^2*fsw*L)</f>
        <v>0.13781151497241922</v>
      </c>
      <c r="G61" s="178" t="s">
        <v>2</v>
      </c>
      <c r="H61" s="133" t="s">
        <v>345</v>
      </c>
      <c r="I61" s="215"/>
      <c r="J61" s="202"/>
      <c r="M61" s="162"/>
    </row>
    <row r="62" spans="1:41" x14ac:dyDescent="0.2">
      <c r="A62" s="195"/>
      <c r="B62" s="177"/>
      <c r="C62" s="131" t="s">
        <v>338</v>
      </c>
      <c r="D62" s="83">
        <f>Vin_Min^2*fsw*tonmin^2/(2*L*(Vout-Vin_Min))</f>
        <v>1.3046290971822886E-3</v>
      </c>
      <c r="E62" s="83">
        <f>Vin_Nom^2*fsw*tonmin^2/(2*L*(Vout-Vin_Nom))</f>
        <v>1.3046290971822886E-3</v>
      </c>
      <c r="F62" s="83">
        <f>Vin_Max^2*fsw*tonmin^2/(2*L*(Vout-Vin_Max))</f>
        <v>1.3046290971822886E-3</v>
      </c>
      <c r="G62" s="178" t="s">
        <v>2</v>
      </c>
      <c r="H62" s="133" t="s">
        <v>346</v>
      </c>
      <c r="I62" s="215"/>
      <c r="J62" s="202"/>
      <c r="M62" s="162"/>
    </row>
    <row r="63" spans="1:41" x14ac:dyDescent="0.2">
      <c r="A63" s="195"/>
      <c r="B63" s="177">
        <v>18</v>
      </c>
      <c r="C63" s="131" t="s">
        <v>203</v>
      </c>
      <c r="D63" s="83">
        <f>(SQRT((Iout/(1-Dmax))^2+(Iripple/12)^2))</f>
        <v>8.0006278105281528</v>
      </c>
      <c r="E63" s="83">
        <f>(SQRT((Iout/(1-Dnom))^2+(E60/12)^2))</f>
        <v>8.0006278105281528</v>
      </c>
      <c r="F63" s="83">
        <f>(SQRT((Iout/(1-Dmin))^2+(F60/12)^2))</f>
        <v>8.0006278105281528</v>
      </c>
      <c r="G63" s="178" t="s">
        <v>2</v>
      </c>
      <c r="H63" s="135" t="s">
        <v>63</v>
      </c>
      <c r="I63" s="215"/>
      <c r="J63" s="202"/>
    </row>
    <row r="64" spans="1:41" x14ac:dyDescent="0.2">
      <c r="A64" s="195"/>
      <c r="B64" s="177">
        <v>19</v>
      </c>
      <c r="C64" s="131" t="s">
        <v>204</v>
      </c>
      <c r="D64" s="83">
        <f>Iout/(1-Dmax)+Iripple/2</f>
        <v>8.6013593380614672</v>
      </c>
      <c r="E64" s="83">
        <f>1.2*Ilpeak</f>
        <v>10.321631205673761</v>
      </c>
      <c r="F64" s="133"/>
      <c r="G64" s="178" t="s">
        <v>2</v>
      </c>
      <c r="H64" s="133" t="s">
        <v>119</v>
      </c>
      <c r="I64" s="215"/>
      <c r="J64" s="202"/>
      <c r="M64" s="162"/>
    </row>
    <row r="65" spans="1:41" x14ac:dyDescent="0.2">
      <c r="A65" s="195"/>
      <c r="B65" s="177"/>
      <c r="C65" s="131" t="s">
        <v>205</v>
      </c>
      <c r="D65" s="83">
        <f>Ilrms^2*DCR</f>
        <v>1.2481958845706318</v>
      </c>
      <c r="E65" s="83">
        <f>E63^2*DCR</f>
        <v>1.2481958845706318</v>
      </c>
      <c r="F65" s="83">
        <f>F63^2*DCR</f>
        <v>1.2481958845706318</v>
      </c>
      <c r="G65" s="178" t="s">
        <v>12</v>
      </c>
      <c r="H65" s="133" t="s">
        <v>347</v>
      </c>
      <c r="I65" s="198"/>
      <c r="J65" s="202"/>
    </row>
    <row r="66" spans="1:41" x14ac:dyDescent="0.2">
      <c r="A66" s="195"/>
      <c r="B66" s="148"/>
      <c r="C66" s="149"/>
      <c r="D66" s="162"/>
      <c r="E66" s="162"/>
      <c r="F66" s="162"/>
      <c r="G66" s="145"/>
      <c r="H66" s="141"/>
      <c r="I66" s="198"/>
      <c r="J66" s="202"/>
    </row>
    <row r="67" spans="1:41" x14ac:dyDescent="0.2">
      <c r="A67" s="195"/>
      <c r="B67" s="257" t="s">
        <v>407</v>
      </c>
      <c r="C67" s="257"/>
      <c r="D67" s="158"/>
      <c r="E67" s="158"/>
      <c r="F67" s="158"/>
      <c r="G67" s="164"/>
      <c r="H67" s="158"/>
      <c r="I67" s="212"/>
      <c r="J67" s="213"/>
      <c r="M67" s="157"/>
      <c r="N67" s="157"/>
      <c r="AO67" s="165"/>
    </row>
    <row r="68" spans="1:41" x14ac:dyDescent="0.2">
      <c r="A68" s="195"/>
      <c r="B68" s="177">
        <v>20</v>
      </c>
      <c r="C68" s="131" t="s">
        <v>337</v>
      </c>
      <c r="D68" s="83">
        <f>(0.000003*(Dmax*100)^3 - 0.0019*(Dmax*100)^2 + 0.023*(Dmax*100) + 73.402)/1000</f>
        <v>6.5259470703125003E-2</v>
      </c>
      <c r="E68" s="83">
        <f>(0.000003*(Dnom*100)^3 - 0.0019*(Dnom*100)^2 + 0.023*(Dnom*100) + 73.402)/1000</f>
        <v>6.5259470703125003E-2</v>
      </c>
      <c r="F68" s="83">
        <f>(0.000003*(Dmin*100)^3 - 0.0019*(Dmin*100)^2 + 0.023*(Dmin*100) + 73.402)/1000</f>
        <v>6.5259470703125003E-2</v>
      </c>
      <c r="G68" s="178" t="s">
        <v>3</v>
      </c>
      <c r="H68" s="133" t="s">
        <v>349</v>
      </c>
      <c r="I68" s="198"/>
      <c r="J68" s="202"/>
    </row>
    <row r="69" spans="1:41" x14ac:dyDescent="0.2">
      <c r="A69" s="195"/>
      <c r="B69" s="177"/>
      <c r="C69" s="131" t="s">
        <v>199</v>
      </c>
      <c r="D69" s="83">
        <f>((0.000003*Dmax*100^3 - 0.0019*Dmax*100^2 + 0.023*Dmax*100 + 73.402)-10)/1000</f>
        <v>5.2841583333333331E-2</v>
      </c>
      <c r="E69" s="83">
        <f>((0.000003*Dnom*100^3 - 0.0019*Dnom*100^2 + 0.023*Dnom*100 + 73.402)-10)/1000</f>
        <v>5.2841583333333331E-2</v>
      </c>
      <c r="F69" s="83">
        <f>((0.000003*(Dmin*100)^3 - 0.0019*(Dmin*100)^2 + 0.023*(Dmin*100) + 73.402)-10)/1000</f>
        <v>5.5259470703125001E-2</v>
      </c>
      <c r="G69" s="178" t="s">
        <v>3</v>
      </c>
      <c r="H69" s="133" t="s">
        <v>350</v>
      </c>
      <c r="I69" s="198"/>
      <c r="J69" s="202"/>
    </row>
    <row r="70" spans="1:41" x14ac:dyDescent="0.2">
      <c r="A70" s="195"/>
      <c r="B70" s="177">
        <v>21</v>
      </c>
      <c r="C70" s="131" t="s">
        <v>200</v>
      </c>
      <c r="D70" s="81">
        <f>Vcs/(1.2*Ilpeak)</f>
        <v>5.1194992613460668E-3</v>
      </c>
      <c r="E70" s="134"/>
      <c r="F70" s="139"/>
      <c r="G70" s="178" t="s">
        <v>29</v>
      </c>
      <c r="H70" s="133" t="s">
        <v>353</v>
      </c>
      <c r="I70" s="212"/>
      <c r="J70" s="213"/>
      <c r="M70" s="157"/>
      <c r="N70" s="157"/>
    </row>
    <row r="71" spans="1:41" x14ac:dyDescent="0.2">
      <c r="A71" s="195"/>
      <c r="B71" s="177"/>
      <c r="C71" s="131" t="s">
        <v>439</v>
      </c>
      <c r="D71" s="100">
        <v>5.0000000000000001E-3</v>
      </c>
      <c r="E71" s="134"/>
      <c r="F71" s="180"/>
      <c r="G71" s="178" t="s">
        <v>29</v>
      </c>
      <c r="H71" s="133" t="s">
        <v>207</v>
      </c>
      <c r="I71" s="212"/>
      <c r="J71" s="213"/>
      <c r="M71" s="157"/>
      <c r="N71" s="157"/>
    </row>
    <row r="72" spans="1:41" x14ac:dyDescent="0.2">
      <c r="A72" s="195"/>
      <c r="B72" s="177">
        <v>22</v>
      </c>
      <c r="C72" s="131" t="s">
        <v>201</v>
      </c>
      <c r="D72" s="83">
        <f>(Vcs0duty_max)^2/Rsense</f>
        <v>1.3448000000000002</v>
      </c>
      <c r="E72" s="134"/>
      <c r="F72" s="138"/>
      <c r="G72" s="178" t="s">
        <v>12</v>
      </c>
      <c r="H72" s="133" t="s">
        <v>206</v>
      </c>
      <c r="I72" s="212"/>
      <c r="J72" s="213"/>
      <c r="M72" s="157"/>
      <c r="N72" s="157"/>
    </row>
    <row r="73" spans="1:41" x14ac:dyDescent="0.2">
      <c r="A73" s="195"/>
      <c r="B73" s="131"/>
      <c r="C73" s="131" t="s">
        <v>328</v>
      </c>
      <c r="D73" s="83">
        <f>(Vcs/Rsense)</f>
        <v>10.568316666666666</v>
      </c>
      <c r="E73" s="83">
        <f>(E69)/Rsense</f>
        <v>10.568316666666666</v>
      </c>
      <c r="F73" s="83">
        <f>(F69)/Rsense</f>
        <v>11.051894140625</v>
      </c>
      <c r="G73" s="178" t="s">
        <v>2</v>
      </c>
      <c r="H73" s="133" t="s">
        <v>332</v>
      </c>
      <c r="I73" s="212"/>
      <c r="J73" s="213"/>
      <c r="M73" s="157"/>
      <c r="N73" s="157"/>
    </row>
    <row r="74" spans="1:41" x14ac:dyDescent="0.2">
      <c r="A74" s="195"/>
      <c r="B74" s="177"/>
      <c r="C74" s="131" t="s">
        <v>324</v>
      </c>
      <c r="D74" s="83">
        <f>(D68)/Rsense</f>
        <v>13.051894140625</v>
      </c>
      <c r="E74" s="83">
        <f>(E68)/Rsense</f>
        <v>13.051894140625</v>
      </c>
      <c r="F74" s="83">
        <f>(F68)/Rsense</f>
        <v>13.051894140625</v>
      </c>
      <c r="G74" s="178" t="s">
        <v>2</v>
      </c>
      <c r="H74" s="133" t="s">
        <v>325</v>
      </c>
      <c r="I74" s="212"/>
      <c r="J74" s="213"/>
      <c r="M74" s="157"/>
      <c r="N74" s="157"/>
    </row>
    <row r="75" spans="1:41" x14ac:dyDescent="0.2">
      <c r="A75" s="195"/>
      <c r="B75" s="131"/>
      <c r="C75" s="131" t="s">
        <v>333</v>
      </c>
      <c r="D75" s="120">
        <v>0.93</v>
      </c>
      <c r="E75" s="120">
        <v>0.96</v>
      </c>
      <c r="F75" s="120">
        <v>0.97</v>
      </c>
      <c r="G75" s="178"/>
      <c r="H75" s="133" t="s">
        <v>333</v>
      </c>
      <c r="I75" s="212"/>
      <c r="J75" s="213"/>
      <c r="M75" s="157"/>
      <c r="N75" s="157"/>
    </row>
    <row r="76" spans="1:41" x14ac:dyDescent="0.2">
      <c r="A76" s="195"/>
      <c r="B76" s="131"/>
      <c r="C76" s="131" t="s">
        <v>326</v>
      </c>
      <c r="D76" s="83">
        <f>(D73-Iripple/2)*(1-Dmax)*D75</f>
        <v>2.124207780658983</v>
      </c>
      <c r="E76" s="83">
        <f>(E73-E60/2)*(1-Dnom)*E75</f>
        <v>2.1927306122931438</v>
      </c>
      <c r="F76" s="83">
        <f>(F73-F60/2)*(1-Dmin)*F75</f>
        <v>2.3230667988198519</v>
      </c>
      <c r="G76" s="178" t="s">
        <v>2</v>
      </c>
      <c r="H76" s="133" t="s">
        <v>352</v>
      </c>
      <c r="I76" s="198"/>
      <c r="J76" s="202"/>
    </row>
    <row r="77" spans="1:41" x14ac:dyDescent="0.2">
      <c r="A77" s="195"/>
      <c r="B77" s="177"/>
      <c r="C77" s="131" t="s">
        <v>326</v>
      </c>
      <c r="D77" s="83">
        <f>(D74-Iripple/2)*(1-Dmax)*D75</f>
        <v>2.6535202297963534</v>
      </c>
      <c r="E77" s="83">
        <f>(E74-E60/2)*(1-Dnom)*E75</f>
        <v>2.7391176565639772</v>
      </c>
      <c r="F77" s="83">
        <f>(F74-F60/2)*(1-Dmin)*F75</f>
        <v>2.7676501321531854</v>
      </c>
      <c r="G77" s="178" t="s">
        <v>2</v>
      </c>
      <c r="H77" s="133" t="s">
        <v>351</v>
      </c>
      <c r="I77" s="198"/>
      <c r="J77" s="202"/>
    </row>
    <row r="78" spans="1:41" x14ac:dyDescent="0.2">
      <c r="A78" s="195"/>
      <c r="B78" s="148"/>
      <c r="C78" s="141"/>
      <c r="D78" s="162"/>
      <c r="E78" s="162"/>
      <c r="F78" s="141"/>
      <c r="G78" s="145"/>
      <c r="H78" s="141"/>
      <c r="I78" s="198"/>
      <c r="J78" s="202"/>
    </row>
    <row r="79" spans="1:41" x14ac:dyDescent="0.2">
      <c r="A79" s="195"/>
      <c r="B79" s="257" t="s">
        <v>113</v>
      </c>
      <c r="C79" s="257"/>
      <c r="D79" s="158"/>
      <c r="E79" s="158"/>
      <c r="F79" s="158"/>
      <c r="G79" s="164"/>
      <c r="H79" s="166"/>
      <c r="I79" s="214"/>
      <c r="J79" s="202"/>
      <c r="M79" s="147"/>
    </row>
    <row r="80" spans="1:41" x14ac:dyDescent="0.2">
      <c r="A80" s="195"/>
      <c r="B80" s="177">
        <v>24</v>
      </c>
      <c r="C80" s="131" t="s">
        <v>208</v>
      </c>
      <c r="D80" s="82">
        <f>(Dmax*Iout)/(fsw*Vout_ripple)</f>
        <v>7.8510802469135807E-6</v>
      </c>
      <c r="E80" s="133"/>
      <c r="F80" s="133"/>
      <c r="G80" s="178" t="s">
        <v>7</v>
      </c>
      <c r="H80" s="181" t="s">
        <v>124</v>
      </c>
      <c r="I80" s="198"/>
      <c r="J80" s="202"/>
      <c r="M80" s="147"/>
    </row>
    <row r="81" spans="1:253" x14ac:dyDescent="0.2">
      <c r="A81" s="195"/>
      <c r="B81" s="177">
        <v>23</v>
      </c>
      <c r="C81" s="131" t="s">
        <v>209</v>
      </c>
      <c r="D81" s="82">
        <f>dItran/(2*PI()*Fco_target*dVtran)</f>
        <v>2.6111111111111114E-5</v>
      </c>
      <c r="E81" s="133"/>
      <c r="F81" s="133"/>
      <c r="G81" s="178" t="s">
        <v>7</v>
      </c>
      <c r="H81" s="181" t="s">
        <v>125</v>
      </c>
      <c r="I81" s="198"/>
      <c r="J81" s="202"/>
      <c r="M81" s="147"/>
    </row>
    <row r="82" spans="1:253" x14ac:dyDescent="0.2">
      <c r="A82" s="195"/>
      <c r="B82" s="177"/>
      <c r="C82" s="131" t="s">
        <v>210</v>
      </c>
      <c r="D82" s="83">
        <f>Vout_ripple/Iin_max</f>
        <v>2.9999999999999992E-2</v>
      </c>
      <c r="E82" s="136"/>
      <c r="F82" s="133"/>
      <c r="G82" s="178" t="s">
        <v>29</v>
      </c>
      <c r="H82" s="133" t="s">
        <v>211</v>
      </c>
      <c r="I82" s="198"/>
      <c r="J82" s="202"/>
      <c r="M82" s="147"/>
    </row>
    <row r="83" spans="1:253" x14ac:dyDescent="0.2">
      <c r="A83" s="195"/>
      <c r="B83" s="177"/>
      <c r="C83" s="131" t="s">
        <v>440</v>
      </c>
      <c r="D83" s="93">
        <f>MAX(D80:D81)</f>
        <v>2.6111111111111114E-5</v>
      </c>
      <c r="E83" s="133"/>
      <c r="F83" s="133"/>
      <c r="G83" s="178" t="s">
        <v>7</v>
      </c>
      <c r="H83" s="133" t="s">
        <v>430</v>
      </c>
      <c r="I83" s="198"/>
      <c r="J83" s="202"/>
      <c r="M83" s="147"/>
    </row>
    <row r="84" spans="1:253" x14ac:dyDescent="0.2">
      <c r="A84" s="195"/>
      <c r="B84" s="177"/>
      <c r="C84" s="131" t="s">
        <v>441</v>
      </c>
      <c r="D84" s="87">
        <v>8.5000000000000006E-3</v>
      </c>
      <c r="E84" s="135"/>
      <c r="F84" s="133"/>
      <c r="G84" s="178" t="s">
        <v>29</v>
      </c>
      <c r="H84" s="133" t="s">
        <v>442</v>
      </c>
      <c r="I84" s="198"/>
      <c r="J84" s="202"/>
      <c r="M84" s="147"/>
    </row>
    <row r="85" spans="1:253" x14ac:dyDescent="0.2">
      <c r="A85" s="195"/>
      <c r="B85" s="177"/>
      <c r="C85" s="131" t="s">
        <v>68</v>
      </c>
      <c r="D85" s="83">
        <f>Iout*SQRT(Dmax/(1-Dmax))</f>
        <v>3.3623735003053361</v>
      </c>
      <c r="E85" s="137"/>
      <c r="F85" s="136"/>
      <c r="G85" s="178" t="s">
        <v>2</v>
      </c>
      <c r="H85" s="133" t="s">
        <v>126</v>
      </c>
      <c r="I85" s="198"/>
      <c r="J85" s="202"/>
    </row>
    <row r="86" spans="1:253" x14ac:dyDescent="0.2">
      <c r="A86" s="195"/>
      <c r="B86" s="148"/>
      <c r="C86" s="141"/>
      <c r="D86" s="163"/>
      <c r="E86" s="163"/>
      <c r="F86" s="163"/>
      <c r="G86" s="145"/>
      <c r="H86" s="141"/>
      <c r="I86" s="198"/>
      <c r="J86" s="202"/>
    </row>
    <row r="87" spans="1:253" x14ac:dyDescent="0.2">
      <c r="A87" s="195"/>
      <c r="B87" s="257" t="s">
        <v>406</v>
      </c>
      <c r="C87" s="257"/>
      <c r="D87" s="167"/>
      <c r="E87" s="167"/>
      <c r="F87" s="159"/>
      <c r="G87" s="164"/>
      <c r="H87" s="159"/>
      <c r="I87" s="198"/>
      <c r="J87" s="202"/>
      <c r="M87" s="147"/>
      <c r="Q87" s="147"/>
      <c r="U87" s="147"/>
      <c r="Y87" s="147"/>
      <c r="AC87" s="147"/>
      <c r="AG87" s="147"/>
      <c r="AK87" s="147"/>
      <c r="AO87" s="147"/>
      <c r="AS87" s="147"/>
      <c r="AW87" s="147"/>
      <c r="BA87" s="147"/>
      <c r="BE87" s="147"/>
      <c r="BI87" s="147"/>
      <c r="BM87" s="147"/>
      <c r="BQ87" s="147"/>
      <c r="BU87" s="147"/>
      <c r="BY87" s="147"/>
      <c r="CC87" s="147"/>
      <c r="CG87" s="147"/>
      <c r="CK87" s="147"/>
      <c r="CO87" s="147"/>
      <c r="CS87" s="147"/>
      <c r="CW87" s="147"/>
      <c r="DA87" s="147"/>
      <c r="DE87" s="147"/>
      <c r="DI87" s="147"/>
      <c r="DM87" s="147"/>
      <c r="DQ87" s="147"/>
      <c r="DU87" s="147"/>
      <c r="DY87" s="147"/>
      <c r="EC87" s="147"/>
      <c r="EG87" s="147"/>
      <c r="EK87" s="147"/>
      <c r="EO87" s="147"/>
      <c r="ES87" s="147"/>
      <c r="EW87" s="147"/>
      <c r="FA87" s="147"/>
      <c r="FE87" s="147"/>
      <c r="FI87" s="147"/>
      <c r="FM87" s="147"/>
      <c r="FQ87" s="147"/>
      <c r="FU87" s="147"/>
      <c r="FY87" s="147"/>
      <c r="GC87" s="147"/>
      <c r="GG87" s="147"/>
      <c r="GK87" s="147"/>
      <c r="GO87" s="147"/>
      <c r="GS87" s="147"/>
      <c r="GW87" s="147"/>
      <c r="HA87" s="147"/>
      <c r="HE87" s="147"/>
      <c r="HI87" s="147"/>
      <c r="HM87" s="147"/>
      <c r="HQ87" s="147"/>
      <c r="HU87" s="147"/>
      <c r="HY87" s="147"/>
      <c r="IC87" s="147"/>
      <c r="IG87" s="147"/>
      <c r="IK87" s="147"/>
      <c r="IO87" s="147"/>
      <c r="IS87" s="147"/>
    </row>
    <row r="88" spans="1:253" x14ac:dyDescent="0.2">
      <c r="A88" s="195"/>
      <c r="B88" s="175"/>
      <c r="C88" s="131" t="s">
        <v>365</v>
      </c>
      <c r="D88" s="254" t="s">
        <v>463</v>
      </c>
      <c r="E88" s="136"/>
      <c r="F88" s="133"/>
      <c r="G88" s="178"/>
      <c r="H88" s="133" t="s">
        <v>385</v>
      </c>
      <c r="I88" s="198"/>
      <c r="J88" s="202"/>
      <c r="M88" s="147"/>
      <c r="Q88" s="147"/>
      <c r="U88" s="147"/>
      <c r="Y88" s="147"/>
      <c r="AC88" s="147"/>
      <c r="AG88" s="147"/>
      <c r="AK88" s="147"/>
      <c r="AO88" s="147"/>
      <c r="AS88" s="147"/>
      <c r="AW88" s="147"/>
      <c r="BA88" s="147"/>
      <c r="BE88" s="147"/>
      <c r="BI88" s="147"/>
      <c r="BM88" s="147"/>
      <c r="BQ88" s="147"/>
      <c r="BU88" s="147"/>
      <c r="BY88" s="147"/>
      <c r="CC88" s="147"/>
      <c r="CG88" s="147"/>
      <c r="CK88" s="147"/>
      <c r="CO88" s="147"/>
      <c r="CS88" s="147"/>
      <c r="CW88" s="147"/>
      <c r="DA88" s="147"/>
      <c r="DE88" s="147"/>
      <c r="DI88" s="147"/>
      <c r="DM88" s="147"/>
      <c r="DQ88" s="147"/>
      <c r="DU88" s="147"/>
      <c r="DY88" s="147"/>
      <c r="EC88" s="147"/>
      <c r="EG88" s="147"/>
      <c r="EK88" s="147"/>
      <c r="EO88" s="147"/>
      <c r="ES88" s="147"/>
      <c r="EW88" s="147"/>
      <c r="FA88" s="147"/>
      <c r="FE88" s="147"/>
      <c r="FI88" s="147"/>
      <c r="FM88" s="147"/>
      <c r="FQ88" s="147"/>
      <c r="FU88" s="147"/>
      <c r="FY88" s="147"/>
      <c r="GC88" s="147"/>
      <c r="GG88" s="147"/>
      <c r="GK88" s="147"/>
      <c r="GO88" s="147"/>
      <c r="GS88" s="147"/>
      <c r="GW88" s="147"/>
      <c r="HA88" s="147"/>
      <c r="HE88" s="147"/>
      <c r="HI88" s="147"/>
      <c r="HM88" s="147"/>
      <c r="HQ88" s="147"/>
      <c r="HU88" s="147"/>
      <c r="HY88" s="147"/>
      <c r="IC88" s="147"/>
      <c r="IG88" s="147"/>
      <c r="IK88" s="147"/>
      <c r="IO88" s="147"/>
      <c r="IS88" s="147"/>
    </row>
    <row r="89" spans="1:253" x14ac:dyDescent="0.2">
      <c r="A89" s="195"/>
      <c r="B89" s="175"/>
      <c r="C89" s="131" t="s">
        <v>214</v>
      </c>
      <c r="D89" s="93">
        <v>5.4700000000000003E-9</v>
      </c>
      <c r="E89" s="136"/>
      <c r="F89" s="133"/>
      <c r="G89" s="178" t="s">
        <v>220</v>
      </c>
      <c r="H89" s="133" t="s">
        <v>286</v>
      </c>
      <c r="I89" s="198"/>
      <c r="J89" s="202"/>
      <c r="M89" s="147"/>
      <c r="Q89" s="147"/>
      <c r="U89" s="147"/>
      <c r="Y89" s="147"/>
      <c r="AC89" s="147"/>
      <c r="AG89" s="147"/>
      <c r="AK89" s="147"/>
      <c r="AO89" s="147"/>
      <c r="AS89" s="147"/>
      <c r="AW89" s="147"/>
      <c r="BA89" s="147"/>
      <c r="BE89" s="147"/>
      <c r="BI89" s="147"/>
      <c r="BM89" s="147"/>
      <c r="BQ89" s="147"/>
      <c r="BU89" s="147"/>
      <c r="BY89" s="147"/>
      <c r="CC89" s="147"/>
      <c r="CG89" s="147"/>
      <c r="CK89" s="147"/>
      <c r="CO89" s="147"/>
      <c r="CS89" s="147"/>
      <c r="CW89" s="147"/>
      <c r="DA89" s="147"/>
      <c r="DE89" s="147"/>
      <c r="DI89" s="147"/>
      <c r="DM89" s="147"/>
      <c r="DQ89" s="147"/>
      <c r="DU89" s="147"/>
      <c r="DY89" s="147"/>
      <c r="EC89" s="147"/>
      <c r="EG89" s="147"/>
      <c r="EK89" s="147"/>
      <c r="EO89" s="147"/>
      <c r="ES89" s="147"/>
      <c r="EW89" s="147"/>
      <c r="FA89" s="147"/>
      <c r="FE89" s="147"/>
      <c r="FI89" s="147"/>
      <c r="FM89" s="147"/>
      <c r="FQ89" s="147"/>
      <c r="FU89" s="147"/>
      <c r="FY89" s="147"/>
      <c r="GC89" s="147"/>
      <c r="GG89" s="147"/>
      <c r="GK89" s="147"/>
      <c r="GO89" s="147"/>
      <c r="GS89" s="147"/>
      <c r="GW89" s="147"/>
      <c r="HA89" s="147"/>
      <c r="HE89" s="147"/>
      <c r="HI89" s="147"/>
      <c r="HM89" s="147"/>
      <c r="HQ89" s="147"/>
      <c r="HU89" s="147"/>
      <c r="HY89" s="147"/>
      <c r="IC89" s="147"/>
      <c r="IG89" s="147"/>
      <c r="IK89" s="147"/>
      <c r="IO89" s="147"/>
      <c r="IS89" s="147"/>
    </row>
    <row r="90" spans="1:253" x14ac:dyDescent="0.2">
      <c r="A90" s="195"/>
      <c r="B90" s="175"/>
      <c r="C90" s="131" t="s">
        <v>223</v>
      </c>
      <c r="D90" s="83">
        <f>Qg_ls*fsw</f>
        <v>4.1025000000000002E-3</v>
      </c>
      <c r="E90" s="136"/>
      <c r="F90" s="133"/>
      <c r="G90" s="178" t="s">
        <v>2</v>
      </c>
      <c r="H90" s="133" t="s">
        <v>443</v>
      </c>
      <c r="I90" s="198"/>
      <c r="J90" s="202"/>
      <c r="M90" s="147"/>
      <c r="Q90" s="147"/>
      <c r="U90" s="147"/>
      <c r="Y90" s="147"/>
      <c r="AC90" s="147"/>
      <c r="AG90" s="147"/>
      <c r="AK90" s="147"/>
      <c r="AO90" s="147"/>
      <c r="AS90" s="147"/>
      <c r="AW90" s="147"/>
      <c r="BA90" s="147"/>
      <c r="BE90" s="147"/>
      <c r="BI90" s="147"/>
      <c r="BM90" s="147"/>
      <c r="BQ90" s="147"/>
      <c r="BU90" s="147"/>
      <c r="BY90" s="147"/>
      <c r="CC90" s="147"/>
      <c r="CG90" s="147"/>
      <c r="CK90" s="147"/>
      <c r="CO90" s="147"/>
      <c r="CS90" s="147"/>
      <c r="CW90" s="147"/>
      <c r="DA90" s="147"/>
      <c r="DE90" s="147"/>
      <c r="DI90" s="147"/>
      <c r="DM90" s="147"/>
      <c r="DQ90" s="147"/>
      <c r="DU90" s="147"/>
      <c r="DY90" s="147"/>
      <c r="EC90" s="147"/>
      <c r="EG90" s="147"/>
      <c r="EK90" s="147"/>
      <c r="EO90" s="147"/>
      <c r="ES90" s="147"/>
      <c r="EW90" s="147"/>
      <c r="FA90" s="147"/>
      <c r="FE90" s="147"/>
      <c r="FI90" s="147"/>
      <c r="FM90" s="147"/>
      <c r="FQ90" s="147"/>
      <c r="FU90" s="147"/>
      <c r="FY90" s="147"/>
      <c r="GC90" s="147"/>
      <c r="GG90" s="147"/>
      <c r="GK90" s="147"/>
      <c r="GO90" s="147"/>
      <c r="GS90" s="147"/>
      <c r="GW90" s="147"/>
      <c r="HA90" s="147"/>
      <c r="HE90" s="147"/>
      <c r="HI90" s="147"/>
      <c r="HM90" s="147"/>
      <c r="HQ90" s="147"/>
      <c r="HU90" s="147"/>
      <c r="HY90" s="147"/>
      <c r="IC90" s="147"/>
      <c r="IG90" s="147"/>
      <c r="IK90" s="147"/>
      <c r="IO90" s="147"/>
      <c r="IS90" s="147"/>
    </row>
    <row r="91" spans="1:253" x14ac:dyDescent="0.2">
      <c r="A91" s="195"/>
      <c r="B91" s="175"/>
      <c r="C91" s="131" t="s">
        <v>215</v>
      </c>
      <c r="D91" s="100">
        <v>8.3999999999999995E-3</v>
      </c>
      <c r="E91" s="136"/>
      <c r="F91" s="133"/>
      <c r="G91" s="178" t="s">
        <v>29</v>
      </c>
      <c r="H91" s="133" t="s">
        <v>287</v>
      </c>
      <c r="I91" s="198"/>
      <c r="J91" s="202"/>
      <c r="M91" s="147"/>
      <c r="Q91" s="147"/>
      <c r="U91" s="147"/>
      <c r="Y91" s="147"/>
      <c r="AC91" s="147"/>
      <c r="AG91" s="147"/>
      <c r="AK91" s="147"/>
      <c r="AO91" s="147"/>
      <c r="AS91" s="147"/>
      <c r="AW91" s="147"/>
      <c r="BA91" s="147"/>
      <c r="BE91" s="147"/>
      <c r="BI91" s="147"/>
      <c r="BM91" s="147"/>
      <c r="BQ91" s="147"/>
      <c r="BU91" s="147"/>
      <c r="BY91" s="147"/>
      <c r="CC91" s="147"/>
      <c r="CG91" s="147"/>
      <c r="CK91" s="147"/>
      <c r="CO91" s="147"/>
      <c r="CS91" s="147"/>
      <c r="CW91" s="147"/>
      <c r="DA91" s="147"/>
      <c r="DE91" s="147"/>
      <c r="DI91" s="147"/>
      <c r="DM91" s="147"/>
      <c r="DQ91" s="147"/>
      <c r="DU91" s="147"/>
      <c r="DY91" s="147"/>
      <c r="EC91" s="147"/>
      <c r="EG91" s="147"/>
      <c r="EK91" s="147"/>
      <c r="EO91" s="147"/>
      <c r="ES91" s="147"/>
      <c r="EW91" s="147"/>
      <c r="FA91" s="147"/>
      <c r="FE91" s="147"/>
      <c r="FI91" s="147"/>
      <c r="FM91" s="147"/>
      <c r="FQ91" s="147"/>
      <c r="FU91" s="147"/>
      <c r="FY91" s="147"/>
      <c r="GC91" s="147"/>
      <c r="GG91" s="147"/>
      <c r="GK91" s="147"/>
      <c r="GO91" s="147"/>
      <c r="GS91" s="147"/>
      <c r="GW91" s="147"/>
      <c r="HA91" s="147"/>
      <c r="HE91" s="147"/>
      <c r="HI91" s="147"/>
      <c r="HM91" s="147"/>
      <c r="HQ91" s="147"/>
      <c r="HU91" s="147"/>
      <c r="HY91" s="147"/>
      <c r="IC91" s="147"/>
      <c r="IG91" s="147"/>
      <c r="IK91" s="147"/>
      <c r="IO91" s="147"/>
      <c r="IS91" s="147"/>
    </row>
    <row r="92" spans="1:253" x14ac:dyDescent="0.2">
      <c r="A92" s="195"/>
      <c r="B92" s="177">
        <v>26</v>
      </c>
      <c r="C92" s="131" t="s">
        <v>218</v>
      </c>
      <c r="D92" s="83">
        <f>Dnom*Ilrms^2*(Rdson_ls)</f>
        <v>0.41446504372281234</v>
      </c>
      <c r="E92" s="135"/>
      <c r="F92" s="133"/>
      <c r="G92" s="178" t="s">
        <v>12</v>
      </c>
      <c r="H92" s="133" t="s">
        <v>358</v>
      </c>
      <c r="I92" s="198"/>
      <c r="J92" s="202"/>
    </row>
    <row r="93" spans="1:253" x14ac:dyDescent="0.2">
      <c r="A93" s="195"/>
      <c r="B93" s="175"/>
      <c r="C93" s="131" t="s">
        <v>310</v>
      </c>
      <c r="D93" s="85">
        <v>1.3</v>
      </c>
      <c r="E93" s="136"/>
      <c r="F93" s="133"/>
      <c r="G93" s="178" t="s">
        <v>3</v>
      </c>
      <c r="H93" s="133" t="s">
        <v>311</v>
      </c>
      <c r="I93" s="198"/>
      <c r="J93" s="202"/>
      <c r="M93" s="147"/>
      <c r="Q93" s="147"/>
      <c r="U93" s="147"/>
      <c r="Y93" s="147"/>
      <c r="AC93" s="147"/>
      <c r="AG93" s="147"/>
      <c r="AK93" s="147"/>
      <c r="AO93" s="147"/>
      <c r="AS93" s="147"/>
      <c r="AW93" s="147"/>
      <c r="BA93" s="147"/>
      <c r="BE93" s="147"/>
      <c r="BI93" s="147"/>
      <c r="BM93" s="147"/>
      <c r="BQ93" s="147"/>
      <c r="BU93" s="147"/>
      <c r="BY93" s="147"/>
      <c r="CC93" s="147"/>
      <c r="CG93" s="147"/>
      <c r="CK93" s="147"/>
      <c r="CO93" s="147"/>
      <c r="CS93" s="147"/>
      <c r="CW93" s="147"/>
      <c r="DA93" s="147"/>
      <c r="DE93" s="147"/>
      <c r="DI93" s="147"/>
      <c r="DM93" s="147"/>
      <c r="DQ93" s="147"/>
      <c r="DU93" s="147"/>
      <c r="DY93" s="147"/>
      <c r="EC93" s="147"/>
      <c r="EG93" s="147"/>
      <c r="EK93" s="147"/>
      <c r="EO93" s="147"/>
      <c r="ES93" s="147"/>
      <c r="EW93" s="147"/>
      <c r="FA93" s="147"/>
      <c r="FE93" s="147"/>
      <c r="FI93" s="147"/>
      <c r="FM93" s="147"/>
      <c r="FQ93" s="147"/>
      <c r="FU93" s="147"/>
      <c r="FY93" s="147"/>
      <c r="GC93" s="147"/>
      <c r="GG93" s="147"/>
      <c r="GK93" s="147"/>
      <c r="GO93" s="147"/>
      <c r="GS93" s="147"/>
      <c r="GW93" s="147"/>
      <c r="HA93" s="147"/>
      <c r="HE93" s="147"/>
      <c r="HI93" s="147"/>
      <c r="HM93" s="147"/>
      <c r="HQ93" s="147"/>
      <c r="HU93" s="147"/>
      <c r="HY93" s="147"/>
      <c r="IC93" s="147"/>
      <c r="IG93" s="147"/>
      <c r="IK93" s="147"/>
      <c r="IO93" s="147"/>
      <c r="IS93" s="147"/>
    </row>
    <row r="94" spans="1:253" x14ac:dyDescent="0.2">
      <c r="A94" s="195"/>
      <c r="B94" s="175"/>
      <c r="C94" s="131" t="s">
        <v>319</v>
      </c>
      <c r="D94" s="93">
        <v>2.7E-10</v>
      </c>
      <c r="E94" s="136"/>
      <c r="F94" s="133"/>
      <c r="G94" s="178" t="s">
        <v>7</v>
      </c>
      <c r="H94" s="133" t="s">
        <v>354</v>
      </c>
      <c r="I94" s="198"/>
      <c r="J94" s="202"/>
      <c r="M94" s="147"/>
      <c r="Q94" s="147"/>
      <c r="U94" s="147"/>
      <c r="Y94" s="147"/>
      <c r="AC94" s="147"/>
      <c r="AG94" s="147"/>
      <c r="AK94" s="147"/>
      <c r="AO94" s="147"/>
      <c r="AS94" s="147"/>
      <c r="AW94" s="147"/>
      <c r="BA94" s="147"/>
      <c r="BE94" s="147"/>
      <c r="BI94" s="147"/>
      <c r="BM94" s="147"/>
      <c r="BQ94" s="147"/>
      <c r="BU94" s="147"/>
      <c r="BY94" s="147"/>
      <c r="CC94" s="147"/>
      <c r="CG94" s="147"/>
      <c r="CK94" s="147"/>
      <c r="CO94" s="147"/>
      <c r="CS94" s="147"/>
      <c r="CW94" s="147"/>
      <c r="DA94" s="147"/>
      <c r="DE94" s="147"/>
      <c r="DI94" s="147"/>
      <c r="DM94" s="147"/>
      <c r="DQ94" s="147"/>
      <c r="DU94" s="147"/>
      <c r="DY94" s="147"/>
      <c r="EC94" s="147"/>
      <c r="EG94" s="147"/>
      <c r="EK94" s="147"/>
      <c r="EO94" s="147"/>
      <c r="ES94" s="147"/>
      <c r="EW94" s="147"/>
      <c r="FA94" s="147"/>
      <c r="FE94" s="147"/>
      <c r="FI94" s="147"/>
      <c r="FM94" s="147"/>
      <c r="FQ94" s="147"/>
      <c r="FU94" s="147"/>
      <c r="FY94" s="147"/>
      <c r="GC94" s="147"/>
      <c r="GG94" s="147"/>
      <c r="GK94" s="147"/>
      <c r="GO94" s="147"/>
      <c r="GS94" s="147"/>
      <c r="GW94" s="147"/>
      <c r="HA94" s="147"/>
      <c r="HE94" s="147"/>
      <c r="HI94" s="147"/>
      <c r="HM94" s="147"/>
      <c r="HQ94" s="147"/>
      <c r="HU94" s="147"/>
      <c r="HY94" s="147"/>
      <c r="IC94" s="147"/>
      <c r="IG94" s="147"/>
      <c r="IK94" s="147"/>
      <c r="IO94" s="147"/>
      <c r="IS94" s="147"/>
    </row>
    <row r="95" spans="1:253" x14ac:dyDescent="0.2">
      <c r="A95" s="195"/>
      <c r="B95" s="175"/>
      <c r="C95" s="131" t="s">
        <v>320</v>
      </c>
      <c r="D95" s="93">
        <v>1.3999999999999999E-9</v>
      </c>
      <c r="E95" s="136"/>
      <c r="F95" s="133"/>
      <c r="G95" s="178" t="s">
        <v>220</v>
      </c>
      <c r="H95" s="133" t="s">
        <v>355</v>
      </c>
      <c r="I95" s="198"/>
      <c r="J95" s="202"/>
      <c r="M95" s="147"/>
      <c r="Q95" s="147"/>
      <c r="U95" s="147"/>
      <c r="Y95" s="147"/>
      <c r="AC95" s="147"/>
      <c r="AG95" s="147"/>
      <c r="AK95" s="147"/>
      <c r="AO95" s="147"/>
      <c r="AS95" s="147"/>
      <c r="AW95" s="147"/>
      <c r="BA95" s="147"/>
      <c r="BE95" s="147"/>
      <c r="BI95" s="147"/>
      <c r="BM95" s="147"/>
      <c r="BQ95" s="147"/>
      <c r="BU95" s="147"/>
      <c r="BY95" s="147"/>
      <c r="CC95" s="147"/>
      <c r="CG95" s="147"/>
      <c r="CK95" s="147"/>
      <c r="CO95" s="147"/>
      <c r="CS95" s="147"/>
      <c r="CW95" s="147"/>
      <c r="DA95" s="147"/>
      <c r="DE95" s="147"/>
      <c r="DI95" s="147"/>
      <c r="DM95" s="147"/>
      <c r="DQ95" s="147"/>
      <c r="DU95" s="147"/>
      <c r="DY95" s="147"/>
      <c r="EC95" s="147"/>
      <c r="EG95" s="147"/>
      <c r="EK95" s="147"/>
      <c r="EO95" s="147"/>
      <c r="ES95" s="147"/>
      <c r="EW95" s="147"/>
      <c r="FA95" s="147"/>
      <c r="FE95" s="147"/>
      <c r="FI95" s="147"/>
      <c r="FM95" s="147"/>
      <c r="FQ95" s="147"/>
      <c r="FU95" s="147"/>
      <c r="FY95" s="147"/>
      <c r="GC95" s="147"/>
      <c r="GG95" s="147"/>
      <c r="GK95" s="147"/>
      <c r="GO95" s="147"/>
      <c r="GS95" s="147"/>
      <c r="GW95" s="147"/>
      <c r="HA95" s="147"/>
      <c r="HE95" s="147"/>
      <c r="HI95" s="147"/>
      <c r="HM95" s="147"/>
      <c r="HQ95" s="147"/>
      <c r="HU95" s="147"/>
      <c r="HY95" s="147"/>
      <c r="IC95" s="147"/>
      <c r="IG95" s="147"/>
      <c r="IK95" s="147"/>
      <c r="IO95" s="147"/>
      <c r="IS95" s="147"/>
    </row>
    <row r="96" spans="1:253" x14ac:dyDescent="0.2">
      <c r="A96" s="195"/>
      <c r="B96" s="175"/>
      <c r="C96" s="131" t="s">
        <v>221</v>
      </c>
      <c r="D96" s="85">
        <v>2.2000000000000002</v>
      </c>
      <c r="E96" s="136"/>
      <c r="F96" s="133"/>
      <c r="G96" s="178" t="s">
        <v>29</v>
      </c>
      <c r="H96" s="133" t="s">
        <v>288</v>
      </c>
      <c r="I96" s="198"/>
      <c r="J96" s="202"/>
      <c r="M96" s="147"/>
      <c r="Q96" s="147"/>
      <c r="U96" s="147"/>
      <c r="Y96" s="147"/>
      <c r="AC96" s="147"/>
      <c r="AG96" s="147"/>
      <c r="AK96" s="147"/>
      <c r="AO96" s="147"/>
      <c r="AS96" s="147"/>
      <c r="AW96" s="147"/>
      <c r="BA96" s="147"/>
      <c r="BE96" s="147"/>
      <c r="BI96" s="147"/>
      <c r="BM96" s="147"/>
      <c r="BQ96" s="147"/>
      <c r="BU96" s="147"/>
      <c r="BY96" s="147"/>
      <c r="CC96" s="147"/>
      <c r="CG96" s="147"/>
      <c r="CK96" s="147"/>
      <c r="CO96" s="147"/>
      <c r="CS96" s="147"/>
      <c r="CW96" s="147"/>
      <c r="DA96" s="147"/>
      <c r="DE96" s="147"/>
      <c r="DI96" s="147"/>
      <c r="DM96" s="147"/>
      <c r="DQ96" s="147"/>
      <c r="DU96" s="147"/>
      <c r="DY96" s="147"/>
      <c r="EC96" s="147"/>
      <c r="EG96" s="147"/>
      <c r="EK96" s="147"/>
      <c r="EO96" s="147"/>
      <c r="ES96" s="147"/>
      <c r="EW96" s="147"/>
      <c r="FA96" s="147"/>
      <c r="FE96" s="147"/>
      <c r="FI96" s="147"/>
      <c r="FM96" s="147"/>
      <c r="FQ96" s="147"/>
      <c r="FU96" s="147"/>
      <c r="FY96" s="147"/>
      <c r="GC96" s="147"/>
      <c r="GG96" s="147"/>
      <c r="GK96" s="147"/>
      <c r="GO96" s="147"/>
      <c r="GS96" s="147"/>
      <c r="GW96" s="147"/>
      <c r="HA96" s="147"/>
      <c r="HE96" s="147"/>
      <c r="HI96" s="147"/>
      <c r="HM96" s="147"/>
      <c r="HQ96" s="147"/>
      <c r="HU96" s="147"/>
      <c r="HY96" s="147"/>
      <c r="IC96" s="147"/>
      <c r="IG96" s="147"/>
      <c r="IK96" s="147"/>
      <c r="IO96" s="147"/>
      <c r="IS96" s="147"/>
    </row>
    <row r="97" spans="1:253" x14ac:dyDescent="0.2">
      <c r="A97" s="195"/>
      <c r="B97" s="177">
        <v>27</v>
      </c>
      <c r="C97" s="131" t="s">
        <v>217</v>
      </c>
      <c r="D97" s="83">
        <f>fsw/2*(Coss*Vout^2+Vout*Iin_max*Qgd*Rg_ls/(Vcc_typ-Vth))</f>
        <v>0.11112000000000002</v>
      </c>
      <c r="E97" s="136"/>
      <c r="F97" s="133"/>
      <c r="G97" s="178" t="s">
        <v>12</v>
      </c>
      <c r="H97" s="133" t="s">
        <v>356</v>
      </c>
      <c r="I97" s="198"/>
      <c r="J97" s="202"/>
      <c r="M97" s="147"/>
      <c r="Q97" s="147"/>
      <c r="U97" s="147"/>
      <c r="Y97" s="147"/>
      <c r="AC97" s="147"/>
      <c r="AG97" s="147"/>
      <c r="AK97" s="147"/>
      <c r="AO97" s="147"/>
      <c r="AS97" s="147"/>
      <c r="AW97" s="147"/>
      <c r="BA97" s="147"/>
      <c r="BE97" s="147"/>
      <c r="BI97" s="147"/>
      <c r="BM97" s="147"/>
      <c r="BQ97" s="147"/>
      <c r="BU97" s="147"/>
      <c r="BY97" s="147"/>
      <c r="CC97" s="147"/>
      <c r="CG97" s="147"/>
      <c r="CK97" s="147"/>
      <c r="CO97" s="147"/>
      <c r="CS97" s="147"/>
      <c r="CW97" s="147"/>
      <c r="DA97" s="147"/>
      <c r="DE97" s="147"/>
      <c r="DI97" s="147"/>
      <c r="DM97" s="147"/>
      <c r="DQ97" s="147"/>
      <c r="DU97" s="147"/>
      <c r="DY97" s="147"/>
      <c r="EC97" s="147"/>
      <c r="EG97" s="147"/>
      <c r="EK97" s="147"/>
      <c r="EO97" s="147"/>
      <c r="ES97" s="147"/>
      <c r="EW97" s="147"/>
      <c r="FA97" s="147"/>
      <c r="FE97" s="147"/>
      <c r="FI97" s="147"/>
      <c r="FM97" s="147"/>
      <c r="FQ97" s="147"/>
      <c r="FU97" s="147"/>
      <c r="FY97" s="147"/>
      <c r="GC97" s="147"/>
      <c r="GG97" s="147"/>
      <c r="GK97" s="147"/>
      <c r="GO97" s="147"/>
      <c r="GS97" s="147"/>
      <c r="GW97" s="147"/>
      <c r="HA97" s="147"/>
      <c r="HE97" s="147"/>
      <c r="HI97" s="147"/>
      <c r="HM97" s="147"/>
      <c r="HQ97" s="147"/>
      <c r="HU97" s="147"/>
      <c r="HY97" s="147"/>
      <c r="IC97" s="147"/>
      <c r="IG97" s="147"/>
      <c r="IK97" s="147"/>
      <c r="IO97" s="147"/>
      <c r="IS97" s="147"/>
    </row>
    <row r="98" spans="1:253" hidden="1" x14ac:dyDescent="0.2">
      <c r="A98" s="195"/>
      <c r="B98" s="175"/>
      <c r="C98" s="131" t="s">
        <v>318</v>
      </c>
      <c r="D98" s="80">
        <v>6.3000000000000002E-9</v>
      </c>
      <c r="E98" s="80">
        <v>4.2000000000000004E-9</v>
      </c>
      <c r="F98" s="133"/>
      <c r="G98" s="178" t="s">
        <v>42</v>
      </c>
      <c r="H98" s="133"/>
      <c r="I98" s="198"/>
      <c r="J98" s="202"/>
      <c r="M98" s="147"/>
      <c r="Q98" s="147"/>
      <c r="U98" s="147"/>
      <c r="Y98" s="147"/>
      <c r="AC98" s="147"/>
      <c r="AG98" s="147"/>
      <c r="AK98" s="147"/>
      <c r="AO98" s="147"/>
      <c r="AS98" s="147"/>
      <c r="AW98" s="147"/>
      <c r="BA98" s="147"/>
      <c r="BE98" s="147"/>
      <c r="BI98" s="147"/>
      <c r="BM98" s="147"/>
      <c r="BQ98" s="147"/>
      <c r="BU98" s="147"/>
      <c r="BY98" s="147"/>
      <c r="CC98" s="147"/>
      <c r="CG98" s="147"/>
      <c r="CK98" s="147"/>
      <c r="CO98" s="147"/>
      <c r="CS98" s="147"/>
      <c r="CW98" s="147"/>
      <c r="DA98" s="147"/>
      <c r="DE98" s="147"/>
      <c r="DI98" s="147"/>
      <c r="DM98" s="147"/>
      <c r="DQ98" s="147"/>
      <c r="DU98" s="147"/>
      <c r="DY98" s="147"/>
      <c r="EC98" s="147"/>
      <c r="EG98" s="147"/>
      <c r="EK98" s="147"/>
      <c r="EO98" s="147"/>
      <c r="ES98" s="147"/>
      <c r="EW98" s="147"/>
      <c r="FA98" s="147"/>
      <c r="FE98" s="147"/>
      <c r="FI98" s="147"/>
      <c r="FM98" s="147"/>
      <c r="FQ98" s="147"/>
      <c r="FU98" s="147"/>
      <c r="FY98" s="147"/>
      <c r="GC98" s="147"/>
      <c r="GG98" s="147"/>
      <c r="GK98" s="147"/>
      <c r="GO98" s="147"/>
      <c r="GS98" s="147"/>
      <c r="GW98" s="147"/>
      <c r="HA98" s="147"/>
      <c r="HE98" s="147"/>
      <c r="HI98" s="147"/>
      <c r="HM98" s="147"/>
      <c r="HQ98" s="147"/>
      <c r="HU98" s="147"/>
      <c r="HY98" s="147"/>
      <c r="IC98" s="147"/>
      <c r="IG98" s="147"/>
      <c r="IK98" s="147"/>
      <c r="IO98" s="147"/>
      <c r="IS98" s="147"/>
    </row>
    <row r="99" spans="1:253" hidden="1" x14ac:dyDescent="0.2">
      <c r="A99" s="195"/>
      <c r="B99" s="175"/>
      <c r="C99" s="131" t="s">
        <v>217</v>
      </c>
      <c r="D99" s="83">
        <f>Vout*fsw*Iin_max*(D98+E98)/2/6</f>
        <v>0.12600000000000003</v>
      </c>
      <c r="E99" s="136"/>
      <c r="F99" s="133"/>
      <c r="G99" s="178" t="s">
        <v>12</v>
      </c>
      <c r="H99" s="133"/>
      <c r="I99" s="198"/>
      <c r="J99" s="202"/>
      <c r="M99" s="147"/>
      <c r="Q99" s="147"/>
      <c r="U99" s="147"/>
      <c r="Y99" s="147"/>
      <c r="AC99" s="147"/>
      <c r="AG99" s="147"/>
      <c r="AK99" s="147"/>
      <c r="AO99" s="147"/>
      <c r="AS99" s="147"/>
      <c r="AW99" s="147"/>
      <c r="BA99" s="147"/>
      <c r="BE99" s="147"/>
      <c r="BI99" s="147"/>
      <c r="BM99" s="147"/>
      <c r="BQ99" s="147"/>
      <c r="BU99" s="147"/>
      <c r="BY99" s="147"/>
      <c r="CC99" s="147"/>
      <c r="CG99" s="147"/>
      <c r="CK99" s="147"/>
      <c r="CO99" s="147"/>
      <c r="CS99" s="147"/>
      <c r="CW99" s="147"/>
      <c r="DA99" s="147"/>
      <c r="DE99" s="147"/>
      <c r="DI99" s="147"/>
      <c r="DM99" s="147"/>
      <c r="DQ99" s="147"/>
      <c r="DU99" s="147"/>
      <c r="DY99" s="147"/>
      <c r="EC99" s="147"/>
      <c r="EG99" s="147"/>
      <c r="EK99" s="147"/>
      <c r="EO99" s="147"/>
      <c r="ES99" s="147"/>
      <c r="EW99" s="147"/>
      <c r="FA99" s="147"/>
      <c r="FE99" s="147"/>
      <c r="FI99" s="147"/>
      <c r="FM99" s="147"/>
      <c r="FQ99" s="147"/>
      <c r="FU99" s="147"/>
      <c r="FY99" s="147"/>
      <c r="GC99" s="147"/>
      <c r="GG99" s="147"/>
      <c r="GK99" s="147"/>
      <c r="GO99" s="147"/>
      <c r="GS99" s="147"/>
      <c r="GW99" s="147"/>
      <c r="HA99" s="147"/>
      <c r="HE99" s="147"/>
      <c r="HI99" s="147"/>
      <c r="HM99" s="147"/>
      <c r="HQ99" s="147"/>
      <c r="HU99" s="147"/>
      <c r="HY99" s="147"/>
      <c r="IC99" s="147"/>
      <c r="IG99" s="147"/>
      <c r="IK99" s="147"/>
      <c r="IO99" s="147"/>
      <c r="IS99" s="147"/>
    </row>
    <row r="100" spans="1:253" x14ac:dyDescent="0.2">
      <c r="A100" s="195"/>
      <c r="B100" s="130"/>
      <c r="C100" s="131" t="s">
        <v>335</v>
      </c>
      <c r="D100" s="83">
        <f>Pls_sw+Psw_cond</f>
        <v>0.52558504372281234</v>
      </c>
      <c r="E100" s="135"/>
      <c r="F100" s="133"/>
      <c r="G100" s="178" t="s">
        <v>12</v>
      </c>
      <c r="H100" s="133" t="s">
        <v>359</v>
      </c>
      <c r="I100" s="198"/>
      <c r="J100" s="202"/>
    </row>
    <row r="101" spans="1:253" x14ac:dyDescent="0.2">
      <c r="A101" s="195"/>
      <c r="B101" s="156"/>
      <c r="C101" s="149"/>
      <c r="D101" s="156"/>
      <c r="E101" s="162"/>
      <c r="F101" s="141"/>
      <c r="G101" s="141"/>
      <c r="H101" s="141"/>
      <c r="I101" s="198"/>
      <c r="J101" s="202"/>
    </row>
    <row r="102" spans="1:253" x14ac:dyDescent="0.2">
      <c r="A102" s="195"/>
      <c r="B102" s="257" t="s">
        <v>408</v>
      </c>
      <c r="C102" s="257"/>
      <c r="D102" s="167"/>
      <c r="E102" s="167"/>
      <c r="F102" s="159"/>
      <c r="G102" s="164"/>
      <c r="H102" s="159"/>
      <c r="I102" s="198"/>
      <c r="J102" s="202"/>
      <c r="M102" s="147"/>
      <c r="Q102" s="147"/>
      <c r="U102" s="147"/>
      <c r="Y102" s="147"/>
      <c r="AC102" s="147"/>
      <c r="AG102" s="147"/>
      <c r="AK102" s="147"/>
      <c r="AO102" s="147"/>
      <c r="AS102" s="147"/>
      <c r="AW102" s="147"/>
      <c r="BA102" s="147"/>
      <c r="BE102" s="147"/>
      <c r="BI102" s="147"/>
      <c r="BM102" s="147"/>
      <c r="BQ102" s="147"/>
      <c r="BU102" s="147"/>
      <c r="BY102" s="147"/>
      <c r="CC102" s="147"/>
      <c r="CG102" s="147"/>
      <c r="CK102" s="147"/>
      <c r="CO102" s="147"/>
      <c r="CS102" s="147"/>
      <c r="CW102" s="147"/>
      <c r="DA102" s="147"/>
      <c r="DE102" s="147"/>
      <c r="DI102" s="147"/>
      <c r="DM102" s="147"/>
      <c r="DQ102" s="147"/>
      <c r="DU102" s="147"/>
      <c r="DY102" s="147"/>
      <c r="EC102" s="147"/>
      <c r="EG102" s="147"/>
      <c r="EK102" s="147"/>
      <c r="EO102" s="147"/>
      <c r="ES102" s="147"/>
      <c r="EW102" s="147"/>
      <c r="FA102" s="147"/>
      <c r="FE102" s="147"/>
      <c r="FI102" s="147"/>
      <c r="FM102" s="147"/>
      <c r="FQ102" s="147"/>
      <c r="FU102" s="147"/>
      <c r="FY102" s="147"/>
      <c r="GC102" s="147"/>
      <c r="GG102" s="147"/>
      <c r="GK102" s="147"/>
      <c r="GO102" s="147"/>
      <c r="GS102" s="147"/>
      <c r="GW102" s="147"/>
      <c r="HA102" s="147"/>
      <c r="HE102" s="147"/>
      <c r="HI102" s="147"/>
      <c r="HM102" s="147"/>
      <c r="HQ102" s="147"/>
      <c r="HU102" s="147"/>
      <c r="HY102" s="147"/>
      <c r="IC102" s="147"/>
      <c r="IG102" s="147"/>
      <c r="IK102" s="147"/>
      <c r="IO102" s="147"/>
      <c r="IS102" s="147"/>
    </row>
    <row r="103" spans="1:253" x14ac:dyDescent="0.2">
      <c r="A103" s="195"/>
      <c r="B103" s="175"/>
      <c r="C103" s="131" t="s">
        <v>365</v>
      </c>
      <c r="D103" s="254" t="s">
        <v>463</v>
      </c>
      <c r="E103" s="136"/>
      <c r="F103" s="133"/>
      <c r="G103" s="178"/>
      <c r="H103" s="133" t="s">
        <v>386</v>
      </c>
      <c r="I103" s="198"/>
      <c r="J103" s="202"/>
      <c r="M103" s="147"/>
      <c r="Q103" s="147"/>
      <c r="U103" s="147"/>
      <c r="Y103" s="147"/>
      <c r="AC103" s="147"/>
      <c r="AG103" s="147"/>
      <c r="AK103" s="147"/>
      <c r="AO103" s="147"/>
      <c r="AS103" s="147"/>
      <c r="AW103" s="147"/>
      <c r="BA103" s="147"/>
      <c r="BE103" s="147"/>
      <c r="BI103" s="147"/>
      <c r="BM103" s="147"/>
      <c r="BQ103" s="147"/>
      <c r="BU103" s="147"/>
      <c r="BY103" s="147"/>
      <c r="CC103" s="147"/>
      <c r="CG103" s="147"/>
      <c r="CK103" s="147"/>
      <c r="CO103" s="147"/>
      <c r="CS103" s="147"/>
      <c r="CW103" s="147"/>
      <c r="DA103" s="147"/>
      <c r="DE103" s="147"/>
      <c r="DI103" s="147"/>
      <c r="DM103" s="147"/>
      <c r="DQ103" s="147"/>
      <c r="DU103" s="147"/>
      <c r="DY103" s="147"/>
      <c r="EC103" s="147"/>
      <c r="EG103" s="147"/>
      <c r="EK103" s="147"/>
      <c r="EO103" s="147"/>
      <c r="ES103" s="147"/>
      <c r="EW103" s="147"/>
      <c r="FA103" s="147"/>
      <c r="FE103" s="147"/>
      <c r="FI103" s="147"/>
      <c r="FM103" s="147"/>
      <c r="FQ103" s="147"/>
      <c r="FU103" s="147"/>
      <c r="FY103" s="147"/>
      <c r="GC103" s="147"/>
      <c r="GG103" s="147"/>
      <c r="GK103" s="147"/>
      <c r="GO103" s="147"/>
      <c r="GS103" s="147"/>
      <c r="GW103" s="147"/>
      <c r="HA103" s="147"/>
      <c r="HE103" s="147"/>
      <c r="HI103" s="147"/>
      <c r="HM103" s="147"/>
      <c r="HQ103" s="147"/>
      <c r="HU103" s="147"/>
      <c r="HY103" s="147"/>
      <c r="IC103" s="147"/>
      <c r="IG103" s="147"/>
      <c r="IK103" s="147"/>
      <c r="IO103" s="147"/>
      <c r="IS103" s="147"/>
    </row>
    <row r="104" spans="1:253" x14ac:dyDescent="0.2">
      <c r="A104" s="195"/>
      <c r="B104" s="175"/>
      <c r="C104" s="131" t="s">
        <v>219</v>
      </c>
      <c r="D104" s="93">
        <f>Qg_ls</f>
        <v>5.4700000000000003E-9</v>
      </c>
      <c r="E104" s="136"/>
      <c r="F104" s="133"/>
      <c r="G104" s="178" t="s">
        <v>220</v>
      </c>
      <c r="H104" s="133" t="s">
        <v>286</v>
      </c>
      <c r="I104" s="198"/>
      <c r="J104" s="202"/>
      <c r="M104" s="147"/>
      <c r="Q104" s="147"/>
      <c r="U104" s="147"/>
      <c r="Y104" s="147"/>
      <c r="AC104" s="147"/>
      <c r="AG104" s="147"/>
      <c r="AK104" s="147"/>
      <c r="AO104" s="147"/>
      <c r="AS104" s="147"/>
      <c r="AW104" s="147"/>
      <c r="BA104" s="147"/>
      <c r="BE104" s="147"/>
      <c r="BI104" s="147"/>
      <c r="BM104" s="147"/>
      <c r="BQ104" s="147"/>
      <c r="BU104" s="147"/>
      <c r="BY104" s="147"/>
      <c r="CC104" s="147"/>
      <c r="CG104" s="147"/>
      <c r="CK104" s="147"/>
      <c r="CO104" s="147"/>
      <c r="CS104" s="147"/>
      <c r="CW104" s="147"/>
      <c r="DA104" s="147"/>
      <c r="DE104" s="147"/>
      <c r="DI104" s="147"/>
      <c r="DM104" s="147"/>
      <c r="DQ104" s="147"/>
      <c r="DU104" s="147"/>
      <c r="DY104" s="147"/>
      <c r="EC104" s="147"/>
      <c r="EG104" s="147"/>
      <c r="EK104" s="147"/>
      <c r="EO104" s="147"/>
      <c r="ES104" s="147"/>
      <c r="EW104" s="147"/>
      <c r="FA104" s="147"/>
      <c r="FE104" s="147"/>
      <c r="FI104" s="147"/>
      <c r="FM104" s="147"/>
      <c r="FQ104" s="147"/>
      <c r="FU104" s="147"/>
      <c r="FY104" s="147"/>
      <c r="GC104" s="147"/>
      <c r="GG104" s="147"/>
      <c r="GK104" s="147"/>
      <c r="GO104" s="147"/>
      <c r="GS104" s="147"/>
      <c r="GW104" s="147"/>
      <c r="HA104" s="147"/>
      <c r="HE104" s="147"/>
      <c r="HI104" s="147"/>
      <c r="HM104" s="147"/>
      <c r="HQ104" s="147"/>
      <c r="HU104" s="147"/>
      <c r="HY104" s="147"/>
      <c r="IC104" s="147"/>
      <c r="IG104" s="147"/>
      <c r="IK104" s="147"/>
      <c r="IO104" s="147"/>
      <c r="IS104" s="147"/>
    </row>
    <row r="105" spans="1:253" x14ac:dyDescent="0.2">
      <c r="A105" s="195"/>
      <c r="B105" s="177"/>
      <c r="C105" s="131" t="s">
        <v>223</v>
      </c>
      <c r="D105" s="83">
        <f>Qg_hs*fsw</f>
        <v>4.1025000000000002E-3</v>
      </c>
      <c r="E105" s="136"/>
      <c r="F105" s="133"/>
      <c r="G105" s="178" t="s">
        <v>2</v>
      </c>
      <c r="H105" s="133" t="s">
        <v>443</v>
      </c>
      <c r="I105" s="198"/>
      <c r="J105" s="202"/>
      <c r="M105" s="147"/>
      <c r="Q105" s="147"/>
      <c r="U105" s="147"/>
      <c r="Y105" s="147"/>
      <c r="AC105" s="147"/>
      <c r="AG105" s="147"/>
      <c r="AK105" s="147"/>
      <c r="AO105" s="147"/>
      <c r="AS105" s="147"/>
      <c r="AW105" s="147"/>
      <c r="BA105" s="147"/>
      <c r="BE105" s="147"/>
      <c r="BI105" s="147"/>
      <c r="BM105" s="147"/>
      <c r="BQ105" s="147"/>
      <c r="BU105" s="147"/>
      <c r="BY105" s="147"/>
      <c r="CC105" s="147"/>
      <c r="CG105" s="147"/>
      <c r="CK105" s="147"/>
      <c r="CO105" s="147"/>
      <c r="CS105" s="147"/>
      <c r="CW105" s="147"/>
      <c r="DA105" s="147"/>
      <c r="DE105" s="147"/>
      <c r="DI105" s="147"/>
      <c r="DM105" s="147"/>
      <c r="DQ105" s="147"/>
      <c r="DU105" s="147"/>
      <c r="DY105" s="147"/>
      <c r="EC105" s="147"/>
      <c r="EG105" s="147"/>
      <c r="EK105" s="147"/>
      <c r="EO105" s="147"/>
      <c r="ES105" s="147"/>
      <c r="EW105" s="147"/>
      <c r="FA105" s="147"/>
      <c r="FE105" s="147"/>
      <c r="FI105" s="147"/>
      <c r="FM105" s="147"/>
      <c r="FQ105" s="147"/>
      <c r="FU105" s="147"/>
      <c r="FY105" s="147"/>
      <c r="GC105" s="147"/>
      <c r="GG105" s="147"/>
      <c r="GK105" s="147"/>
      <c r="GO105" s="147"/>
      <c r="GS105" s="147"/>
      <c r="GW105" s="147"/>
      <c r="HA105" s="147"/>
      <c r="HE105" s="147"/>
      <c r="HI105" s="147"/>
      <c r="HM105" s="147"/>
      <c r="HQ105" s="147"/>
      <c r="HU105" s="147"/>
      <c r="HY105" s="147"/>
      <c r="IC105" s="147"/>
      <c r="IG105" s="147"/>
      <c r="IK105" s="147"/>
      <c r="IO105" s="147"/>
      <c r="IS105" s="147"/>
    </row>
    <row r="106" spans="1:253" x14ac:dyDescent="0.2">
      <c r="A106" s="195"/>
      <c r="B106" s="177">
        <v>30</v>
      </c>
      <c r="C106" s="131" t="s">
        <v>304</v>
      </c>
      <c r="D106" s="81">
        <f>Qg_hs/(0.25)</f>
        <v>2.1880000000000001E-8</v>
      </c>
      <c r="E106" s="97">
        <f>IF(D106*10^12&lt;10000,IF((10^(LOG(D106*10^12)-INT(LOG(D106*10^12))))-VLOOKUP((10^(LOG(D106*10^12)-INT(LOG(D106*10^12)))),c_s1:C_f1,1)&lt;VLOOKUP((10^(LOG(D106*10^12)-INT(LOG(D106*10^12)))),c_s1:C_f1,2)-(10^(LOG(D106*10^12)-INT(LOG(D106*10^12)))),VLOOKUP((10^(LOG(D106*10^12)-INT(LOG(D106*10^12)))),c_s1:C_f1,1),VLOOKUP((10^(LOG(D106*10^12)-INT(LOG(D106*10^12)))),c_s1:C_f1,2))*10^INT(LOG(D106*10^12)),IF((10^(LOG(D106*10^12)-INT(LOG(D106*10^12))))-VLOOKUP((10^(LOG(D106*10^12)-INT(LOG(D106*10^12)))),C_s2:C_f2,1)&lt;VLOOKUP((10^(LOG(D106*10^12)-INT(LOG(D106*10^12)))),C_s2:C_f2,2)-(10^(LOG(D106*10^12)-INT(LOG(D106*10^12)))),VLOOKUP((10^(LOG(D106*10^12)-INT(LOG(D106*10^12)))),C_s2:C_f2,1),VLOOKUP((10^(LOG(D106*10^12)-INT(LOG(D106*10^12)))),C_s2:C_f2,2))*10^INT(LOG(D106*10^12)))*10^-12</f>
        <v>2.1999999999999998E-8</v>
      </c>
      <c r="F106" s="133"/>
      <c r="G106" s="178" t="s">
        <v>7</v>
      </c>
      <c r="H106" s="133" t="s">
        <v>305</v>
      </c>
      <c r="I106" s="198"/>
      <c r="J106" s="202"/>
    </row>
    <row r="107" spans="1:253" x14ac:dyDescent="0.2">
      <c r="A107" s="195"/>
      <c r="B107" s="177"/>
      <c r="C107" s="131" t="s">
        <v>304</v>
      </c>
      <c r="D107" s="100">
        <v>9.9999999999999995E-8</v>
      </c>
      <c r="E107" s="133"/>
      <c r="F107" s="133"/>
      <c r="G107" s="178" t="s">
        <v>7</v>
      </c>
      <c r="H107" s="133" t="s">
        <v>357</v>
      </c>
      <c r="I107" s="198"/>
      <c r="J107" s="202"/>
    </row>
    <row r="108" spans="1:253" x14ac:dyDescent="0.2">
      <c r="A108" s="195"/>
      <c r="B108" s="177"/>
      <c r="C108" s="131" t="s">
        <v>213</v>
      </c>
      <c r="D108" s="100">
        <f>Rdson_ls</f>
        <v>8.3999999999999995E-3</v>
      </c>
      <c r="E108" s="136"/>
      <c r="F108" s="133"/>
      <c r="G108" s="178" t="s">
        <v>29</v>
      </c>
      <c r="H108" s="133" t="s">
        <v>287</v>
      </c>
      <c r="I108" s="198"/>
      <c r="J108" s="202"/>
      <c r="M108" s="147"/>
      <c r="Q108" s="147"/>
      <c r="U108" s="147"/>
      <c r="Y108" s="147"/>
      <c r="AC108" s="147"/>
      <c r="AG108" s="147"/>
      <c r="AK108" s="147"/>
      <c r="AO108" s="147"/>
      <c r="AS108" s="147"/>
      <c r="AW108" s="147"/>
      <c r="BA108" s="147"/>
      <c r="BE108" s="147"/>
      <c r="BI108" s="147"/>
      <c r="BM108" s="147"/>
      <c r="BQ108" s="147"/>
      <c r="BU108" s="147"/>
      <c r="BY108" s="147"/>
      <c r="CC108" s="147"/>
      <c r="CG108" s="147"/>
      <c r="CK108" s="147"/>
      <c r="CO108" s="147"/>
      <c r="CS108" s="147"/>
      <c r="CW108" s="147"/>
      <c r="DA108" s="147"/>
      <c r="DE108" s="147"/>
      <c r="DI108" s="147"/>
      <c r="DM108" s="147"/>
      <c r="DQ108" s="147"/>
      <c r="DU108" s="147"/>
      <c r="DY108" s="147"/>
      <c r="EC108" s="147"/>
      <c r="EG108" s="147"/>
      <c r="EK108" s="147"/>
      <c r="EO108" s="147"/>
      <c r="ES108" s="147"/>
      <c r="EW108" s="147"/>
      <c r="FA108" s="147"/>
      <c r="FE108" s="147"/>
      <c r="FI108" s="147"/>
      <c r="FM108" s="147"/>
      <c r="FQ108" s="147"/>
      <c r="FU108" s="147"/>
      <c r="FY108" s="147"/>
      <c r="GC108" s="147"/>
      <c r="GG108" s="147"/>
      <c r="GK108" s="147"/>
      <c r="GO108" s="147"/>
      <c r="GS108" s="147"/>
      <c r="GW108" s="147"/>
      <c r="HA108" s="147"/>
      <c r="HE108" s="147"/>
      <c r="HI108" s="147"/>
      <c r="HM108" s="147"/>
      <c r="HQ108" s="147"/>
      <c r="HU108" s="147"/>
      <c r="HY108" s="147"/>
      <c r="IC108" s="147"/>
      <c r="IG108" s="147"/>
      <c r="IK108" s="147"/>
      <c r="IO108" s="147"/>
      <c r="IS108" s="147"/>
    </row>
    <row r="109" spans="1:253" x14ac:dyDescent="0.2">
      <c r="A109" s="195"/>
      <c r="B109" s="177">
        <v>28</v>
      </c>
      <c r="C109" s="131" t="s">
        <v>216</v>
      </c>
      <c r="D109" s="83">
        <f>(1-Dmax)*Ilrms^2*(Rdson_hs)</f>
        <v>0.12321933732299824</v>
      </c>
      <c r="E109" s="135"/>
      <c r="F109" s="133"/>
      <c r="G109" s="178" t="s">
        <v>12</v>
      </c>
      <c r="H109" s="133" t="s">
        <v>360</v>
      </c>
      <c r="I109" s="198"/>
      <c r="J109" s="202"/>
    </row>
    <row r="110" spans="1:253" x14ac:dyDescent="0.2">
      <c r="A110" s="195"/>
      <c r="B110" s="177"/>
      <c r="C110" s="131" t="s">
        <v>225</v>
      </c>
      <c r="D110" s="85">
        <f>Rg_ls</f>
        <v>2.2000000000000002</v>
      </c>
      <c r="E110" s="136"/>
      <c r="F110" s="133"/>
      <c r="G110" s="178" t="s">
        <v>29</v>
      </c>
      <c r="H110" s="133" t="s">
        <v>288</v>
      </c>
      <c r="I110" s="198"/>
      <c r="J110" s="202"/>
      <c r="M110" s="147"/>
      <c r="Q110" s="147"/>
      <c r="U110" s="147"/>
      <c r="Y110" s="147"/>
      <c r="AC110" s="147"/>
      <c r="AG110" s="147"/>
      <c r="AK110" s="147"/>
      <c r="AO110" s="147"/>
      <c r="AS110" s="147"/>
      <c r="AW110" s="147"/>
      <c r="BA110" s="147"/>
      <c r="BE110" s="147"/>
      <c r="BI110" s="147"/>
      <c r="BM110" s="147"/>
      <c r="BQ110" s="147"/>
      <c r="BU110" s="147"/>
      <c r="BY110" s="147"/>
      <c r="CC110" s="147"/>
      <c r="CG110" s="147"/>
      <c r="CK110" s="147"/>
      <c r="CO110" s="147"/>
      <c r="CS110" s="147"/>
      <c r="CW110" s="147"/>
      <c r="DA110" s="147"/>
      <c r="DE110" s="147"/>
      <c r="DI110" s="147"/>
      <c r="DM110" s="147"/>
      <c r="DQ110" s="147"/>
      <c r="DU110" s="147"/>
      <c r="DY110" s="147"/>
      <c r="EC110" s="147"/>
      <c r="EG110" s="147"/>
      <c r="EK110" s="147"/>
      <c r="EO110" s="147"/>
      <c r="ES110" s="147"/>
      <c r="EW110" s="147"/>
      <c r="FA110" s="147"/>
      <c r="FE110" s="147"/>
      <c r="FI110" s="147"/>
      <c r="FM110" s="147"/>
      <c r="FQ110" s="147"/>
      <c r="FU110" s="147"/>
      <c r="FY110" s="147"/>
      <c r="GC110" s="147"/>
      <c r="GG110" s="147"/>
      <c r="GK110" s="147"/>
      <c r="GO110" s="147"/>
      <c r="GS110" s="147"/>
      <c r="GW110" s="147"/>
      <c r="HA110" s="147"/>
      <c r="HE110" s="147"/>
      <c r="HI110" s="147"/>
      <c r="HM110" s="147"/>
      <c r="HQ110" s="147"/>
      <c r="HU110" s="147"/>
      <c r="HY110" s="147"/>
      <c r="IC110" s="147"/>
      <c r="IG110" s="147"/>
      <c r="IK110" s="147"/>
      <c r="IO110" s="147"/>
      <c r="IS110" s="147"/>
    </row>
    <row r="111" spans="1:253" x14ac:dyDescent="0.2">
      <c r="A111" s="195"/>
      <c r="B111" s="177"/>
      <c r="C111" s="131" t="s">
        <v>230</v>
      </c>
      <c r="D111" s="101">
        <v>1.3</v>
      </c>
      <c r="E111" s="136"/>
      <c r="F111" s="133"/>
      <c r="G111" s="178" t="s">
        <v>3</v>
      </c>
      <c r="H111" s="133" t="s">
        <v>235</v>
      </c>
      <c r="I111" s="198"/>
      <c r="J111" s="202"/>
      <c r="M111" s="147"/>
      <c r="Q111" s="147"/>
      <c r="U111" s="147"/>
      <c r="Y111" s="147"/>
      <c r="AC111" s="147"/>
      <c r="AG111" s="147"/>
      <c r="AK111" s="147"/>
      <c r="AO111" s="147"/>
      <c r="AS111" s="147"/>
      <c r="AW111" s="147"/>
      <c r="BA111" s="147"/>
      <c r="BE111" s="147"/>
      <c r="BI111" s="147"/>
      <c r="BM111" s="147"/>
      <c r="BQ111" s="147"/>
      <c r="BU111" s="147"/>
      <c r="BY111" s="147"/>
      <c r="CC111" s="147"/>
      <c r="CG111" s="147"/>
      <c r="CK111" s="147"/>
      <c r="CO111" s="147"/>
      <c r="CS111" s="147"/>
      <c r="CW111" s="147"/>
      <c r="DA111" s="147"/>
      <c r="DE111" s="147"/>
      <c r="DI111" s="147"/>
      <c r="DM111" s="147"/>
      <c r="DQ111" s="147"/>
      <c r="DU111" s="147"/>
      <c r="DY111" s="147"/>
      <c r="EC111" s="147"/>
      <c r="EG111" s="147"/>
      <c r="EK111" s="147"/>
      <c r="EO111" s="147"/>
      <c r="ES111" s="147"/>
      <c r="EW111" s="147"/>
      <c r="FA111" s="147"/>
      <c r="FE111" s="147"/>
      <c r="FI111" s="147"/>
      <c r="FM111" s="147"/>
      <c r="FQ111" s="147"/>
      <c r="FU111" s="147"/>
      <c r="FY111" s="147"/>
      <c r="GC111" s="147"/>
      <c r="GG111" s="147"/>
      <c r="GK111" s="147"/>
      <c r="GO111" s="147"/>
      <c r="GS111" s="147"/>
      <c r="GW111" s="147"/>
      <c r="HA111" s="147"/>
      <c r="HE111" s="147"/>
      <c r="HI111" s="147"/>
      <c r="HM111" s="147"/>
      <c r="HQ111" s="147"/>
      <c r="HU111" s="147"/>
      <c r="HY111" s="147"/>
      <c r="IC111" s="147"/>
      <c r="IG111" s="147"/>
      <c r="IK111" s="147"/>
      <c r="IO111" s="147"/>
      <c r="IS111" s="147"/>
    </row>
    <row r="112" spans="1:253" x14ac:dyDescent="0.2">
      <c r="A112" s="195"/>
      <c r="B112" s="177">
        <v>29</v>
      </c>
      <c r="C112" s="131" t="s">
        <v>231</v>
      </c>
      <c r="D112" s="83">
        <f>2*vf_body*Ilrms*tnonoverlap*fsw</f>
        <v>1.0140795749844433</v>
      </c>
      <c r="E112" s="136"/>
      <c r="F112" s="133"/>
      <c r="G112" s="178" t="s">
        <v>12</v>
      </c>
      <c r="H112" s="133" t="s">
        <v>361</v>
      </c>
      <c r="I112" s="198"/>
      <c r="J112" s="202"/>
      <c r="M112" s="147"/>
      <c r="Q112" s="147"/>
      <c r="U112" s="147"/>
      <c r="Y112" s="147"/>
      <c r="AC112" s="147"/>
      <c r="AG112" s="147"/>
      <c r="AK112" s="147"/>
      <c r="AO112" s="147"/>
      <c r="AS112" s="147"/>
      <c r="AW112" s="147"/>
      <c r="BA112" s="147"/>
      <c r="BE112" s="147"/>
      <c r="BI112" s="147"/>
      <c r="BM112" s="147"/>
      <c r="BQ112" s="147"/>
      <c r="BU112" s="147"/>
      <c r="BY112" s="147"/>
      <c r="CC112" s="147"/>
      <c r="CG112" s="147"/>
      <c r="CK112" s="147"/>
      <c r="CO112" s="147"/>
      <c r="CS112" s="147"/>
      <c r="CW112" s="147"/>
      <c r="DA112" s="147"/>
      <c r="DE112" s="147"/>
      <c r="DI112" s="147"/>
      <c r="DM112" s="147"/>
      <c r="DQ112" s="147"/>
      <c r="DU112" s="147"/>
      <c r="DY112" s="147"/>
      <c r="EC112" s="147"/>
      <c r="EG112" s="147"/>
      <c r="EK112" s="147"/>
      <c r="EO112" s="147"/>
      <c r="ES112" s="147"/>
      <c r="EW112" s="147"/>
      <c r="FA112" s="147"/>
      <c r="FE112" s="147"/>
      <c r="FI112" s="147"/>
      <c r="FM112" s="147"/>
      <c r="FQ112" s="147"/>
      <c r="FU112" s="147"/>
      <c r="FY112" s="147"/>
      <c r="GC112" s="147"/>
      <c r="GG112" s="147"/>
      <c r="GK112" s="147"/>
      <c r="GO112" s="147"/>
      <c r="GS112" s="147"/>
      <c r="GW112" s="147"/>
      <c r="HA112" s="147"/>
      <c r="HE112" s="147"/>
      <c r="HI112" s="147"/>
      <c r="HM112" s="147"/>
      <c r="HQ112" s="147"/>
      <c r="HU112" s="147"/>
      <c r="HY112" s="147"/>
      <c r="IC112" s="147"/>
      <c r="IG112" s="147"/>
      <c r="IK112" s="147"/>
      <c r="IO112" s="147"/>
      <c r="IS112" s="147"/>
    </row>
    <row r="113" spans="1:254" x14ac:dyDescent="0.2">
      <c r="A113" s="195"/>
      <c r="B113" s="177"/>
      <c r="C113" s="131" t="s">
        <v>336</v>
      </c>
      <c r="D113" s="83">
        <f>D109+D112</f>
        <v>1.1372989123074415</v>
      </c>
      <c r="E113" s="135"/>
      <c r="F113" s="133"/>
      <c r="G113" s="178" t="s">
        <v>12</v>
      </c>
      <c r="H113" s="133" t="s">
        <v>362</v>
      </c>
      <c r="I113" s="198"/>
      <c r="J113" s="202"/>
    </row>
    <row r="114" spans="1:254" x14ac:dyDescent="0.2">
      <c r="A114" s="195"/>
      <c r="B114" s="156"/>
      <c r="C114" s="141"/>
      <c r="D114" s="162"/>
      <c r="E114" s="162"/>
      <c r="F114" s="141"/>
      <c r="G114" s="145"/>
      <c r="H114" s="141"/>
      <c r="I114" s="198"/>
      <c r="J114" s="202"/>
    </row>
    <row r="115" spans="1:254" x14ac:dyDescent="0.2">
      <c r="A115" s="195"/>
      <c r="B115" s="257" t="s">
        <v>409</v>
      </c>
      <c r="C115" s="257"/>
      <c r="D115" s="167"/>
      <c r="E115" s="167"/>
      <c r="F115" s="159"/>
      <c r="G115" s="164"/>
      <c r="H115" s="159"/>
      <c r="I115" s="198"/>
      <c r="J115" s="202"/>
      <c r="M115" s="147"/>
      <c r="Q115" s="147"/>
      <c r="U115" s="147"/>
      <c r="Y115" s="147"/>
      <c r="AC115" s="147"/>
      <c r="AG115" s="147"/>
      <c r="AK115" s="147"/>
      <c r="AO115" s="147"/>
      <c r="AS115" s="147"/>
      <c r="AW115" s="147"/>
      <c r="BA115" s="147"/>
      <c r="BE115" s="147"/>
      <c r="BI115" s="147"/>
      <c r="BM115" s="147"/>
      <c r="BQ115" s="147"/>
      <c r="BU115" s="147"/>
      <c r="BY115" s="147"/>
      <c r="CC115" s="147"/>
      <c r="CG115" s="147"/>
      <c r="CK115" s="147"/>
      <c r="CO115" s="147"/>
      <c r="CS115" s="147"/>
      <c r="CW115" s="147"/>
      <c r="DA115" s="147"/>
      <c r="DE115" s="147"/>
      <c r="DI115" s="147"/>
      <c r="DM115" s="147"/>
      <c r="DQ115" s="147"/>
      <c r="DU115" s="147"/>
      <c r="DY115" s="147"/>
      <c r="EC115" s="147"/>
      <c r="EG115" s="147"/>
      <c r="EK115" s="147"/>
      <c r="EO115" s="147"/>
      <c r="ES115" s="147"/>
      <c r="EW115" s="147"/>
      <c r="FA115" s="147"/>
      <c r="FE115" s="147"/>
      <c r="FI115" s="147"/>
      <c r="FM115" s="147"/>
      <c r="FQ115" s="147"/>
      <c r="FU115" s="147"/>
      <c r="FY115" s="147"/>
      <c r="GC115" s="147"/>
      <c r="GG115" s="147"/>
      <c r="GK115" s="147"/>
      <c r="GO115" s="147"/>
      <c r="GS115" s="147"/>
      <c r="GW115" s="147"/>
      <c r="HA115" s="147"/>
      <c r="HE115" s="147"/>
      <c r="HI115" s="147"/>
      <c r="HM115" s="147"/>
      <c r="HQ115" s="147"/>
      <c r="HU115" s="147"/>
      <c r="HY115" s="147"/>
      <c r="IC115" s="147"/>
      <c r="IG115" s="147"/>
      <c r="IK115" s="147"/>
      <c r="IO115" s="147"/>
      <c r="IS115" s="147"/>
    </row>
    <row r="116" spans="1:254" x14ac:dyDescent="0.2">
      <c r="A116" s="195"/>
      <c r="B116" s="177">
        <v>25</v>
      </c>
      <c r="C116" s="131" t="s">
        <v>223</v>
      </c>
      <c r="D116" s="83">
        <f>Idrive_ls+Idrive_hs</f>
        <v>8.2050000000000005E-3</v>
      </c>
      <c r="E116" s="136"/>
      <c r="F116" s="133"/>
      <c r="G116" s="178" t="s">
        <v>2</v>
      </c>
      <c r="H116" s="133" t="s">
        <v>387</v>
      </c>
      <c r="I116" s="198"/>
      <c r="J116" s="202"/>
      <c r="M116" s="147"/>
      <c r="Q116" s="147"/>
      <c r="U116" s="147"/>
      <c r="Y116" s="147"/>
      <c r="AC116" s="147"/>
      <c r="AG116" s="147"/>
      <c r="AK116" s="147"/>
      <c r="AO116" s="147"/>
      <c r="AS116" s="147"/>
      <c r="AW116" s="147"/>
      <c r="BA116" s="147"/>
      <c r="BE116" s="147"/>
      <c r="BI116" s="147"/>
      <c r="BM116" s="147"/>
      <c r="BQ116" s="147"/>
      <c r="BU116" s="147"/>
      <c r="BY116" s="147"/>
      <c r="CC116" s="147"/>
      <c r="CG116" s="147"/>
      <c r="CK116" s="147"/>
      <c r="CO116" s="147"/>
      <c r="CS116" s="147"/>
      <c r="CW116" s="147"/>
      <c r="DA116" s="147"/>
      <c r="DE116" s="147"/>
      <c r="DI116" s="147"/>
      <c r="DM116" s="147"/>
      <c r="DQ116" s="147"/>
      <c r="DU116" s="147"/>
      <c r="DY116" s="147"/>
      <c r="EC116" s="147"/>
      <c r="EG116" s="147"/>
      <c r="EK116" s="147"/>
      <c r="EO116" s="147"/>
      <c r="ES116" s="147"/>
      <c r="EW116" s="147"/>
      <c r="FA116" s="147"/>
      <c r="FE116" s="147"/>
      <c r="FI116" s="147"/>
      <c r="FM116" s="147"/>
      <c r="FQ116" s="147"/>
      <c r="FU116" s="147"/>
      <c r="FY116" s="147"/>
      <c r="GC116" s="147"/>
      <c r="GG116" s="147"/>
      <c r="GK116" s="147"/>
      <c r="GO116" s="147"/>
      <c r="GS116" s="147"/>
      <c r="GW116" s="147"/>
      <c r="HA116" s="147"/>
      <c r="HE116" s="147"/>
      <c r="HI116" s="147"/>
      <c r="HM116" s="147"/>
      <c r="HQ116" s="147"/>
      <c r="HU116" s="147"/>
      <c r="HY116" s="147"/>
      <c r="IC116" s="147"/>
      <c r="IG116" s="147"/>
      <c r="IK116" s="147"/>
      <c r="IO116" s="147"/>
      <c r="IS116" s="147"/>
    </row>
    <row r="117" spans="1:254" x14ac:dyDescent="0.2">
      <c r="A117" s="195"/>
      <c r="B117" s="177"/>
      <c r="C117" s="131" t="s">
        <v>379</v>
      </c>
      <c r="D117" s="100">
        <v>5.5999999999999997E-6</v>
      </c>
      <c r="E117" s="136"/>
      <c r="F117" s="133"/>
      <c r="G117" s="178" t="s">
        <v>7</v>
      </c>
      <c r="H117" s="133" t="s">
        <v>444</v>
      </c>
      <c r="I117" s="198"/>
      <c r="J117" s="202"/>
      <c r="M117" s="147"/>
      <c r="Q117" s="147"/>
      <c r="U117" s="147"/>
      <c r="Y117" s="147"/>
      <c r="AC117" s="147"/>
      <c r="AG117" s="147"/>
      <c r="AK117" s="147"/>
      <c r="AO117" s="147"/>
      <c r="AS117" s="147"/>
      <c r="AW117" s="147"/>
      <c r="BA117" s="147"/>
      <c r="BE117" s="147"/>
      <c r="BI117" s="147"/>
      <c r="BM117" s="147"/>
      <c r="BQ117" s="147"/>
      <c r="BU117" s="147"/>
      <c r="BY117" s="147"/>
      <c r="CC117" s="147"/>
      <c r="CG117" s="147"/>
      <c r="CK117" s="147"/>
      <c r="CO117" s="147"/>
      <c r="CS117" s="147"/>
      <c r="CW117" s="147"/>
      <c r="DA117" s="147"/>
      <c r="DE117" s="147"/>
      <c r="DI117" s="147"/>
      <c r="DM117" s="147"/>
      <c r="DQ117" s="147"/>
      <c r="DU117" s="147"/>
      <c r="DY117" s="147"/>
      <c r="EC117" s="147"/>
      <c r="EG117" s="147"/>
      <c r="EK117" s="147"/>
      <c r="EO117" s="147"/>
      <c r="ES117" s="147"/>
      <c r="EW117" s="147"/>
      <c r="FA117" s="147"/>
      <c r="FE117" s="147"/>
      <c r="FI117" s="147"/>
      <c r="FM117" s="147"/>
      <c r="FQ117" s="147"/>
      <c r="FU117" s="147"/>
      <c r="FY117" s="147"/>
      <c r="GC117" s="147"/>
      <c r="GG117" s="147"/>
      <c r="GK117" s="147"/>
      <c r="GO117" s="147"/>
      <c r="GS117" s="147"/>
      <c r="GW117" s="147"/>
      <c r="HA117" s="147"/>
      <c r="HE117" s="147"/>
      <c r="HI117" s="147"/>
      <c r="HM117" s="147"/>
      <c r="HQ117" s="147"/>
      <c r="HU117" s="147"/>
      <c r="HY117" s="147"/>
      <c r="IC117" s="147"/>
      <c r="IG117" s="147"/>
      <c r="IK117" s="147"/>
      <c r="IO117" s="147"/>
      <c r="IS117" s="147"/>
    </row>
    <row r="118" spans="1:254" x14ac:dyDescent="0.2">
      <c r="A118" s="195"/>
      <c r="B118" s="175"/>
      <c r="C118" s="131" t="s">
        <v>366</v>
      </c>
      <c r="D118" s="121" t="str">
        <f>IF(Vfboot_int=0.75,"n/a","MBR1H100SFT3G")</f>
        <v>n/a</v>
      </c>
      <c r="E118" s="136"/>
      <c r="F118" s="133"/>
      <c r="G118" s="178"/>
      <c r="H118" s="133" t="s">
        <v>388</v>
      </c>
      <c r="I118" s="198"/>
      <c r="J118" s="202"/>
      <c r="M118" s="147"/>
      <c r="Q118" s="147"/>
      <c r="U118" s="147"/>
      <c r="Y118" s="147"/>
      <c r="AC118" s="147"/>
      <c r="AG118" s="147"/>
      <c r="AK118" s="147"/>
      <c r="AO118" s="147"/>
      <c r="AS118" s="147"/>
      <c r="AW118" s="147"/>
      <c r="BA118" s="147"/>
      <c r="BE118" s="147"/>
      <c r="BI118" s="147"/>
      <c r="BM118" s="147"/>
      <c r="BQ118" s="147"/>
      <c r="BU118" s="147"/>
      <c r="BY118" s="147"/>
      <c r="CC118" s="147"/>
      <c r="CG118" s="147"/>
      <c r="CK118" s="147"/>
      <c r="CO118" s="147"/>
      <c r="CS118" s="147"/>
      <c r="CW118" s="147"/>
      <c r="DA118" s="147"/>
      <c r="DE118" s="147"/>
      <c r="DI118" s="147"/>
      <c r="DM118" s="147"/>
      <c r="DQ118" s="147"/>
      <c r="DU118" s="147"/>
      <c r="DY118" s="147"/>
      <c r="EC118" s="147"/>
      <c r="EG118" s="147"/>
      <c r="EK118" s="147"/>
      <c r="EO118" s="147"/>
      <c r="ES118" s="147"/>
      <c r="EW118" s="147"/>
      <c r="FA118" s="147"/>
      <c r="FE118" s="147"/>
      <c r="FI118" s="147"/>
      <c r="FM118" s="147"/>
      <c r="FQ118" s="147"/>
      <c r="FU118" s="147"/>
      <c r="FY118" s="147"/>
      <c r="GC118" s="147"/>
      <c r="GG118" s="147"/>
      <c r="GK118" s="147"/>
      <c r="GO118" s="147"/>
      <c r="GS118" s="147"/>
      <c r="GW118" s="147"/>
      <c r="HA118" s="147"/>
      <c r="HE118" s="147"/>
      <c r="HI118" s="147"/>
      <c r="HM118" s="147"/>
      <c r="HQ118" s="147"/>
      <c r="HU118" s="147"/>
      <c r="HY118" s="147"/>
      <c r="IC118" s="147"/>
      <c r="IG118" s="147"/>
      <c r="IK118" s="147"/>
      <c r="IO118" s="147"/>
      <c r="IS118" s="147"/>
    </row>
    <row r="119" spans="1:254" x14ac:dyDescent="0.2">
      <c r="A119" s="195"/>
      <c r="B119" s="175"/>
      <c r="C119" s="131" t="s">
        <v>224</v>
      </c>
      <c r="D119" s="101">
        <f>IF(Vfboot_int=0.75,0.75,0.7)</f>
        <v>0.75</v>
      </c>
      <c r="E119" s="136"/>
      <c r="F119" s="133"/>
      <c r="G119" s="178" t="s">
        <v>3</v>
      </c>
      <c r="H119" s="133" t="s">
        <v>226</v>
      </c>
      <c r="I119" s="198"/>
      <c r="J119" s="202"/>
      <c r="M119" s="147"/>
      <c r="Q119" s="147"/>
      <c r="U119" s="147"/>
      <c r="Y119" s="147"/>
      <c r="AC119" s="147"/>
      <c r="AG119" s="147"/>
      <c r="AK119" s="147"/>
      <c r="AO119" s="147"/>
      <c r="AS119" s="147"/>
      <c r="AW119" s="147"/>
      <c r="BA119" s="147"/>
      <c r="BE119" s="147"/>
      <c r="BI119" s="147"/>
      <c r="BM119" s="147"/>
      <c r="BQ119" s="147"/>
      <c r="BU119" s="147"/>
      <c r="BY119" s="147"/>
      <c r="CC119" s="147"/>
      <c r="CG119" s="147"/>
      <c r="CK119" s="147"/>
      <c r="CO119" s="147"/>
      <c r="CS119" s="147"/>
      <c r="CW119" s="147"/>
      <c r="DA119" s="147"/>
      <c r="DE119" s="147"/>
      <c r="DI119" s="147"/>
      <c r="DM119" s="147"/>
      <c r="DQ119" s="147"/>
      <c r="DU119" s="147"/>
      <c r="DY119" s="147"/>
      <c r="EC119" s="147"/>
      <c r="EG119" s="147"/>
      <c r="EK119" s="147"/>
      <c r="EO119" s="147"/>
      <c r="ES119" s="147"/>
      <c r="EW119" s="147"/>
      <c r="FA119" s="147"/>
      <c r="FE119" s="147"/>
      <c r="FI119" s="147"/>
      <c r="FM119" s="147"/>
      <c r="FQ119" s="147"/>
      <c r="FU119" s="147"/>
      <c r="FY119" s="147"/>
      <c r="GC119" s="147"/>
      <c r="GG119" s="147"/>
      <c r="GK119" s="147"/>
      <c r="GO119" s="147"/>
      <c r="GS119" s="147"/>
      <c r="GW119" s="147"/>
      <c r="HA119" s="147"/>
      <c r="HE119" s="147"/>
      <c r="HI119" s="147"/>
      <c r="HM119" s="147"/>
      <c r="HQ119" s="147"/>
      <c r="HU119" s="147"/>
      <c r="HY119" s="147"/>
      <c r="IC119" s="147"/>
      <c r="IG119" s="147"/>
      <c r="IK119" s="147"/>
      <c r="IO119" s="147"/>
      <c r="IS119" s="147"/>
    </row>
    <row r="120" spans="1:254" ht="12.75" hidden="1" customHeight="1" x14ac:dyDescent="0.2">
      <c r="A120" s="195"/>
      <c r="B120" s="175"/>
      <c r="C120" s="131" t="s">
        <v>242</v>
      </c>
      <c r="D120" s="82">
        <f>Idrive_ls*Vcc_typ+Idrive_hs*(Vcc_typ-Vfboot)</f>
        <v>4.2050625000000001E-2</v>
      </c>
      <c r="E120" s="136"/>
      <c r="F120" s="133"/>
      <c r="G120" s="178" t="s">
        <v>12</v>
      </c>
      <c r="H120" s="133" t="s">
        <v>316</v>
      </c>
      <c r="I120" s="198"/>
      <c r="J120" s="202"/>
      <c r="M120" s="147"/>
      <c r="Q120" s="147"/>
      <c r="U120" s="147"/>
      <c r="Y120" s="147"/>
      <c r="AC120" s="147"/>
      <c r="AG120" s="147"/>
      <c r="AK120" s="147"/>
      <c r="AO120" s="147"/>
      <c r="AS120" s="147"/>
      <c r="AW120" s="147"/>
      <c r="BA120" s="147"/>
      <c r="BE120" s="147"/>
      <c r="BI120" s="147"/>
      <c r="BM120" s="147"/>
      <c r="BQ120" s="147"/>
      <c r="BU120" s="147"/>
      <c r="BY120" s="147"/>
      <c r="CC120" s="147"/>
      <c r="CG120" s="147"/>
      <c r="CK120" s="147"/>
      <c r="CO120" s="147"/>
      <c r="CS120" s="147"/>
      <c r="CW120" s="147"/>
      <c r="DA120" s="147"/>
      <c r="DE120" s="147"/>
      <c r="DI120" s="147"/>
      <c r="DM120" s="147"/>
      <c r="DQ120" s="147"/>
      <c r="DU120" s="147"/>
      <c r="DY120" s="147"/>
      <c r="EC120" s="147"/>
      <c r="EG120" s="147"/>
      <c r="EK120" s="147"/>
      <c r="EO120" s="147"/>
      <c r="ES120" s="147"/>
      <c r="EW120" s="147"/>
      <c r="FA120" s="147"/>
      <c r="FE120" s="147"/>
      <c r="FI120" s="147"/>
      <c r="FM120" s="147"/>
      <c r="FQ120" s="147"/>
      <c r="FU120" s="147"/>
      <c r="FY120" s="147"/>
      <c r="GC120" s="147"/>
      <c r="GG120" s="147"/>
      <c r="GK120" s="147"/>
      <c r="GO120" s="147"/>
      <c r="GS120" s="147"/>
      <c r="GW120" s="147"/>
      <c r="HA120" s="147"/>
      <c r="HE120" s="147"/>
      <c r="HI120" s="147"/>
      <c r="HM120" s="147"/>
      <c r="HQ120" s="147"/>
      <c r="HU120" s="147"/>
      <c r="HY120" s="147"/>
      <c r="IC120" s="147"/>
      <c r="IG120" s="147"/>
      <c r="IK120" s="147"/>
      <c r="IO120" s="147"/>
      <c r="IS120" s="147"/>
    </row>
    <row r="121" spans="1:254" ht="12.75" hidden="1" customHeight="1" x14ac:dyDescent="0.2">
      <c r="A121" s="195"/>
      <c r="B121" s="175"/>
      <c r="C121" s="131" t="s">
        <v>222</v>
      </c>
      <c r="D121" s="85">
        <v>0</v>
      </c>
      <c r="E121" s="136"/>
      <c r="F121" s="133"/>
      <c r="G121" s="178" t="s">
        <v>29</v>
      </c>
      <c r="H121" s="133" t="s">
        <v>292</v>
      </c>
      <c r="I121" s="198"/>
      <c r="J121" s="202"/>
      <c r="M121" s="147"/>
      <c r="Q121" s="147"/>
      <c r="U121" s="147"/>
      <c r="Y121" s="147"/>
      <c r="AC121" s="147"/>
      <c r="AG121" s="147"/>
      <c r="AK121" s="147"/>
      <c r="AO121" s="147"/>
      <c r="AS121" s="147"/>
      <c r="AW121" s="147"/>
      <c r="BA121" s="147"/>
      <c r="BE121" s="147"/>
      <c r="BI121" s="147"/>
      <c r="BM121" s="147"/>
      <c r="BQ121" s="147"/>
      <c r="BU121" s="147"/>
      <c r="BY121" s="147"/>
      <c r="CC121" s="147"/>
      <c r="CG121" s="147"/>
      <c r="CK121" s="147"/>
      <c r="CO121" s="147"/>
      <c r="CS121" s="147"/>
      <c r="CW121" s="147"/>
      <c r="DA121" s="147"/>
      <c r="DE121" s="147"/>
      <c r="DI121" s="147"/>
      <c r="DM121" s="147"/>
      <c r="DQ121" s="147"/>
      <c r="DU121" s="147"/>
      <c r="DY121" s="147"/>
      <c r="EC121" s="147"/>
      <c r="EG121" s="147"/>
      <c r="EK121" s="147"/>
      <c r="EO121" s="147"/>
      <c r="ES121" s="147"/>
      <c r="EW121" s="147"/>
      <c r="FA121" s="147"/>
      <c r="FE121" s="147"/>
      <c r="FI121" s="147"/>
      <c r="FM121" s="147"/>
      <c r="FQ121" s="147"/>
      <c r="FU121" s="147"/>
      <c r="FY121" s="147"/>
      <c r="GC121" s="147"/>
      <c r="GG121" s="147"/>
      <c r="GK121" s="147"/>
      <c r="GO121" s="147"/>
      <c r="GS121" s="147"/>
      <c r="GW121" s="147"/>
      <c r="HA121" s="147"/>
      <c r="HE121" s="147"/>
      <c r="HI121" s="147"/>
      <c r="HM121" s="147"/>
      <c r="HQ121" s="147"/>
      <c r="HU121" s="147"/>
      <c r="HY121" s="147"/>
      <c r="IC121" s="147"/>
      <c r="IG121" s="147"/>
      <c r="IK121" s="147"/>
      <c r="IO121" s="147"/>
      <c r="IS121" s="147"/>
    </row>
    <row r="122" spans="1:254" ht="12.75" hidden="1" customHeight="1" x14ac:dyDescent="0.2">
      <c r="A122" s="195"/>
      <c r="B122" s="175"/>
      <c r="C122" s="131" t="s">
        <v>228</v>
      </c>
      <c r="D122" s="85">
        <v>0</v>
      </c>
      <c r="E122" s="136"/>
      <c r="F122" s="133"/>
      <c r="G122" s="178" t="s">
        <v>29</v>
      </c>
      <c r="H122" s="133" t="s">
        <v>293</v>
      </c>
      <c r="I122" s="198"/>
      <c r="J122" s="202"/>
      <c r="M122" s="147"/>
      <c r="Q122" s="147"/>
      <c r="U122" s="147"/>
      <c r="Y122" s="147"/>
      <c r="AC122" s="147"/>
      <c r="AG122" s="147"/>
      <c r="AK122" s="147"/>
      <c r="AO122" s="147"/>
      <c r="AS122" s="147"/>
      <c r="AW122" s="147"/>
      <c r="BA122" s="147"/>
      <c r="BE122" s="147"/>
      <c r="BI122" s="147"/>
      <c r="BM122" s="147"/>
      <c r="BQ122" s="147"/>
      <c r="BU122" s="147"/>
      <c r="BY122" s="147"/>
      <c r="CC122" s="147"/>
      <c r="CG122" s="147"/>
      <c r="CK122" s="147"/>
      <c r="CO122" s="147"/>
      <c r="CS122" s="147"/>
      <c r="CW122" s="147"/>
      <c r="DA122" s="147"/>
      <c r="DE122" s="147"/>
      <c r="DI122" s="147"/>
      <c r="DM122" s="147"/>
      <c r="DQ122" s="147"/>
      <c r="DU122" s="147"/>
      <c r="DY122" s="147"/>
      <c r="EC122" s="147"/>
      <c r="EG122" s="147"/>
      <c r="EK122" s="147"/>
      <c r="EO122" s="147"/>
      <c r="ES122" s="147"/>
      <c r="EW122" s="147"/>
      <c r="FA122" s="147"/>
      <c r="FE122" s="147"/>
      <c r="FI122" s="147"/>
      <c r="FM122" s="147"/>
      <c r="FQ122" s="147"/>
      <c r="FU122" s="147"/>
      <c r="FY122" s="147"/>
      <c r="GC122" s="147"/>
      <c r="GG122" s="147"/>
      <c r="GK122" s="147"/>
      <c r="GO122" s="147"/>
      <c r="GS122" s="147"/>
      <c r="GW122" s="147"/>
      <c r="HA122" s="147"/>
      <c r="HE122" s="147"/>
      <c r="HI122" s="147"/>
      <c r="HM122" s="147"/>
      <c r="HQ122" s="147"/>
      <c r="HU122" s="147"/>
      <c r="HY122" s="147"/>
      <c r="IC122" s="147"/>
      <c r="IG122" s="147"/>
      <c r="IK122" s="147"/>
      <c r="IO122" s="147"/>
      <c r="IS122" s="147"/>
    </row>
    <row r="123" spans="1:254" x14ac:dyDescent="0.2">
      <c r="A123" s="195"/>
      <c r="B123" s="175"/>
      <c r="C123" s="131" t="s">
        <v>242</v>
      </c>
      <c r="D123" s="82">
        <f>(Vcc_typ-Vfboot)*Qg_hs*fsw/2*(Rhdrv_pu/(Rhdrv_pu+Rg_hs+Rgd_hs)+Rhdrv_pd/(Rhdrv_pd+Rg_hs+Rgd_hs))+Vcc_typ*Qg_ls*fsw/2*(Rldrv_pu/(Rldrv_pu+Rg_ls+Rgd_ls)+Rldrv_pd/(Rldrv_pd+Rg_ls+Rgd_ls))</f>
        <v>2.3138750482294627E-2</v>
      </c>
      <c r="E123" s="136"/>
      <c r="F123" s="133"/>
      <c r="G123" s="178" t="s">
        <v>12</v>
      </c>
      <c r="H123" s="133" t="s">
        <v>315</v>
      </c>
      <c r="I123" s="198"/>
      <c r="J123" s="202"/>
      <c r="M123" s="147"/>
      <c r="Q123" s="147"/>
      <c r="U123" s="147"/>
      <c r="Y123" s="147"/>
      <c r="AC123" s="147"/>
      <c r="AG123" s="147"/>
      <c r="AK123" s="147"/>
      <c r="AO123" s="147"/>
      <c r="AS123" s="147"/>
      <c r="AW123" s="147"/>
      <c r="BA123" s="147"/>
      <c r="BE123" s="147"/>
      <c r="BI123" s="147"/>
      <c r="BM123" s="147"/>
      <c r="BQ123" s="147"/>
      <c r="BU123" s="147"/>
      <c r="BY123" s="147"/>
      <c r="CC123" s="147"/>
      <c r="CG123" s="147"/>
      <c r="CK123" s="147"/>
      <c r="CO123" s="147"/>
      <c r="CS123" s="147"/>
      <c r="CW123" s="147"/>
      <c r="DA123" s="147"/>
      <c r="DE123" s="147"/>
      <c r="DI123" s="147"/>
      <c r="DM123" s="147"/>
      <c r="DQ123" s="147"/>
      <c r="DU123" s="147"/>
      <c r="DY123" s="147"/>
      <c r="EC123" s="147"/>
      <c r="EG123" s="147"/>
      <c r="EK123" s="147"/>
      <c r="EO123" s="147"/>
      <c r="ES123" s="147"/>
      <c r="EW123" s="147"/>
      <c r="FA123" s="147"/>
      <c r="FE123" s="147"/>
      <c r="FI123" s="147"/>
      <c r="FM123" s="147"/>
      <c r="FQ123" s="147"/>
      <c r="FU123" s="147"/>
      <c r="FY123" s="147"/>
      <c r="GC123" s="147"/>
      <c r="GG123" s="147"/>
      <c r="GK123" s="147"/>
      <c r="GO123" s="147"/>
      <c r="GS123" s="147"/>
      <c r="GW123" s="147"/>
      <c r="HA123" s="147"/>
      <c r="HE123" s="147"/>
      <c r="HI123" s="147"/>
      <c r="HM123" s="147"/>
      <c r="HQ123" s="147"/>
      <c r="HU123" s="147"/>
      <c r="HY123" s="147"/>
      <c r="IC123" s="147"/>
      <c r="IG123" s="147"/>
      <c r="IK123" s="147"/>
      <c r="IO123" s="147"/>
      <c r="IS123" s="147"/>
    </row>
    <row r="124" spans="1:254" x14ac:dyDescent="0.2">
      <c r="A124" s="195"/>
      <c r="B124" s="175"/>
      <c r="C124" s="131" t="s">
        <v>363</v>
      </c>
      <c r="D124" s="82">
        <f>(Vin_Max-Vcc_typ)*(Idrive_ls+Idrive_ls)</f>
        <v>0</v>
      </c>
      <c r="E124" s="136"/>
      <c r="F124" s="133"/>
      <c r="G124" s="178" t="s">
        <v>12</v>
      </c>
      <c r="H124" s="133" t="s">
        <v>364</v>
      </c>
      <c r="I124" s="198"/>
      <c r="J124" s="202"/>
      <c r="M124" s="147"/>
      <c r="Q124" s="147"/>
      <c r="U124" s="147"/>
      <c r="Y124" s="147"/>
      <c r="AC124" s="147"/>
      <c r="AG124" s="147"/>
      <c r="AK124" s="147"/>
      <c r="AO124" s="147"/>
      <c r="AS124" s="147"/>
      <c r="AW124" s="147"/>
      <c r="BA124" s="147"/>
      <c r="BE124" s="147"/>
      <c r="BI124" s="147"/>
      <c r="BM124" s="147"/>
      <c r="BQ124" s="147"/>
      <c r="BU124" s="147"/>
      <c r="BY124" s="147"/>
      <c r="CC124" s="147"/>
      <c r="CG124" s="147"/>
      <c r="CK124" s="147"/>
      <c r="CO124" s="147"/>
      <c r="CS124" s="147"/>
      <c r="CW124" s="147"/>
      <c r="DA124" s="147"/>
      <c r="DE124" s="147"/>
      <c r="DI124" s="147"/>
      <c r="DM124" s="147"/>
      <c r="DQ124" s="147"/>
      <c r="DU124" s="147"/>
      <c r="DY124" s="147"/>
      <c r="EC124" s="147"/>
      <c r="EG124" s="147"/>
      <c r="EK124" s="147"/>
      <c r="EO124" s="147"/>
      <c r="ES124" s="147"/>
      <c r="EW124" s="147"/>
      <c r="FA124" s="147"/>
      <c r="FE124" s="147"/>
      <c r="FI124" s="147"/>
      <c r="FM124" s="147"/>
      <c r="FQ124" s="147"/>
      <c r="FU124" s="147"/>
      <c r="FY124" s="147"/>
      <c r="GC124" s="147"/>
      <c r="GG124" s="147"/>
      <c r="GK124" s="147"/>
      <c r="GO124" s="147"/>
      <c r="GS124" s="147"/>
      <c r="GW124" s="147"/>
      <c r="HA124" s="147"/>
      <c r="HE124" s="147"/>
      <c r="HI124" s="147"/>
      <c r="HM124" s="147"/>
      <c r="HQ124" s="147"/>
      <c r="HU124" s="147"/>
      <c r="HY124" s="147"/>
      <c r="IC124" s="147"/>
      <c r="IG124" s="147"/>
      <c r="IK124" s="147"/>
      <c r="IO124" s="147"/>
      <c r="IS124" s="147"/>
    </row>
    <row r="125" spans="1:254" x14ac:dyDescent="0.2">
      <c r="A125" s="195"/>
      <c r="B125" s="175"/>
      <c r="C125" s="131" t="s">
        <v>234</v>
      </c>
      <c r="D125" s="82">
        <f>Vin_Nom*Iq</f>
        <v>3.2999999999999995E-3</v>
      </c>
      <c r="E125" s="136"/>
      <c r="F125" s="133"/>
      <c r="G125" s="178" t="s">
        <v>12</v>
      </c>
      <c r="H125" s="133" t="s">
        <v>294</v>
      </c>
      <c r="I125" s="198"/>
      <c r="J125" s="202"/>
      <c r="M125" s="147"/>
      <c r="Q125" s="147"/>
      <c r="U125" s="147"/>
      <c r="Y125" s="147"/>
      <c r="AC125" s="147"/>
      <c r="AG125" s="147"/>
      <c r="AK125" s="147"/>
      <c r="AO125" s="147"/>
      <c r="AS125" s="147"/>
      <c r="AW125" s="147"/>
      <c r="BA125" s="147"/>
      <c r="BE125" s="147"/>
      <c r="BI125" s="147"/>
      <c r="BM125" s="147"/>
      <c r="BQ125" s="147"/>
      <c r="BU125" s="147"/>
      <c r="BY125" s="147"/>
      <c r="CC125" s="147"/>
      <c r="CG125" s="147"/>
      <c r="CK125" s="147"/>
      <c r="CO125" s="147"/>
      <c r="CS125" s="147"/>
      <c r="CW125" s="147"/>
      <c r="DA125" s="147"/>
      <c r="DE125" s="147"/>
      <c r="DI125" s="147"/>
      <c r="DM125" s="147"/>
      <c r="DQ125" s="147"/>
      <c r="DU125" s="147"/>
      <c r="DY125" s="147"/>
      <c r="EC125" s="147"/>
      <c r="EG125" s="147"/>
      <c r="EK125" s="147"/>
      <c r="EO125" s="147"/>
      <c r="ES125" s="147"/>
      <c r="EW125" s="147"/>
      <c r="FA125" s="147"/>
      <c r="FE125" s="147"/>
      <c r="FI125" s="147"/>
      <c r="FM125" s="147"/>
      <c r="FQ125" s="147"/>
      <c r="FU125" s="147"/>
      <c r="FY125" s="147"/>
      <c r="GC125" s="147"/>
      <c r="GG125" s="147"/>
      <c r="GK125" s="147"/>
      <c r="GO125" s="147"/>
      <c r="GS125" s="147"/>
      <c r="GW125" s="147"/>
      <c r="HA125" s="147"/>
      <c r="HE125" s="147"/>
      <c r="HI125" s="147"/>
      <c r="HM125" s="147"/>
      <c r="HQ125" s="147"/>
      <c r="HU125" s="147"/>
      <c r="HY125" s="147"/>
      <c r="IC125" s="147"/>
      <c r="IG125" s="147"/>
      <c r="IK125" s="147"/>
      <c r="IO125" s="147"/>
      <c r="IS125" s="147"/>
    </row>
    <row r="126" spans="1:254" x14ac:dyDescent="0.2">
      <c r="A126" s="195"/>
      <c r="B126" s="156"/>
      <c r="C126" s="141"/>
      <c r="D126" s="162"/>
      <c r="E126" s="162"/>
      <c r="F126" s="141"/>
      <c r="G126" s="145"/>
      <c r="H126" s="141"/>
      <c r="I126" s="198"/>
      <c r="J126" s="202"/>
    </row>
    <row r="127" spans="1:254" x14ac:dyDescent="0.2">
      <c r="A127" s="195"/>
      <c r="B127" s="257" t="s">
        <v>112</v>
      </c>
      <c r="C127" s="257"/>
      <c r="D127" s="158"/>
      <c r="E127" s="158"/>
      <c r="F127" s="158"/>
      <c r="G127" s="160"/>
      <c r="H127" s="158"/>
      <c r="I127" s="212"/>
      <c r="J127" s="213"/>
      <c r="L127" s="168"/>
      <c r="M127" s="157"/>
      <c r="N127" s="157"/>
      <c r="P127" s="157"/>
      <c r="Q127" s="157"/>
      <c r="R127" s="157"/>
      <c r="T127" s="157"/>
      <c r="U127" s="157"/>
      <c r="V127" s="157"/>
      <c r="X127" s="157"/>
      <c r="Y127" s="157"/>
      <c r="Z127" s="157"/>
      <c r="AB127" s="157"/>
      <c r="AC127" s="157"/>
      <c r="AD127" s="157"/>
      <c r="AF127" s="157"/>
      <c r="AG127" s="157"/>
      <c r="AH127" s="157"/>
      <c r="AJ127" s="157"/>
      <c r="AK127" s="157"/>
      <c r="AL127" s="157"/>
      <c r="AN127" s="157"/>
      <c r="AO127" s="157"/>
      <c r="AP127" s="157"/>
      <c r="AR127" s="157"/>
      <c r="AS127" s="157"/>
      <c r="AT127" s="157"/>
      <c r="AV127" s="157"/>
      <c r="AW127" s="157"/>
      <c r="AX127" s="157"/>
      <c r="AZ127" s="157"/>
      <c r="BA127" s="157"/>
      <c r="BB127" s="157"/>
      <c r="BD127" s="157"/>
      <c r="BE127" s="157"/>
      <c r="BF127" s="157"/>
      <c r="BH127" s="157"/>
      <c r="BI127" s="157"/>
      <c r="BJ127" s="157"/>
      <c r="BL127" s="157"/>
      <c r="BM127" s="157"/>
      <c r="BN127" s="157"/>
      <c r="BP127" s="157"/>
      <c r="BQ127" s="157"/>
      <c r="BR127" s="157"/>
      <c r="BT127" s="157"/>
      <c r="BU127" s="157"/>
      <c r="BV127" s="157"/>
      <c r="BX127" s="157"/>
      <c r="BY127" s="157"/>
      <c r="BZ127" s="157"/>
      <c r="CB127" s="157"/>
      <c r="CC127" s="157"/>
      <c r="CD127" s="157"/>
      <c r="CF127" s="157"/>
      <c r="CG127" s="157"/>
      <c r="CH127" s="157"/>
      <c r="CJ127" s="157"/>
      <c r="CK127" s="157"/>
      <c r="CL127" s="157"/>
      <c r="CN127" s="157"/>
      <c r="CO127" s="157"/>
      <c r="CP127" s="157"/>
      <c r="CR127" s="157"/>
      <c r="CS127" s="157"/>
      <c r="CT127" s="157"/>
      <c r="CV127" s="157"/>
      <c r="CW127" s="157"/>
      <c r="CX127" s="157"/>
      <c r="CZ127" s="157"/>
      <c r="DA127" s="157"/>
      <c r="DB127" s="157"/>
      <c r="DD127" s="157"/>
      <c r="DE127" s="157"/>
      <c r="DF127" s="157"/>
      <c r="DH127" s="157"/>
      <c r="DI127" s="157"/>
      <c r="DJ127" s="157"/>
      <c r="DL127" s="157"/>
      <c r="DM127" s="157"/>
      <c r="DN127" s="157"/>
      <c r="DP127" s="157"/>
      <c r="DQ127" s="157"/>
      <c r="DR127" s="157"/>
      <c r="DT127" s="157"/>
      <c r="DU127" s="157"/>
      <c r="DV127" s="157"/>
      <c r="DX127" s="157"/>
      <c r="DY127" s="157"/>
      <c r="DZ127" s="157"/>
      <c r="EB127" s="157"/>
      <c r="EC127" s="157"/>
      <c r="ED127" s="157"/>
      <c r="EF127" s="157"/>
      <c r="EG127" s="157"/>
      <c r="EH127" s="157"/>
      <c r="EJ127" s="157"/>
      <c r="EK127" s="157"/>
      <c r="EL127" s="157"/>
      <c r="EN127" s="157"/>
      <c r="EO127" s="157"/>
      <c r="EP127" s="157"/>
      <c r="ER127" s="157"/>
      <c r="ES127" s="157"/>
      <c r="ET127" s="157"/>
      <c r="EV127" s="157"/>
      <c r="EW127" s="157"/>
      <c r="EX127" s="157"/>
      <c r="EZ127" s="157"/>
      <c r="FA127" s="157"/>
      <c r="FB127" s="157"/>
      <c r="FD127" s="157"/>
      <c r="FE127" s="157"/>
      <c r="FF127" s="157"/>
      <c r="FH127" s="157"/>
      <c r="FI127" s="157"/>
      <c r="FJ127" s="157"/>
      <c r="FL127" s="157"/>
      <c r="FM127" s="157"/>
      <c r="FN127" s="157"/>
      <c r="FP127" s="157"/>
      <c r="FQ127" s="157"/>
      <c r="FR127" s="157"/>
      <c r="FT127" s="157"/>
      <c r="FU127" s="157"/>
      <c r="FV127" s="157"/>
      <c r="FX127" s="157"/>
      <c r="FY127" s="157"/>
      <c r="FZ127" s="157"/>
      <c r="GB127" s="157"/>
      <c r="GC127" s="157"/>
      <c r="GD127" s="157"/>
      <c r="GF127" s="157"/>
      <c r="GG127" s="157"/>
      <c r="GH127" s="157"/>
      <c r="GJ127" s="157"/>
      <c r="GK127" s="157"/>
      <c r="GL127" s="157"/>
      <c r="GN127" s="157"/>
      <c r="GO127" s="157"/>
      <c r="GP127" s="157"/>
      <c r="GR127" s="157"/>
      <c r="GS127" s="157"/>
      <c r="GT127" s="157"/>
      <c r="GV127" s="157"/>
      <c r="GW127" s="157"/>
      <c r="GX127" s="157"/>
      <c r="GZ127" s="157"/>
      <c r="HA127" s="157"/>
      <c r="HB127" s="157"/>
      <c r="HD127" s="157"/>
      <c r="HE127" s="157"/>
      <c r="HF127" s="157"/>
      <c r="HH127" s="157"/>
      <c r="HI127" s="157"/>
      <c r="HJ127" s="157"/>
      <c r="HL127" s="157"/>
      <c r="HM127" s="157"/>
      <c r="HN127" s="157"/>
      <c r="HP127" s="157"/>
      <c r="HQ127" s="157"/>
      <c r="HR127" s="157"/>
      <c r="HT127" s="157"/>
      <c r="HU127" s="157"/>
      <c r="HV127" s="157"/>
      <c r="HX127" s="157"/>
      <c r="HY127" s="157"/>
      <c r="HZ127" s="157"/>
      <c r="IB127" s="157"/>
      <c r="IC127" s="157"/>
      <c r="ID127" s="157"/>
      <c r="IF127" s="157"/>
      <c r="IG127" s="157"/>
      <c r="IH127" s="157"/>
      <c r="IJ127" s="157"/>
      <c r="IK127" s="157"/>
      <c r="IL127" s="157"/>
      <c r="IN127" s="157"/>
      <c r="IO127" s="157"/>
      <c r="IP127" s="157"/>
      <c r="IR127" s="157"/>
      <c r="IS127" s="157"/>
      <c r="IT127" s="157"/>
    </row>
    <row r="128" spans="1:254" x14ac:dyDescent="0.2">
      <c r="A128" s="195"/>
      <c r="B128" s="177">
        <v>31</v>
      </c>
      <c r="C128" s="131" t="s">
        <v>424</v>
      </c>
      <c r="D128" s="81">
        <f>Iripple/(4*fsw*Viripple)</f>
        <v>7.2892040977147369E-6</v>
      </c>
      <c r="E128" s="136"/>
      <c r="F128" s="133"/>
      <c r="G128" s="178" t="s">
        <v>3</v>
      </c>
      <c r="H128" s="181" t="s">
        <v>227</v>
      </c>
      <c r="I128" s="198"/>
      <c r="J128" s="202"/>
      <c r="M128" s="147"/>
      <c r="Q128" s="147"/>
      <c r="U128" s="147"/>
      <c r="Y128" s="147"/>
      <c r="AC128" s="147"/>
      <c r="AG128" s="147"/>
      <c r="AK128" s="147"/>
      <c r="AO128" s="147"/>
      <c r="AS128" s="147"/>
      <c r="AW128" s="147"/>
      <c r="BA128" s="147"/>
      <c r="BE128" s="147"/>
      <c r="BI128" s="147"/>
      <c r="BM128" s="147"/>
      <c r="BQ128" s="147"/>
      <c r="BU128" s="147"/>
      <c r="BY128" s="147"/>
      <c r="CC128" s="147"/>
      <c r="CG128" s="147"/>
      <c r="CK128" s="147"/>
      <c r="CO128" s="147"/>
      <c r="CS128" s="147"/>
      <c r="CW128" s="147"/>
      <c r="DA128" s="147"/>
      <c r="DE128" s="147"/>
      <c r="DI128" s="147"/>
      <c r="DM128" s="147"/>
      <c r="DQ128" s="147"/>
      <c r="DU128" s="147"/>
      <c r="DY128" s="147"/>
      <c r="EC128" s="147"/>
      <c r="EG128" s="147"/>
      <c r="EK128" s="147"/>
      <c r="EO128" s="147"/>
      <c r="ES128" s="147"/>
      <c r="EW128" s="147"/>
      <c r="FA128" s="147"/>
      <c r="FE128" s="147"/>
      <c r="FI128" s="147"/>
      <c r="FM128" s="147"/>
      <c r="FQ128" s="147"/>
      <c r="FU128" s="147"/>
      <c r="FY128" s="147"/>
      <c r="GC128" s="147"/>
      <c r="GG128" s="147"/>
      <c r="GK128" s="147"/>
      <c r="GO128" s="147"/>
      <c r="GS128" s="147"/>
      <c r="GW128" s="147"/>
      <c r="HA128" s="147"/>
      <c r="HE128" s="147"/>
      <c r="HI128" s="147"/>
      <c r="HM128" s="147"/>
      <c r="HQ128" s="147"/>
      <c r="HU128" s="147"/>
      <c r="HY128" s="147"/>
      <c r="IC128" s="147"/>
      <c r="IG128" s="147"/>
      <c r="IK128" s="147"/>
      <c r="IO128" s="147"/>
      <c r="IS128" s="147"/>
    </row>
    <row r="129" spans="1:253" x14ac:dyDescent="0.2">
      <c r="A129" s="195"/>
      <c r="B129" s="130"/>
      <c r="C129" s="131" t="s">
        <v>425</v>
      </c>
      <c r="D129" s="93">
        <v>1.1199999999999999E-5</v>
      </c>
      <c r="E129" s="133"/>
      <c r="F129" s="133"/>
      <c r="G129" s="178" t="s">
        <v>7</v>
      </c>
      <c r="H129" s="133" t="s">
        <v>431</v>
      </c>
      <c r="I129" s="198"/>
      <c r="J129" s="202"/>
      <c r="M129" s="147"/>
      <c r="Q129" s="147"/>
      <c r="U129" s="147"/>
      <c r="Y129" s="147"/>
      <c r="AC129" s="147"/>
      <c r="AG129" s="147"/>
      <c r="AK129" s="147"/>
      <c r="AO129" s="147"/>
      <c r="AS129" s="147"/>
      <c r="AW129" s="147"/>
      <c r="BA129" s="147"/>
      <c r="BE129" s="147"/>
      <c r="BI129" s="147"/>
      <c r="BM129" s="147"/>
      <c r="BQ129" s="147"/>
      <c r="BU129" s="147"/>
      <c r="BY129" s="147"/>
      <c r="CC129" s="147"/>
      <c r="CG129" s="147"/>
      <c r="CK129" s="147"/>
      <c r="CO129" s="147"/>
      <c r="CS129" s="147"/>
      <c r="CW129" s="147"/>
      <c r="DA129" s="147"/>
      <c r="DE129" s="147"/>
      <c r="DI129" s="147"/>
      <c r="DM129" s="147"/>
      <c r="DQ129" s="147"/>
      <c r="DU129" s="147"/>
      <c r="DY129" s="147"/>
      <c r="EC129" s="147"/>
      <c r="EG129" s="147"/>
      <c r="EK129" s="147"/>
      <c r="EO129" s="147"/>
      <c r="ES129" s="147"/>
      <c r="EW129" s="147"/>
      <c r="FA129" s="147"/>
      <c r="FE129" s="147"/>
      <c r="FI129" s="147"/>
      <c r="FM129" s="147"/>
      <c r="FQ129" s="147"/>
      <c r="FU129" s="147"/>
      <c r="FY129" s="147"/>
      <c r="GC129" s="147"/>
      <c r="GG129" s="147"/>
      <c r="GK129" s="147"/>
      <c r="GO129" s="147"/>
      <c r="GS129" s="147"/>
      <c r="GW129" s="147"/>
      <c r="HA129" s="147"/>
      <c r="HE129" s="147"/>
      <c r="HI129" s="147"/>
      <c r="HM129" s="147"/>
      <c r="HQ129" s="147"/>
      <c r="HU129" s="147"/>
      <c r="HY129" s="147"/>
      <c r="IC129" s="147"/>
      <c r="IG129" s="147"/>
      <c r="IK129" s="147"/>
      <c r="IO129" s="147"/>
      <c r="IS129" s="147"/>
    </row>
    <row r="130" spans="1:253" x14ac:dyDescent="0.2">
      <c r="A130" s="195"/>
      <c r="B130" s="177">
        <v>32</v>
      </c>
      <c r="C130" s="131" t="s">
        <v>67</v>
      </c>
      <c r="D130" s="83">
        <f>Iripple/SQRT(12)</f>
        <v>0.34719497570948243</v>
      </c>
      <c r="E130" s="136"/>
      <c r="F130" s="133"/>
      <c r="G130" s="178" t="s">
        <v>2</v>
      </c>
      <c r="H130" s="181" t="s">
        <v>91</v>
      </c>
      <c r="I130" s="198"/>
      <c r="J130" s="202"/>
      <c r="M130" s="147"/>
      <c r="Q130" s="147"/>
      <c r="U130" s="147"/>
      <c r="Y130" s="147"/>
      <c r="AC130" s="147"/>
      <c r="AG130" s="147"/>
      <c r="AK130" s="147"/>
      <c r="AO130" s="147"/>
      <c r="AS130" s="147"/>
      <c r="AW130" s="147"/>
      <c r="BA130" s="147"/>
      <c r="BE130" s="147"/>
      <c r="BI130" s="147"/>
      <c r="BM130" s="147"/>
      <c r="BQ130" s="147"/>
      <c r="BU130" s="147"/>
      <c r="BY130" s="147"/>
      <c r="CC130" s="147"/>
      <c r="CG130" s="147"/>
      <c r="CK130" s="147"/>
      <c r="CO130" s="147"/>
      <c r="CS130" s="147"/>
      <c r="CW130" s="147"/>
      <c r="DA130" s="147"/>
      <c r="DE130" s="147"/>
      <c r="DI130" s="147"/>
      <c r="DM130" s="147"/>
      <c r="DQ130" s="147"/>
      <c r="DU130" s="147"/>
      <c r="DY130" s="147"/>
      <c r="EC130" s="147"/>
      <c r="EG130" s="147"/>
      <c r="EK130" s="147"/>
      <c r="EO130" s="147"/>
      <c r="ES130" s="147"/>
      <c r="EW130" s="147"/>
      <c r="FA130" s="147"/>
      <c r="FE130" s="147"/>
      <c r="FI130" s="147"/>
      <c r="FM130" s="147"/>
      <c r="FQ130" s="147"/>
      <c r="FU130" s="147"/>
      <c r="FY130" s="147"/>
      <c r="GC130" s="147"/>
      <c r="GG130" s="147"/>
      <c r="GK130" s="147"/>
      <c r="GO130" s="147"/>
      <c r="GS130" s="147"/>
      <c r="GW130" s="147"/>
      <c r="HA130" s="147"/>
      <c r="HE130" s="147"/>
      <c r="HI130" s="147"/>
      <c r="HM130" s="147"/>
      <c r="HQ130" s="147"/>
      <c r="HU130" s="147"/>
      <c r="HY130" s="147"/>
      <c r="IC130" s="147"/>
      <c r="IG130" s="147"/>
      <c r="IK130" s="147"/>
      <c r="IO130" s="147"/>
      <c r="IS130" s="147"/>
    </row>
    <row r="131" spans="1:253" x14ac:dyDescent="0.2">
      <c r="A131" s="195"/>
      <c r="B131" s="156"/>
      <c r="C131" s="141"/>
      <c r="D131" s="162"/>
      <c r="E131" s="162"/>
      <c r="F131" s="141"/>
      <c r="G131" s="145"/>
      <c r="H131" s="141"/>
      <c r="I131" s="198"/>
      <c r="J131" s="202"/>
    </row>
    <row r="132" spans="1:253" ht="15" x14ac:dyDescent="0.25">
      <c r="A132" s="198"/>
      <c r="B132" s="119" t="s">
        <v>120</v>
      </c>
      <c r="C132" s="118" t="s">
        <v>57</v>
      </c>
      <c r="D132" s="264" t="s">
        <v>9</v>
      </c>
      <c r="E132" s="265"/>
      <c r="F132" s="266"/>
      <c r="G132" s="118" t="s">
        <v>8</v>
      </c>
      <c r="H132" s="126" t="s">
        <v>422</v>
      </c>
      <c r="I132" s="216"/>
      <c r="J132" s="202"/>
      <c r="M132" s="147"/>
    </row>
    <row r="133" spans="1:253" x14ac:dyDescent="0.2">
      <c r="A133" s="195"/>
      <c r="B133" s="156"/>
      <c r="C133" s="141"/>
      <c r="D133" s="162"/>
      <c r="E133" s="162"/>
      <c r="F133" s="141"/>
      <c r="G133" s="145"/>
      <c r="H133" s="141"/>
      <c r="I133" s="198"/>
      <c r="J133" s="202"/>
    </row>
    <row r="134" spans="1:253" x14ac:dyDescent="0.2">
      <c r="A134" s="195"/>
      <c r="B134" s="257" t="s">
        <v>410</v>
      </c>
      <c r="C134" s="257"/>
      <c r="D134" s="159"/>
      <c r="E134" s="159"/>
      <c r="F134" s="159"/>
      <c r="G134" s="164"/>
      <c r="H134" s="159"/>
      <c r="I134" s="198"/>
      <c r="J134" s="202"/>
    </row>
    <row r="135" spans="1:253" x14ac:dyDescent="0.2">
      <c r="A135" s="195"/>
      <c r="B135" s="177"/>
      <c r="C135" s="131" t="s">
        <v>445</v>
      </c>
      <c r="D135" s="93">
        <v>11000</v>
      </c>
      <c r="E135" s="133"/>
      <c r="F135" s="133"/>
      <c r="G135" s="178" t="s">
        <v>29</v>
      </c>
      <c r="H135" s="133" t="s">
        <v>266</v>
      </c>
      <c r="I135" s="198"/>
      <c r="J135" s="202"/>
    </row>
    <row r="136" spans="1:253" x14ac:dyDescent="0.2">
      <c r="A136" s="195"/>
      <c r="B136" s="177">
        <v>33</v>
      </c>
      <c r="C136" s="131" t="s">
        <v>367</v>
      </c>
      <c r="D136" s="82">
        <f>Rsl*(Vout/Vref-1)</f>
        <v>205393.44262295082</v>
      </c>
      <c r="E136" s="94">
        <f>(IF((10^(LOG(D136)-INT(LOG(D136)))*100)-VLOOKUP((10^(LOG(D136)-INT(LOG(D136)))*100),E96_s:E96_f,1)&lt;VLOOKUP((10^(LOG(D136)-INT(LOG(D136)))*100),E96_s:E96_f,2)-(10^(LOG(D136)-INT(LOG(D136)))*100),VLOOKUP((10^(LOG(D136)-INT(LOG(D136)))*100),E96_s:E96_f,1),VLOOKUP((10^(LOG(D136)-INT(LOG(D136)))*100),E96_s:E96_f,2)))*10^INT(LOG(D136))/100</f>
        <v>205000</v>
      </c>
      <c r="F136" s="133"/>
      <c r="G136" s="178" t="s">
        <v>29</v>
      </c>
      <c r="H136" s="133" t="s">
        <v>265</v>
      </c>
      <c r="I136" s="198"/>
      <c r="J136" s="202"/>
    </row>
    <row r="137" spans="1:253" x14ac:dyDescent="0.2">
      <c r="A137" s="195"/>
      <c r="B137" s="177"/>
      <c r="C137" s="131" t="s">
        <v>368</v>
      </c>
      <c r="D137" s="93">
        <f>E136</f>
        <v>205000</v>
      </c>
      <c r="E137" s="136"/>
      <c r="F137" s="133"/>
      <c r="G137" s="178" t="s">
        <v>29</v>
      </c>
      <c r="H137" s="133" t="s">
        <v>106</v>
      </c>
      <c r="I137" s="198"/>
      <c r="J137" s="202"/>
    </row>
    <row r="138" spans="1:253" x14ac:dyDescent="0.2">
      <c r="A138" s="195"/>
      <c r="B138" s="148"/>
      <c r="C138" s="141"/>
      <c r="D138" s="163"/>
      <c r="E138" s="163"/>
      <c r="F138" s="163"/>
      <c r="G138" s="145"/>
      <c r="H138" s="141"/>
      <c r="I138" s="198"/>
      <c r="J138" s="202"/>
    </row>
    <row r="139" spans="1:253" x14ac:dyDescent="0.2">
      <c r="A139" s="195"/>
      <c r="B139" s="257" t="s">
        <v>411</v>
      </c>
      <c r="C139" s="257"/>
      <c r="D139" s="159"/>
      <c r="E139" s="159"/>
      <c r="F139" s="159"/>
      <c r="G139" s="164"/>
      <c r="H139" s="159"/>
      <c r="I139" s="198"/>
      <c r="J139" s="202"/>
      <c r="M139" s="147"/>
    </row>
    <row r="140" spans="1:253" x14ac:dyDescent="0.2">
      <c r="A140" s="195"/>
      <c r="B140" s="175"/>
      <c r="C140" s="131" t="s">
        <v>243</v>
      </c>
      <c r="D140" s="93">
        <v>2.5000000000000001E-2</v>
      </c>
      <c r="E140" s="133"/>
      <c r="F140" s="133"/>
      <c r="G140" s="178" t="s">
        <v>42</v>
      </c>
      <c r="H140" s="133" t="s">
        <v>244</v>
      </c>
      <c r="I140" s="198"/>
      <c r="J140" s="202"/>
      <c r="M140" s="147"/>
    </row>
    <row r="141" spans="1:253" x14ac:dyDescent="0.2">
      <c r="A141" s="195"/>
      <c r="B141" s="177">
        <v>34</v>
      </c>
      <c r="C141" s="131" t="s">
        <v>261</v>
      </c>
      <c r="D141" s="95">
        <f>tss*Iss/Vref</f>
        <v>1.0245901639344264E-7</v>
      </c>
      <c r="E141" s="97">
        <f>IF(D141*10^12&lt;10000,IF((10^(LOG(D141*10^12)-INT(LOG(D141*10^12))))-VLOOKUP((10^(LOG(D141*10^12)-INT(LOG(D141*10^12)))),c_s1:C_f1,1)&lt;VLOOKUP((10^(LOG(D141*10^12)-INT(LOG(D141*10^12)))),c_s1:C_f1,2)-(10^(LOG(D141*10^12)-INT(LOG(D141*10^12)))),VLOOKUP((10^(LOG(D141*10^12)-INT(LOG(D141*10^12)))),c_s1:C_f1,1),VLOOKUP((10^(LOG(D141*10^12)-INT(LOG(D141*10^12)))),c_s1:C_f1,2))*10^INT(LOG(D141*10^12)),IF((10^(LOG(D141*10^12)-INT(LOG(D141*10^12))))-VLOOKUP((10^(LOG(D141*10^12)-INT(LOG(D141*10^12)))),C_s2:C_f2,1)&lt;VLOOKUP((10^(LOG(D141*10^12)-INT(LOG(D141*10^12)))),C_s2:C_f2,2)-(10^(LOG(D141*10^12)-INT(LOG(D141*10^12)))),VLOOKUP((10^(LOG(D141*10^12)-INT(LOG(D141*10^12)))),C_s2:C_f2,1),VLOOKUP((10^(LOG(D141*10^12)-INT(LOG(D141*10^12)))),C_s2:C_f2,2))*10^INT(LOG(D141*10^12)))*10^-12</f>
        <v>9.9999999999999995E-8</v>
      </c>
      <c r="F141" s="133"/>
      <c r="G141" s="178" t="s">
        <v>7</v>
      </c>
      <c r="H141" s="133" t="s">
        <v>262</v>
      </c>
      <c r="I141" s="198"/>
      <c r="J141" s="202"/>
      <c r="M141" s="147"/>
    </row>
    <row r="142" spans="1:253" x14ac:dyDescent="0.2">
      <c r="A142" s="195"/>
      <c r="B142" s="177"/>
      <c r="C142" s="131" t="s">
        <v>446</v>
      </c>
      <c r="D142" s="93">
        <f>E141</f>
        <v>9.9999999999999995E-8</v>
      </c>
      <c r="E142" s="132"/>
      <c r="F142" s="133"/>
      <c r="G142" s="178" t="s">
        <v>7</v>
      </c>
      <c r="H142" s="133" t="s">
        <v>263</v>
      </c>
      <c r="I142" s="198"/>
      <c r="J142" s="202"/>
      <c r="M142" s="147"/>
    </row>
    <row r="143" spans="1:253" x14ac:dyDescent="0.2">
      <c r="A143" s="195"/>
      <c r="B143" s="156"/>
      <c r="C143" s="157"/>
      <c r="D143" s="157"/>
      <c r="E143" s="157"/>
      <c r="F143" s="141"/>
      <c r="G143" s="156"/>
      <c r="H143" s="157"/>
      <c r="I143" s="212"/>
      <c r="J143" s="202"/>
      <c r="M143" s="147"/>
    </row>
    <row r="144" spans="1:253" x14ac:dyDescent="0.2">
      <c r="A144" s="195"/>
      <c r="B144" s="257" t="s">
        <v>412</v>
      </c>
      <c r="C144" s="257"/>
      <c r="D144" s="159"/>
      <c r="E144" s="159"/>
      <c r="F144" s="159"/>
      <c r="G144" s="164"/>
      <c r="H144" s="159"/>
      <c r="I144" s="198"/>
      <c r="J144" s="202"/>
    </row>
    <row r="145" spans="1:13" x14ac:dyDescent="0.2">
      <c r="A145" s="195"/>
      <c r="B145" s="177">
        <v>35</v>
      </c>
      <c r="C145" s="131" t="s">
        <v>416</v>
      </c>
      <c r="D145" s="82">
        <f>(Vstart*(Ven_dis/Ven_on)-Vstop)/(Ien_pup*(1-Ven_dis/Ven_on)+Ien_hys)</f>
        <v>6753.3766883439685</v>
      </c>
      <c r="E145" s="94">
        <f>(IF((10^(LOG(D145)-INT(LOG(D145)))*100)-VLOOKUP((10^(LOG(D145)-INT(LOG(D145)))*100),E96_s:E96_f,1)&lt;VLOOKUP((10^(LOG(D145)-INT(LOG(D145)))*100),E96_s:E96_f,2)-(10^(LOG(D145)-INT(LOG(D145)))*100),VLOOKUP((10^(LOG(D145)-INT(LOG(D145)))*100),E96_s:E96_f,1),VLOOKUP((10^(LOG(D145)-INT(LOG(D145)))*100),E96_s:E96_f,2)))*10^INT(LOG(D145))/100</f>
        <v>6810</v>
      </c>
      <c r="F145" s="133"/>
      <c r="G145" s="178" t="s">
        <v>29</v>
      </c>
      <c r="H145" s="133" t="s">
        <v>267</v>
      </c>
      <c r="I145" s="198"/>
      <c r="J145" s="202"/>
    </row>
    <row r="146" spans="1:13" x14ac:dyDescent="0.2">
      <c r="A146" s="195"/>
      <c r="B146" s="177"/>
      <c r="C146" s="131" t="s">
        <v>447</v>
      </c>
      <c r="D146" s="93">
        <f>E145</f>
        <v>6810</v>
      </c>
      <c r="E146" s="133"/>
      <c r="F146" s="133"/>
      <c r="G146" s="178" t="s">
        <v>29</v>
      </c>
      <c r="H146" s="133" t="s">
        <v>268</v>
      </c>
      <c r="I146" s="198"/>
      <c r="J146" s="202"/>
    </row>
    <row r="147" spans="1:13" x14ac:dyDescent="0.2">
      <c r="A147" s="195"/>
      <c r="B147" s="177">
        <v>36</v>
      </c>
      <c r="C147" s="131" t="s">
        <v>417</v>
      </c>
      <c r="D147" s="82">
        <f>Ruvloh*Ven_dis/(Vstop-Ven_dis+Ruvloh*(Ien_pup+Ien_hys)+Ien_hys)</f>
        <v>2287.353657273256</v>
      </c>
      <c r="E147" s="94">
        <f>(IF((10^(LOG(D147)-INT(LOG(D147)))*100)-VLOOKUP((10^(LOG(D147)-INT(LOG(D147)))*100),E96_s:E96_f,1)&lt;VLOOKUP((10^(LOG(D147)-INT(LOG(D147)))*100),E96_s:E96_f,2)-(10^(LOG(D147)-INT(LOG(D147)))*100),VLOOKUP((10^(LOG(D147)-INT(LOG(D147)))*100),E96_s:E96_f,1),VLOOKUP((10^(LOG(D147)-INT(LOG(D147)))*100),E96_s:E96_f,2)))*10^INT(LOG(D147))/100</f>
        <v>2260</v>
      </c>
      <c r="F147" s="133"/>
      <c r="G147" s="178" t="s">
        <v>29</v>
      </c>
      <c r="H147" s="133" t="s">
        <v>270</v>
      </c>
      <c r="I147" s="198"/>
      <c r="J147" s="202"/>
    </row>
    <row r="148" spans="1:13" x14ac:dyDescent="0.2">
      <c r="A148" s="195"/>
      <c r="B148" s="177"/>
      <c r="C148" s="131" t="s">
        <v>448</v>
      </c>
      <c r="D148" s="93">
        <f>E147</f>
        <v>2260</v>
      </c>
      <c r="E148" s="136"/>
      <c r="F148" s="133"/>
      <c r="G148" s="178" t="s">
        <v>29</v>
      </c>
      <c r="H148" s="133" t="s">
        <v>269</v>
      </c>
      <c r="I148" s="198"/>
      <c r="J148" s="202"/>
    </row>
    <row r="149" spans="1:13" x14ac:dyDescent="0.2">
      <c r="A149" s="195"/>
      <c r="B149" s="130"/>
      <c r="C149" s="131" t="s">
        <v>369</v>
      </c>
      <c r="D149" s="99">
        <f>Ven_on-Ien_pup*Ruvloh-Ien_hys*Ven_on/Ven_dis+Ruvloh*Ven_on/Ruvlol</f>
        <v>4.8438005504114265</v>
      </c>
      <c r="E149" s="135"/>
      <c r="F149" s="133"/>
      <c r="G149" s="178" t="s">
        <v>3</v>
      </c>
      <c r="H149" s="133" t="s">
        <v>296</v>
      </c>
      <c r="I149" s="198"/>
      <c r="J149" s="202"/>
    </row>
    <row r="150" spans="1:13" x14ac:dyDescent="0.2">
      <c r="A150" s="195"/>
      <c r="B150" s="130"/>
      <c r="C150" s="131" t="s">
        <v>370</v>
      </c>
      <c r="D150" s="99">
        <f>Ven_dis-Ien_hys-Ien_hys*Ruvloh-Ien_pup*Ruvloh+Ruvloh*Ven_dis/Ruvlol</f>
        <v>4.541079543362831</v>
      </c>
      <c r="E150" s="135"/>
      <c r="F150" s="133"/>
      <c r="G150" s="178" t="s">
        <v>3</v>
      </c>
      <c r="H150" s="133" t="s">
        <v>295</v>
      </c>
      <c r="I150" s="198"/>
      <c r="J150" s="202"/>
    </row>
    <row r="151" spans="1:13" x14ac:dyDescent="0.2">
      <c r="A151" s="195"/>
      <c r="B151" s="148"/>
      <c r="C151" s="141"/>
      <c r="D151" s="162"/>
      <c r="E151" s="162"/>
      <c r="F151" s="141"/>
      <c r="G151" s="145"/>
      <c r="H151" s="141"/>
      <c r="I151" s="198"/>
      <c r="J151" s="202"/>
    </row>
    <row r="152" spans="1:13" x14ac:dyDescent="0.2">
      <c r="A152" s="195"/>
      <c r="B152" s="257" t="s">
        <v>449</v>
      </c>
      <c r="C152" s="257"/>
      <c r="D152" s="159"/>
      <c r="E152" s="159"/>
      <c r="F152" s="159"/>
      <c r="G152" s="164"/>
      <c r="H152" s="159"/>
      <c r="I152" s="198"/>
      <c r="J152" s="202"/>
    </row>
    <row r="153" spans="1:13" x14ac:dyDescent="0.2">
      <c r="A153" s="195"/>
      <c r="B153" s="177"/>
      <c r="C153" s="131" t="s">
        <v>450</v>
      </c>
      <c r="D153" s="93">
        <v>100000</v>
      </c>
      <c r="E153" s="133"/>
      <c r="F153" s="133"/>
      <c r="G153" s="178" t="s">
        <v>29</v>
      </c>
      <c r="H153" s="133" t="s">
        <v>451</v>
      </c>
      <c r="I153" s="198"/>
      <c r="J153" s="202"/>
    </row>
    <row r="154" spans="1:13" x14ac:dyDescent="0.2">
      <c r="A154" s="195"/>
      <c r="B154" s="148"/>
      <c r="C154" s="141"/>
      <c r="D154" s="163"/>
      <c r="E154" s="163"/>
      <c r="F154" s="163"/>
      <c r="G154" s="145"/>
      <c r="H154" s="141"/>
      <c r="I154" s="198"/>
      <c r="J154" s="202"/>
    </row>
    <row r="155" spans="1:13" ht="15" x14ac:dyDescent="0.25">
      <c r="A155" s="195"/>
      <c r="B155" s="119" t="s">
        <v>120</v>
      </c>
      <c r="C155" s="118" t="s">
        <v>31</v>
      </c>
      <c r="D155" s="264" t="s">
        <v>9</v>
      </c>
      <c r="E155" s="265"/>
      <c r="F155" s="266"/>
      <c r="G155" s="118" t="s">
        <v>8</v>
      </c>
      <c r="H155" s="126" t="s">
        <v>422</v>
      </c>
      <c r="I155" s="198"/>
      <c r="J155" s="202"/>
    </row>
    <row r="156" spans="1:13" x14ac:dyDescent="0.2">
      <c r="A156" s="195"/>
      <c r="B156" s="156"/>
      <c r="C156" s="157"/>
      <c r="D156" s="157"/>
      <c r="E156" s="157"/>
      <c r="F156" s="141"/>
      <c r="G156" s="156"/>
      <c r="H156" s="157"/>
      <c r="I156" s="198"/>
      <c r="J156" s="202"/>
    </row>
    <row r="157" spans="1:13" x14ac:dyDescent="0.2">
      <c r="A157" s="198"/>
      <c r="B157" s="257" t="s">
        <v>37</v>
      </c>
      <c r="C157" s="257"/>
      <c r="D157" s="158"/>
      <c r="E157" s="158"/>
      <c r="F157" s="159"/>
      <c r="G157" s="160"/>
      <c r="H157" s="158"/>
      <c r="I157" s="216"/>
      <c r="J157" s="202"/>
      <c r="M157" s="147"/>
    </row>
    <row r="158" spans="1:13" x14ac:dyDescent="0.2">
      <c r="A158" s="195"/>
      <c r="B158" s="177"/>
      <c r="C158" s="131" t="s">
        <v>10</v>
      </c>
      <c r="D158" s="98">
        <f>Vout/(Iout)</f>
        <v>13.090909090909092</v>
      </c>
      <c r="E158" s="134"/>
      <c r="F158" s="133"/>
      <c r="G158" s="178" t="s">
        <v>29</v>
      </c>
      <c r="H158" s="133" t="s">
        <v>64</v>
      </c>
      <c r="I158" s="212"/>
      <c r="J158" s="202"/>
      <c r="M158" s="147"/>
    </row>
    <row r="159" spans="1:13" x14ac:dyDescent="0.2">
      <c r="A159" s="195"/>
      <c r="B159" s="177">
        <v>37</v>
      </c>
      <c r="C159" s="131" t="s">
        <v>241</v>
      </c>
      <c r="D159" s="98">
        <f>20*LOG(Vin_Min/(2*40/3*Rsense*Iout))</f>
        <v>27.04365036222725</v>
      </c>
      <c r="E159" s="98">
        <f>Vin_Min/(2*40/3*Rsense*Iout)</f>
        <v>22.5</v>
      </c>
      <c r="F159" s="133"/>
      <c r="G159" s="178" t="s">
        <v>11</v>
      </c>
      <c r="H159" s="133" t="s">
        <v>297</v>
      </c>
      <c r="I159" s="212"/>
      <c r="J159" s="202"/>
      <c r="M159" s="147"/>
    </row>
    <row r="160" spans="1:13" x14ac:dyDescent="0.2">
      <c r="A160" s="195"/>
      <c r="B160" s="177">
        <v>38</v>
      </c>
      <c r="C160" s="131" t="s">
        <v>21</v>
      </c>
      <c r="D160" s="81">
        <f>2/(2*PI()*Ro*Co)</f>
        <v>931.22573085683416</v>
      </c>
      <c r="E160" s="134"/>
      <c r="F160" s="133"/>
      <c r="G160" s="182" t="s">
        <v>5</v>
      </c>
      <c r="H160" s="133" t="s">
        <v>65</v>
      </c>
      <c r="I160" s="212"/>
      <c r="J160" s="202"/>
      <c r="M160" s="147"/>
    </row>
    <row r="161" spans="1:13" x14ac:dyDescent="0.2">
      <c r="A161" s="195"/>
      <c r="B161" s="177">
        <v>39</v>
      </c>
      <c r="C161" s="131" t="s">
        <v>20</v>
      </c>
      <c r="D161" s="81">
        <f>(Ro/(2*PI()*L))*(Vin_Min/Vout)^2</f>
        <v>23280.64327142086</v>
      </c>
      <c r="E161" s="134"/>
      <c r="F161" s="134"/>
      <c r="G161" s="182" t="s">
        <v>5</v>
      </c>
      <c r="H161" s="133" t="s">
        <v>66</v>
      </c>
      <c r="I161" s="212"/>
      <c r="J161" s="202"/>
      <c r="M161" s="147"/>
    </row>
    <row r="162" spans="1:13" x14ac:dyDescent="0.2">
      <c r="A162" s="195"/>
      <c r="B162" s="177">
        <v>40</v>
      </c>
      <c r="C162" s="131" t="s">
        <v>92</v>
      </c>
      <c r="D162" s="81">
        <f>1/(2*PI()*Co_esr*Co)</f>
        <v>717093.61092718795</v>
      </c>
      <c r="E162" s="134"/>
      <c r="F162" s="134"/>
      <c r="G162" s="178" t="s">
        <v>5</v>
      </c>
      <c r="H162" s="133" t="s">
        <v>298</v>
      </c>
      <c r="I162" s="212"/>
      <c r="J162" s="202"/>
      <c r="M162" s="147"/>
    </row>
    <row r="163" spans="1:13" x14ac:dyDescent="0.2">
      <c r="A163" s="195"/>
      <c r="B163" s="148"/>
      <c r="C163" s="157"/>
      <c r="D163" s="157"/>
      <c r="E163" s="141"/>
      <c r="F163" s="141"/>
      <c r="G163" s="156"/>
      <c r="H163" s="157"/>
      <c r="I163" s="212"/>
      <c r="J163" s="202"/>
      <c r="M163" s="147"/>
    </row>
    <row r="164" spans="1:13" x14ac:dyDescent="0.2">
      <c r="A164" s="195"/>
      <c r="B164" s="257" t="s">
        <v>413</v>
      </c>
      <c r="C164" s="257"/>
      <c r="D164" s="158"/>
      <c r="E164" s="158"/>
      <c r="F164" s="159"/>
      <c r="G164" s="160"/>
      <c r="H164" s="158"/>
      <c r="I164" s="212"/>
      <c r="J164" s="202"/>
      <c r="M164" s="147"/>
    </row>
    <row r="165" spans="1:13" x14ac:dyDescent="0.2">
      <c r="A165" s="195"/>
      <c r="B165" s="177">
        <v>41</v>
      </c>
      <c r="C165" s="131" t="s">
        <v>256</v>
      </c>
      <c r="D165" s="81">
        <f>frhpz/4</f>
        <v>5820.1608178552151</v>
      </c>
      <c r="E165" s="177"/>
      <c r="F165" s="177"/>
      <c r="G165" s="178" t="s">
        <v>5</v>
      </c>
      <c r="H165" s="133" t="s">
        <v>281</v>
      </c>
      <c r="I165" s="212"/>
      <c r="J165" s="202"/>
      <c r="M165" s="147"/>
    </row>
    <row r="166" spans="1:13" ht="12" customHeight="1" x14ac:dyDescent="0.2">
      <c r="A166" s="195"/>
      <c r="B166" s="177">
        <v>42</v>
      </c>
      <c r="C166" s="131" t="s">
        <v>257</v>
      </c>
      <c r="D166" s="81">
        <f>fsw/5</f>
        <v>150000</v>
      </c>
      <c r="E166" s="133"/>
      <c r="F166" s="133"/>
      <c r="G166" s="178" t="s">
        <v>5</v>
      </c>
      <c r="H166" s="133" t="s">
        <v>339</v>
      </c>
      <c r="I166" s="212"/>
      <c r="J166" s="202"/>
      <c r="M166" s="147"/>
    </row>
    <row r="167" spans="1:13" x14ac:dyDescent="0.2">
      <c r="A167" s="195"/>
      <c r="B167" s="177"/>
      <c r="C167" s="131" t="s">
        <v>371</v>
      </c>
      <c r="D167" s="100">
        <f>MIN(D166,D165)</f>
        <v>5820.1608178552151</v>
      </c>
      <c r="E167" s="133"/>
      <c r="F167" s="133"/>
      <c r="G167" s="178" t="s">
        <v>5</v>
      </c>
      <c r="H167" s="133" t="s">
        <v>69</v>
      </c>
      <c r="I167" s="198"/>
      <c r="J167" s="202"/>
      <c r="M167" s="147"/>
    </row>
    <row r="168" spans="1:13" x14ac:dyDescent="0.2">
      <c r="A168" s="195"/>
      <c r="B168" s="177"/>
      <c r="C168" s="131" t="s">
        <v>58</v>
      </c>
      <c r="D168" s="99">
        <f>VLOOKUP(MIN('Small Signal'!M4:M404),'Small Signal'!M4:AB404,16,FALSE)</f>
        <v>10.112294365844228</v>
      </c>
      <c r="E168" s="137"/>
      <c r="F168" s="133"/>
      <c r="G168" s="178" t="s">
        <v>11</v>
      </c>
      <c r="H168" s="133" t="s">
        <v>258</v>
      </c>
      <c r="I168" s="198"/>
      <c r="J168" s="202"/>
      <c r="M168" s="147"/>
    </row>
    <row r="169" spans="1:13" x14ac:dyDescent="0.2">
      <c r="A169" s="195"/>
      <c r="B169" s="177"/>
      <c r="C169" s="131" t="s">
        <v>58</v>
      </c>
      <c r="D169" s="101">
        <f>D168</f>
        <v>10.112294365844228</v>
      </c>
      <c r="E169" s="137"/>
      <c r="F169" s="133"/>
      <c r="G169" s="178" t="s">
        <v>11</v>
      </c>
      <c r="H169" s="133" t="s">
        <v>259</v>
      </c>
      <c r="I169" s="198"/>
      <c r="J169" s="202"/>
      <c r="M169" s="147"/>
    </row>
    <row r="170" spans="1:13" x14ac:dyDescent="0.2">
      <c r="A170" s="195"/>
      <c r="B170" s="177">
        <v>43</v>
      </c>
      <c r="C170" s="131" t="s">
        <v>114</v>
      </c>
      <c r="D170" s="81">
        <f>2*PI()*Co*40/3*Rsense*Vout*Fco_target*(Rsh+Rsl)/(Rsl*Vin_Min*gea)</f>
        <v>4958.6776859504134</v>
      </c>
      <c r="E170" s="94">
        <f>(IF((10^(LOG(D170)-INT(LOG(D170)))*100)-VLOOKUP((10^(LOG(D170)-INT(LOG(D170)))*100),E96_s:E96_f,1)&lt;VLOOKUP((10^(LOG(D170)-INT(LOG(D170)))*100),E96_s:E96_f,2)-(10^(LOG(D170)-INT(LOG(D170)))*100),VLOOKUP((10^(LOG(D170)-INT(LOG(D170)))*100),E96_s:E96_f,1),VLOOKUP((10^(LOG(D170)-INT(LOG(D170)))*100),E96_s:E96_f,2)))*10^INT(LOG(D170))/100</f>
        <v>4990</v>
      </c>
      <c r="F170" s="133"/>
      <c r="G170" s="178" t="s">
        <v>29</v>
      </c>
      <c r="H170" s="133" t="s">
        <v>372</v>
      </c>
      <c r="I170" s="198"/>
      <c r="J170" s="202"/>
      <c r="M170" s="147"/>
    </row>
    <row r="171" spans="1:13" x14ac:dyDescent="0.2">
      <c r="A171" s="195"/>
      <c r="B171" s="177"/>
      <c r="C171" s="131" t="s">
        <v>114</v>
      </c>
      <c r="D171" s="81">
        <f>1/(gea*Rsl/(Rsh+Rsl)*10^(PSgain_fco/20))</f>
        <v>5572.5460048861923</v>
      </c>
      <c r="E171" s="94">
        <f>(IF((10^(LOG(D171)-INT(LOG(D171)))*100)-VLOOKUP((10^(LOG(D171)-INT(LOG(D171)))*100),E96_s:E96_f,1)&lt;VLOOKUP((10^(LOG(D171)-INT(LOG(D171)))*100),E96_s:E96_f,2)-(10^(LOG(D171)-INT(LOG(D171)))*100),VLOOKUP((10^(LOG(D171)-INT(LOG(D171)))*100),E96_s:E96_f,1),VLOOKUP((10^(LOG(D171)-INT(LOG(D171)))*100),E96_s:E96_f,2)))*10^INT(LOG(D171))/100</f>
        <v>5620</v>
      </c>
      <c r="F171" s="133"/>
      <c r="G171" s="178" t="s">
        <v>29</v>
      </c>
      <c r="H171" s="133" t="s">
        <v>373</v>
      </c>
      <c r="I171" s="198"/>
      <c r="J171" s="202"/>
      <c r="M171" s="147"/>
    </row>
    <row r="172" spans="1:13" x14ac:dyDescent="0.2">
      <c r="A172" s="195"/>
      <c r="B172" s="177"/>
      <c r="C172" s="131" t="s">
        <v>282</v>
      </c>
      <c r="D172" s="100">
        <f>MIN(E170:E171)</f>
        <v>4990</v>
      </c>
      <c r="E172" s="133"/>
      <c r="F172" s="133"/>
      <c r="G172" s="178" t="s">
        <v>29</v>
      </c>
      <c r="H172" s="133" t="s">
        <v>86</v>
      </c>
      <c r="I172" s="198"/>
      <c r="J172" s="202"/>
      <c r="M172" s="147"/>
    </row>
    <row r="173" spans="1:13" x14ac:dyDescent="0.2">
      <c r="A173" s="195"/>
      <c r="B173" s="177">
        <v>44</v>
      </c>
      <c r="C173" s="131" t="s">
        <v>115</v>
      </c>
      <c r="D173" s="81">
        <f>1/(2*PI()*Rcomp*Fco_target/10)</f>
        <v>5.4800510111131356E-8</v>
      </c>
      <c r="E173" s="97">
        <f>IF(D173*10^12&lt;10000,IF((10^(LOG(D173*10^12)-INT(LOG(D173*10^12))))-VLOOKUP((10^(LOG(D173*10^12)-INT(LOG(D173*10^12)))),c_s1:C_f1,1)&lt;VLOOKUP((10^(LOG(D173*10^12)-INT(LOG(D173*10^12)))),c_s1:C_f1,2)-(10^(LOG(D173*10^12)-INT(LOG(D173*10^12)))),VLOOKUP((10^(LOG(D173*10^12)-INT(LOG(D173*10^12)))),c_s1:C_f1,1),VLOOKUP((10^(LOG(D173*10^12)-INT(LOG(D173*10^12)))),c_s1:C_f1,2))*10^INT(LOG(D173*10^12)),IF((10^(LOG(D173*10^12)-INT(LOG(D173*10^12))))-VLOOKUP((10^(LOG(D173*10^12)-INT(LOG(D173*10^12)))),C_s2:C_f2,1)&lt;VLOOKUP((10^(LOG(D173*10^12)-INT(LOG(D173*10^12)))),C_s2:C_f2,2)-(10^(LOG(D173*10^12)-INT(LOG(D173*10^12)))),VLOOKUP((10^(LOG(D173*10^12)-INT(LOG(D173*10^12)))),C_s2:C_f2,1),VLOOKUP((10^(LOG(D173*10^12)-INT(LOG(D173*10^12)))),C_s2:C_f2,2))*10^INT(LOG(D173*10^12)))*10^-12</f>
        <v>4.6999999999999997E-8</v>
      </c>
      <c r="F173" s="133"/>
      <c r="G173" s="178" t="s">
        <v>7</v>
      </c>
      <c r="H173" s="133" t="s">
        <v>87</v>
      </c>
      <c r="I173" s="198"/>
      <c r="J173" s="202"/>
      <c r="M173" s="147"/>
    </row>
    <row r="174" spans="1:13" x14ac:dyDescent="0.2">
      <c r="A174" s="195"/>
      <c r="B174" s="177"/>
      <c r="C174" s="131" t="s">
        <v>283</v>
      </c>
      <c r="D174" s="100">
        <f>E173</f>
        <v>4.6999999999999997E-8</v>
      </c>
      <c r="E174" s="133"/>
      <c r="F174" s="133"/>
      <c r="G174" s="178" t="s">
        <v>7</v>
      </c>
      <c r="H174" s="133" t="s">
        <v>88</v>
      </c>
      <c r="I174" s="198"/>
      <c r="J174" s="202"/>
      <c r="M174" s="147"/>
    </row>
    <row r="175" spans="1:13" x14ac:dyDescent="0.2">
      <c r="A175" s="195"/>
      <c r="B175" s="177">
        <v>46</v>
      </c>
      <c r="C175" s="131" t="s">
        <v>116</v>
      </c>
      <c r="D175" s="81">
        <f>1/(2*PI()*Rcomp*10*Fco_target)</f>
        <v>5.4800510111131358E-10</v>
      </c>
      <c r="E175" s="97">
        <f>IF(D175*10^12&lt;10000,IF((10^(LOG(D175*10^12)-INT(LOG(D175*10^12))))-VLOOKUP((10^(LOG(D175*10^12)-INT(LOG(D175*10^12)))),c_s1:C_f1,1)&lt;VLOOKUP((10^(LOG(D175*10^12)-INT(LOG(D175*10^12)))),c_s1:C_f1,2)-(10^(LOG(D175*10^12)-INT(LOG(D175*10^12)))),VLOOKUP((10^(LOG(D175*10^12)-INT(LOG(D175*10^12)))),c_s1:C_f1,1),VLOOKUP((10^(LOG(D175*10^12)-INT(LOG(D175*10^12)))),c_s1:C_f1,2))*10^INT(LOG(D175*10^12)),IF((10^(LOG(D175*10^12)-INT(LOG(D175*10^12))))-VLOOKUP((10^(LOG(D175*10^12)-INT(LOG(D175*10^12)))),C_s2:C_f2,1)&lt;VLOOKUP((10^(LOG(D175*10^12)-INT(LOG(D175*10^12)))),C_s2:C_f2,2)-(10^(LOG(D175*10^12)-INT(LOG(D175*10^12)))),VLOOKUP((10^(LOG(D175*10^12)-INT(LOG(D175*10^12)))),C_s2:C_f2,1),VLOOKUP((10^(LOG(D175*10^12)-INT(LOG(D175*10^12)))),C_s2:C_f2,2))*10^INT(LOG(D175*10^12)))*10^-12</f>
        <v>5.6000000000000003E-10</v>
      </c>
      <c r="F175" s="133"/>
      <c r="G175" s="178" t="s">
        <v>7</v>
      </c>
      <c r="H175" s="183" t="s">
        <v>89</v>
      </c>
      <c r="I175" s="198"/>
      <c r="J175" s="202"/>
      <c r="M175" s="147"/>
    </row>
    <row r="176" spans="1:13" x14ac:dyDescent="0.2">
      <c r="A176" s="195"/>
      <c r="B176" s="177">
        <v>45</v>
      </c>
      <c r="C176" s="131" t="s">
        <v>117</v>
      </c>
      <c r="D176" s="81">
        <f>Co*Co_esr/Rcomp</f>
        <v>4.4477844578044986E-11</v>
      </c>
      <c r="E176" s="97">
        <f>IF(D176*10^12&lt;10000,IF((10^(LOG(D176*10^12)-INT(LOG(D176*10^12))))-VLOOKUP((10^(LOG(D176*10^12)-INT(LOG(D176*10^12)))),c_s1:C_f1,1)&lt;VLOOKUP((10^(LOG(D176*10^12)-INT(LOG(D176*10^12)))),c_s1:C_f1,2)-(10^(LOG(D176*10^12)-INT(LOG(D176*10^12)))),VLOOKUP((10^(LOG(D176*10^12)-INT(LOG(D176*10^12)))),c_s1:C_f1,1),VLOOKUP((10^(LOG(D176*10^12)-INT(LOG(D176*10^12)))),c_s1:C_f1,2))*10^INT(LOG(D176*10^12)),IF((10^(LOG(D176*10^12)-INT(LOG(D176*10^12))))-VLOOKUP((10^(LOG(D176*10^12)-INT(LOG(D176*10^12)))),C_s2:C_f2,1)&lt;VLOOKUP((10^(LOG(D176*10^12)-INT(LOG(D176*10^12)))),C_s2:C_f2,2)-(10^(LOG(D176*10^12)-INT(LOG(D176*10^12)))),VLOOKUP((10^(LOG(D176*10^12)-INT(LOG(D176*10^12)))),C_s2:C_f2,1),VLOOKUP((10^(LOG(D176*10^12)-INT(LOG(D176*10^12)))),C_s2:C_f2,2))*10^INT(LOG(D176*10^12)))*10^-12</f>
        <v>4.6999999999999999E-11</v>
      </c>
      <c r="F176" s="133"/>
      <c r="G176" s="178" t="s">
        <v>7</v>
      </c>
      <c r="H176" s="183" t="s">
        <v>90</v>
      </c>
      <c r="I176" s="198"/>
      <c r="J176" s="202"/>
      <c r="M176" s="147"/>
    </row>
    <row r="177" spans="1:13" ht="12.75" customHeight="1" x14ac:dyDescent="0.2">
      <c r="A177" s="195"/>
      <c r="B177" s="177"/>
      <c r="C177" s="131" t="s">
        <v>284</v>
      </c>
      <c r="D177" s="100">
        <f>MAX(E175:E176)</f>
        <v>5.6000000000000003E-10</v>
      </c>
      <c r="E177" s="134"/>
      <c r="F177" s="133"/>
      <c r="G177" s="178"/>
      <c r="H177" s="183" t="s">
        <v>129</v>
      </c>
      <c r="I177" s="198"/>
      <c r="J177" s="202"/>
      <c r="M177" s="147"/>
    </row>
    <row r="178" spans="1:13" ht="12.75" customHeight="1" x14ac:dyDescent="0.2">
      <c r="A178" s="195"/>
      <c r="B178" s="177"/>
      <c r="C178" s="131" t="s">
        <v>38</v>
      </c>
      <c r="D178" s="81">
        <f>1/(2*PI()*Rea*Ccomp)</f>
        <v>0.33862753849339433</v>
      </c>
      <c r="E178" s="134"/>
      <c r="F178" s="134"/>
      <c r="G178" s="178" t="s">
        <v>5</v>
      </c>
      <c r="H178" s="133" t="s">
        <v>127</v>
      </c>
      <c r="I178" s="198"/>
      <c r="J178" s="202"/>
      <c r="M178" s="147"/>
    </row>
    <row r="179" spans="1:13" x14ac:dyDescent="0.2">
      <c r="A179" s="195"/>
      <c r="B179" s="177"/>
      <c r="C179" s="131" t="s">
        <v>39</v>
      </c>
      <c r="D179" s="81">
        <f>1/(2*PI()*Rcomp*Ccomp)</f>
        <v>678.61230158996864</v>
      </c>
      <c r="E179" s="134"/>
      <c r="F179" s="134"/>
      <c r="G179" s="178" t="s">
        <v>5</v>
      </c>
      <c r="H179" s="133" t="s">
        <v>128</v>
      </c>
      <c r="I179" s="198"/>
      <c r="J179" s="202"/>
      <c r="M179" s="147"/>
    </row>
    <row r="180" spans="1:13" x14ac:dyDescent="0.2">
      <c r="A180" s="195"/>
      <c r="B180" s="177"/>
      <c r="C180" s="131" t="s">
        <v>40</v>
      </c>
      <c r="D180" s="81">
        <f>(1/(2*PI()*Chf*Rcomp))</f>
        <v>56954.961026300931</v>
      </c>
      <c r="E180" s="134"/>
      <c r="F180" s="134"/>
      <c r="G180" s="178" t="s">
        <v>5</v>
      </c>
      <c r="H180" s="133" t="s">
        <v>260</v>
      </c>
      <c r="I180" s="198"/>
      <c r="J180" s="202"/>
      <c r="M180" s="147"/>
    </row>
    <row r="181" spans="1:13" ht="15" x14ac:dyDescent="0.25">
      <c r="A181" s="195"/>
      <c r="B181" s="169" t="s">
        <v>313</v>
      </c>
      <c r="C181" s="141"/>
      <c r="D181" s="141"/>
      <c r="E181" s="141"/>
      <c r="F181" s="141"/>
      <c r="G181" s="145"/>
      <c r="H181" s="141"/>
      <c r="I181" s="198"/>
      <c r="J181" s="202"/>
      <c r="M181" s="147"/>
    </row>
    <row r="182" spans="1:13" ht="15" x14ac:dyDescent="0.25">
      <c r="A182" s="195"/>
      <c r="B182" s="265" t="s">
        <v>48</v>
      </c>
      <c r="C182" s="266"/>
      <c r="D182" s="264" t="s">
        <v>9</v>
      </c>
      <c r="E182" s="265"/>
      <c r="F182" s="266"/>
      <c r="G182" s="118" t="s">
        <v>8</v>
      </c>
      <c r="H182" s="126" t="s">
        <v>422</v>
      </c>
      <c r="I182" s="198"/>
      <c r="J182" s="202"/>
      <c r="M182" s="147"/>
    </row>
    <row r="183" spans="1:13" ht="15" x14ac:dyDescent="0.25">
      <c r="A183" s="195"/>
      <c r="B183" s="170"/>
      <c r="C183" s="171"/>
      <c r="D183" s="184" t="s">
        <v>43</v>
      </c>
      <c r="E183" s="185" t="s">
        <v>44</v>
      </c>
      <c r="F183" s="186" t="s">
        <v>45</v>
      </c>
      <c r="G183" s="172"/>
      <c r="H183" s="173"/>
      <c r="I183" s="198"/>
      <c r="J183" s="202"/>
    </row>
    <row r="184" spans="1:13" ht="15" x14ac:dyDescent="0.25">
      <c r="A184" s="196"/>
      <c r="B184" s="156"/>
      <c r="C184" s="131" t="s">
        <v>23</v>
      </c>
      <c r="D184" s="187" t="s">
        <v>53</v>
      </c>
      <c r="E184" s="88"/>
      <c r="F184" s="88">
        <v>58</v>
      </c>
      <c r="G184" s="178" t="s">
        <v>3</v>
      </c>
      <c r="H184" s="133" t="s">
        <v>0</v>
      </c>
      <c r="I184" s="217"/>
      <c r="J184" s="207"/>
    </row>
    <row r="185" spans="1:13" ht="15" x14ac:dyDescent="0.25">
      <c r="A185" s="197"/>
      <c r="B185" s="156"/>
      <c r="C185" s="131" t="s">
        <v>53</v>
      </c>
      <c r="D185" s="88">
        <v>4.5</v>
      </c>
      <c r="E185" s="88"/>
      <c r="F185" s="88">
        <v>38</v>
      </c>
      <c r="G185" s="178" t="s">
        <v>3</v>
      </c>
      <c r="H185" s="133" t="s">
        <v>46</v>
      </c>
      <c r="I185" s="218"/>
      <c r="J185" s="207"/>
    </row>
    <row r="186" spans="1:13" x14ac:dyDescent="0.2">
      <c r="A186" s="195"/>
      <c r="B186" s="156"/>
      <c r="C186" s="131" t="s">
        <v>35</v>
      </c>
      <c r="D186" s="90">
        <v>50000</v>
      </c>
      <c r="E186" s="89"/>
      <c r="F186" s="89">
        <v>1200000</v>
      </c>
      <c r="G186" s="178" t="s">
        <v>5</v>
      </c>
      <c r="H186" s="133" t="s">
        <v>47</v>
      </c>
      <c r="I186" s="198"/>
      <c r="J186" s="213"/>
    </row>
    <row r="187" spans="1:13" x14ac:dyDescent="0.2">
      <c r="A187" s="195"/>
      <c r="B187" s="156"/>
      <c r="C187" s="131" t="s">
        <v>174</v>
      </c>
      <c r="D187" s="188"/>
      <c r="E187" s="89">
        <f>0.0011</f>
        <v>1.1000000000000001E-3</v>
      </c>
      <c r="F187" s="90"/>
      <c r="G187" s="178" t="s">
        <v>1</v>
      </c>
      <c r="H187" s="133" t="s">
        <v>16</v>
      </c>
      <c r="I187" s="198"/>
      <c r="J187" s="213"/>
    </row>
    <row r="188" spans="1:13" x14ac:dyDescent="0.2">
      <c r="A188" s="195"/>
      <c r="B188" s="156"/>
      <c r="C188" s="131" t="s">
        <v>54</v>
      </c>
      <c r="D188" s="188"/>
      <c r="E188" s="90">
        <f>10*10^6</f>
        <v>10000000</v>
      </c>
      <c r="F188" s="188"/>
      <c r="G188" s="178" t="s">
        <v>29</v>
      </c>
      <c r="H188" s="133" t="s">
        <v>17</v>
      </c>
      <c r="I188" s="198"/>
      <c r="J188" s="213"/>
    </row>
    <row r="189" spans="1:13" x14ac:dyDescent="0.2">
      <c r="A189" s="195"/>
      <c r="B189" s="156"/>
      <c r="C189" s="131" t="s">
        <v>55</v>
      </c>
      <c r="D189" s="188"/>
      <c r="E189" s="88">
        <v>1.22</v>
      </c>
      <c r="F189" s="188"/>
      <c r="G189" s="178" t="s">
        <v>3</v>
      </c>
      <c r="H189" s="133" t="s">
        <v>18</v>
      </c>
      <c r="I189" s="198"/>
      <c r="J189" s="202"/>
    </row>
    <row r="190" spans="1:13" x14ac:dyDescent="0.2">
      <c r="A190" s="195"/>
      <c r="B190" s="156"/>
      <c r="C190" s="131" t="s">
        <v>232</v>
      </c>
      <c r="D190" s="188"/>
      <c r="E190" s="90">
        <v>9.9999999999999995E-8</v>
      </c>
      <c r="F190" s="188"/>
      <c r="G190" s="178" t="s">
        <v>42</v>
      </c>
      <c r="H190" s="133" t="s">
        <v>32</v>
      </c>
      <c r="I190" s="198"/>
      <c r="J190" s="202"/>
    </row>
    <row r="191" spans="1:13" x14ac:dyDescent="0.2">
      <c r="A191" s="195"/>
      <c r="B191" s="156"/>
      <c r="C191" s="131" t="s">
        <v>233</v>
      </c>
      <c r="D191" s="188"/>
      <c r="E191" s="90">
        <v>2.4999999999999999E-7</v>
      </c>
      <c r="F191" s="188"/>
      <c r="G191" s="178" t="s">
        <v>42</v>
      </c>
      <c r="H191" s="133" t="s">
        <v>193</v>
      </c>
      <c r="I191" s="198"/>
      <c r="J191" s="202"/>
    </row>
    <row r="192" spans="1:13" x14ac:dyDescent="0.2">
      <c r="A192" s="195"/>
      <c r="B192" s="156"/>
      <c r="C192" s="131" t="s">
        <v>341</v>
      </c>
      <c r="D192" s="91">
        <v>6.4000000000000001E-2</v>
      </c>
      <c r="E192" s="91">
        <v>7.2999999999999995E-2</v>
      </c>
      <c r="F192" s="91">
        <v>8.2000000000000003E-2</v>
      </c>
      <c r="G192" s="178" t="s">
        <v>3</v>
      </c>
      <c r="H192" s="133" t="s">
        <v>247</v>
      </c>
      <c r="I192" s="198"/>
      <c r="J192" s="202"/>
    </row>
    <row r="193" spans="1:10" x14ac:dyDescent="0.2">
      <c r="A193" s="195"/>
      <c r="B193" s="156"/>
      <c r="C193" s="131" t="s">
        <v>342</v>
      </c>
      <c r="D193" s="91">
        <v>5.0999999999999997E-2</v>
      </c>
      <c r="E193" s="91">
        <v>6.0999999999999999E-2</v>
      </c>
      <c r="F193" s="91">
        <v>7.1999999999999995E-2</v>
      </c>
      <c r="G193" s="178" t="s">
        <v>3</v>
      </c>
      <c r="H193" s="133" t="s">
        <v>246</v>
      </c>
      <c r="I193" s="198"/>
      <c r="J193" s="202"/>
    </row>
    <row r="194" spans="1:10" x14ac:dyDescent="0.2">
      <c r="A194" s="195"/>
      <c r="B194" s="156"/>
      <c r="C194" s="131" t="s">
        <v>229</v>
      </c>
      <c r="D194" s="91"/>
      <c r="E194" s="106">
        <f>LOOKUP($D$4,partdata!A4:A5,partdata!B4:B5)</f>
        <v>5.5</v>
      </c>
      <c r="F194" s="91"/>
      <c r="G194" s="178" t="s">
        <v>3</v>
      </c>
      <c r="H194" s="133" t="s">
        <v>248</v>
      </c>
      <c r="I194" s="198"/>
      <c r="J194" s="202"/>
    </row>
    <row r="195" spans="1:10" x14ac:dyDescent="0.2">
      <c r="A195" s="195"/>
      <c r="B195" s="156"/>
      <c r="C195" s="131" t="s">
        <v>224</v>
      </c>
      <c r="D195" s="91"/>
      <c r="E195" s="91">
        <f>LOOKUP($D$4,partdata!A4:A5,partdata!C4:C5)</f>
        <v>0.75</v>
      </c>
      <c r="F195" s="91"/>
      <c r="G195" s="178" t="s">
        <v>3</v>
      </c>
      <c r="H195" s="133" t="s">
        <v>249</v>
      </c>
      <c r="I195" s="198"/>
      <c r="J195" s="202"/>
    </row>
    <row r="196" spans="1:10" x14ac:dyDescent="0.2">
      <c r="A196" s="195"/>
      <c r="B196" s="156"/>
      <c r="C196" s="131" t="s">
        <v>323</v>
      </c>
      <c r="D196" s="91"/>
      <c r="E196" s="90">
        <v>6.5E-8</v>
      </c>
      <c r="F196" s="91"/>
      <c r="G196" s="178" t="s">
        <v>42</v>
      </c>
      <c r="H196" s="133" t="s">
        <v>322</v>
      </c>
      <c r="I196" s="198"/>
      <c r="J196" s="202"/>
    </row>
    <row r="197" spans="1:10" x14ac:dyDescent="0.2">
      <c r="A197" s="195"/>
      <c r="B197" s="156"/>
      <c r="C197" s="131" t="s">
        <v>275</v>
      </c>
      <c r="D197" s="91"/>
      <c r="E197" s="106">
        <f>LOOKUP($D$4,partdata!A4:A5,partdata!D4:D5)</f>
        <v>2.5</v>
      </c>
      <c r="F197" s="91"/>
      <c r="G197" s="178" t="s">
        <v>29</v>
      </c>
      <c r="H197" s="133" t="s">
        <v>273</v>
      </c>
      <c r="I197" s="198"/>
      <c r="J197" s="202"/>
    </row>
    <row r="198" spans="1:10" x14ac:dyDescent="0.2">
      <c r="A198" s="195"/>
      <c r="B198" s="156"/>
      <c r="C198" s="131" t="s">
        <v>274</v>
      </c>
      <c r="D198" s="91"/>
      <c r="E198" s="106">
        <f>LOOKUP($D$4,partdata!A4:A5,partdata!E4:E5)</f>
        <v>1.6</v>
      </c>
      <c r="F198" s="91"/>
      <c r="G198" s="178" t="s">
        <v>29</v>
      </c>
      <c r="H198" s="133" t="s">
        <v>278</v>
      </c>
      <c r="I198" s="198"/>
      <c r="J198" s="202"/>
    </row>
    <row r="199" spans="1:10" x14ac:dyDescent="0.2">
      <c r="A199" s="195"/>
      <c r="B199" s="156"/>
      <c r="C199" s="131" t="s">
        <v>276</v>
      </c>
      <c r="D199" s="91"/>
      <c r="E199" s="106">
        <f>LOOKUP($D$4,partdata!A4:A5,partdata!F4:F5)</f>
        <v>5</v>
      </c>
      <c r="F199" s="91"/>
      <c r="G199" s="178" t="s">
        <v>29</v>
      </c>
      <c r="H199" s="133" t="s">
        <v>279</v>
      </c>
      <c r="I199" s="198"/>
      <c r="J199" s="202"/>
    </row>
    <row r="200" spans="1:10" x14ac:dyDescent="0.2">
      <c r="A200" s="195"/>
      <c r="B200" s="156"/>
      <c r="C200" s="131" t="s">
        <v>277</v>
      </c>
      <c r="D200" s="91"/>
      <c r="E200" s="106">
        <f>LOOKUP($D$4,partdata!A4:A5,partdata!G4:G5)</f>
        <v>3</v>
      </c>
      <c r="F200" s="91"/>
      <c r="G200" s="178" t="s">
        <v>29</v>
      </c>
      <c r="H200" s="133" t="s">
        <v>280</v>
      </c>
      <c r="I200" s="198"/>
      <c r="J200" s="202"/>
    </row>
    <row r="201" spans="1:10" x14ac:dyDescent="0.2">
      <c r="A201" s="195"/>
      <c r="B201" s="156"/>
      <c r="C201" s="131" t="s">
        <v>236</v>
      </c>
      <c r="D201" s="91"/>
      <c r="E201" s="96">
        <v>1.21</v>
      </c>
      <c r="F201" s="91"/>
      <c r="G201" s="178" t="s">
        <v>3</v>
      </c>
      <c r="H201" s="133" t="s">
        <v>250</v>
      </c>
      <c r="I201" s="198"/>
      <c r="J201" s="202"/>
    </row>
    <row r="202" spans="1:10" x14ac:dyDescent="0.2">
      <c r="A202" s="195"/>
      <c r="B202" s="156"/>
      <c r="C202" s="131" t="s">
        <v>239</v>
      </c>
      <c r="D202" s="91"/>
      <c r="E202" s="96">
        <v>1.1399999999999999</v>
      </c>
      <c r="F202" s="91"/>
      <c r="G202" s="178" t="s">
        <v>3</v>
      </c>
      <c r="H202" s="133" t="s">
        <v>251</v>
      </c>
      <c r="I202" s="198"/>
      <c r="J202" s="202"/>
    </row>
    <row r="203" spans="1:10" x14ac:dyDescent="0.2">
      <c r="A203" s="195"/>
      <c r="B203" s="156"/>
      <c r="C203" s="131" t="s">
        <v>237</v>
      </c>
      <c r="D203" s="91"/>
      <c r="E203" s="89">
        <v>1.7999999999999999E-6</v>
      </c>
      <c r="F203" s="91"/>
      <c r="G203" s="178" t="s">
        <v>42</v>
      </c>
      <c r="H203" s="133" t="s">
        <v>252</v>
      </c>
      <c r="I203" s="198"/>
      <c r="J203" s="202"/>
    </row>
    <row r="204" spans="1:10" x14ac:dyDescent="0.2">
      <c r="A204" s="195"/>
      <c r="B204" s="156"/>
      <c r="C204" s="131" t="s">
        <v>238</v>
      </c>
      <c r="D204" s="91"/>
      <c r="E204" s="89">
        <v>3.1999999999999999E-6</v>
      </c>
      <c r="F204" s="91"/>
      <c r="G204" s="178" t="s">
        <v>42</v>
      </c>
      <c r="H204" s="133" t="s">
        <v>253</v>
      </c>
      <c r="I204" s="198"/>
      <c r="J204" s="202"/>
    </row>
    <row r="205" spans="1:10" x14ac:dyDescent="0.2">
      <c r="A205" s="195"/>
      <c r="B205" s="156"/>
      <c r="C205" s="131" t="s">
        <v>240</v>
      </c>
      <c r="D205" s="91"/>
      <c r="E205" s="90">
        <v>5.9999999999999995E-4</v>
      </c>
      <c r="F205" s="91"/>
      <c r="G205" s="178" t="s">
        <v>2</v>
      </c>
      <c r="H205" s="133" t="s">
        <v>254</v>
      </c>
      <c r="I205" s="198"/>
      <c r="J205" s="202"/>
    </row>
    <row r="206" spans="1:10" x14ac:dyDescent="0.2">
      <c r="A206" s="195"/>
      <c r="B206" s="156"/>
      <c r="C206" s="131" t="s">
        <v>245</v>
      </c>
      <c r="D206" s="91"/>
      <c r="E206" s="90">
        <v>5.0000000000000004E-6</v>
      </c>
      <c r="F206" s="91"/>
      <c r="G206" s="178" t="s">
        <v>2</v>
      </c>
      <c r="H206" s="133" t="s">
        <v>255</v>
      </c>
      <c r="I206" s="198"/>
      <c r="J206" s="202"/>
    </row>
    <row r="207" spans="1:10" x14ac:dyDescent="0.2">
      <c r="A207" s="195"/>
      <c r="B207" s="199"/>
      <c r="C207" s="193"/>
      <c r="D207" s="193"/>
      <c r="E207" s="193"/>
      <c r="F207" s="193"/>
      <c r="G207" s="200"/>
      <c r="H207" s="193"/>
      <c r="I207" s="198"/>
      <c r="J207" s="202"/>
    </row>
    <row r="208" spans="1:10" x14ac:dyDescent="0.2">
      <c r="A208" s="195"/>
      <c r="B208" s="203"/>
      <c r="C208" s="204"/>
      <c r="D208" s="204"/>
      <c r="E208" s="204"/>
      <c r="F208" s="204"/>
      <c r="G208" s="205"/>
      <c r="H208" s="204"/>
      <c r="I208" s="198"/>
      <c r="J208" s="202"/>
    </row>
    <row r="209" spans="1:10" x14ac:dyDescent="0.2">
      <c r="A209" s="141"/>
      <c r="B209" s="156"/>
      <c r="C209" s="141"/>
      <c r="D209" s="141"/>
      <c r="E209" s="141"/>
      <c r="F209" s="141"/>
      <c r="G209" s="145"/>
      <c r="H209" s="141"/>
      <c r="I209" s="141"/>
      <c r="J209" s="146"/>
    </row>
    <row r="210" spans="1:10" x14ac:dyDescent="0.2">
      <c r="A210" s="141"/>
      <c r="B210" s="156"/>
      <c r="C210" s="141"/>
      <c r="D210" s="141"/>
      <c r="E210" s="141"/>
      <c r="F210" s="141"/>
      <c r="G210" s="145"/>
      <c r="H210" s="141"/>
      <c r="I210" s="141"/>
      <c r="J210" s="146"/>
    </row>
    <row r="211" spans="1:10" x14ac:dyDescent="0.2">
      <c r="A211" s="141"/>
      <c r="B211" s="156"/>
      <c r="C211" s="141"/>
      <c r="D211" s="141"/>
      <c r="E211" s="141"/>
      <c r="F211" s="141"/>
      <c r="G211" s="145"/>
      <c r="H211" s="141"/>
      <c r="I211" s="141"/>
      <c r="J211" s="146"/>
    </row>
    <row r="212" spans="1:10" x14ac:dyDescent="0.2">
      <c r="A212" s="141"/>
      <c r="B212" s="156"/>
      <c r="C212" s="141"/>
      <c r="D212" s="141"/>
      <c r="E212" s="141"/>
      <c r="F212" s="141"/>
      <c r="G212" s="145"/>
      <c r="H212" s="141"/>
      <c r="I212" s="141"/>
      <c r="J212" s="146"/>
    </row>
    <row r="213" spans="1:10" x14ac:dyDescent="0.2">
      <c r="A213" s="141"/>
      <c r="B213" s="156"/>
      <c r="C213" s="141"/>
      <c r="D213" s="141"/>
      <c r="E213" s="141"/>
      <c r="F213" s="141"/>
      <c r="G213" s="145"/>
      <c r="H213" s="141"/>
      <c r="I213" s="141"/>
      <c r="J213" s="146"/>
    </row>
    <row r="214" spans="1:10" x14ac:dyDescent="0.2">
      <c r="A214" s="141"/>
      <c r="B214" s="156"/>
      <c r="C214" s="141"/>
      <c r="D214" s="141"/>
      <c r="E214" s="141"/>
      <c r="F214" s="141"/>
      <c r="G214" s="145"/>
      <c r="H214" s="141"/>
      <c r="I214" s="141"/>
      <c r="J214" s="146"/>
    </row>
    <row r="215" spans="1:10" x14ac:dyDescent="0.2">
      <c r="A215" s="141"/>
      <c r="B215" s="156"/>
      <c r="C215" s="141"/>
      <c r="D215" s="141"/>
      <c r="E215" s="141"/>
      <c r="F215" s="141"/>
      <c r="G215" s="145"/>
      <c r="H215" s="141"/>
      <c r="I215" s="141"/>
      <c r="J215" s="146"/>
    </row>
    <row r="216" spans="1:10" x14ac:dyDescent="0.2">
      <c r="A216" s="141"/>
      <c r="B216" s="156"/>
      <c r="C216" s="141"/>
      <c r="D216" s="141"/>
      <c r="E216" s="141"/>
      <c r="F216" s="141"/>
      <c r="G216" s="145"/>
      <c r="H216" s="141"/>
      <c r="I216" s="141"/>
      <c r="J216" s="146"/>
    </row>
    <row r="217" spans="1:10" x14ac:dyDescent="0.2">
      <c r="A217" s="141"/>
      <c r="B217" s="156"/>
      <c r="C217" s="141"/>
      <c r="D217" s="141"/>
      <c r="E217" s="141"/>
      <c r="F217" s="141"/>
      <c r="G217" s="145"/>
      <c r="H217" s="141"/>
      <c r="I217" s="141"/>
      <c r="J217" s="146"/>
    </row>
    <row r="218" spans="1:10" x14ac:dyDescent="0.2">
      <c r="A218" s="141"/>
      <c r="B218" s="156"/>
      <c r="C218" s="141"/>
      <c r="D218" s="141"/>
      <c r="E218" s="141"/>
      <c r="F218" s="141"/>
      <c r="G218" s="145"/>
      <c r="H218" s="141"/>
      <c r="I218" s="141"/>
      <c r="J218" s="146"/>
    </row>
    <row r="219" spans="1:10" x14ac:dyDescent="0.2">
      <c r="A219" s="141"/>
      <c r="B219" s="156"/>
      <c r="C219" s="141"/>
      <c r="D219" s="141"/>
      <c r="E219" s="141"/>
      <c r="F219" s="141"/>
      <c r="G219" s="145"/>
      <c r="H219" s="141"/>
      <c r="I219" s="141"/>
      <c r="J219" s="146"/>
    </row>
    <row r="220" spans="1:10" x14ac:dyDescent="0.2">
      <c r="A220" s="141"/>
      <c r="B220" s="156"/>
      <c r="C220" s="141"/>
      <c r="D220" s="141"/>
      <c r="E220" s="141"/>
      <c r="F220" s="141"/>
      <c r="G220" s="145"/>
      <c r="H220" s="141"/>
      <c r="I220" s="141"/>
      <c r="J220" s="146"/>
    </row>
    <row r="221" spans="1:10" x14ac:dyDescent="0.2">
      <c r="A221" s="141"/>
      <c r="B221" s="156"/>
      <c r="C221" s="141"/>
      <c r="D221" s="141"/>
      <c r="E221" s="141"/>
      <c r="F221" s="141"/>
      <c r="G221" s="145"/>
      <c r="H221" s="141"/>
      <c r="I221" s="141"/>
      <c r="J221" s="146"/>
    </row>
    <row r="222" spans="1:10" x14ac:dyDescent="0.2">
      <c r="A222" s="141"/>
      <c r="B222" s="156"/>
      <c r="C222" s="141"/>
      <c r="D222" s="141"/>
      <c r="E222" s="141"/>
      <c r="F222" s="141"/>
      <c r="G222" s="145"/>
      <c r="H222" s="141"/>
      <c r="I222" s="141"/>
      <c r="J222" s="146"/>
    </row>
    <row r="223" spans="1:10" x14ac:dyDescent="0.2">
      <c r="A223" s="141"/>
      <c r="B223" s="156"/>
      <c r="C223" s="141"/>
      <c r="D223" s="141"/>
      <c r="E223" s="141"/>
      <c r="F223" s="141"/>
      <c r="G223" s="145"/>
      <c r="H223" s="141"/>
      <c r="I223" s="141"/>
      <c r="J223" s="146"/>
    </row>
    <row r="224" spans="1:10" x14ac:dyDescent="0.2">
      <c r="A224" s="141"/>
      <c r="B224" s="156"/>
      <c r="C224" s="141"/>
      <c r="D224" s="141"/>
      <c r="E224" s="141"/>
      <c r="F224" s="141"/>
      <c r="G224" s="145"/>
      <c r="H224" s="141"/>
      <c r="I224" s="141"/>
      <c r="J224" s="146"/>
    </row>
    <row r="225" spans="1:10" x14ac:dyDescent="0.2">
      <c r="A225" s="141"/>
      <c r="B225" s="156"/>
      <c r="C225" s="141"/>
      <c r="D225" s="141"/>
      <c r="E225" s="141"/>
      <c r="F225" s="141"/>
      <c r="G225" s="145"/>
      <c r="H225" s="141"/>
      <c r="I225" s="141"/>
      <c r="J225" s="146"/>
    </row>
    <row r="226" spans="1:10" x14ac:dyDescent="0.2">
      <c r="A226" s="141"/>
      <c r="B226" s="156"/>
      <c r="C226" s="141"/>
      <c r="D226" s="141"/>
      <c r="E226" s="141"/>
      <c r="F226" s="141"/>
      <c r="G226" s="145"/>
      <c r="H226" s="141"/>
      <c r="I226" s="141"/>
      <c r="J226" s="146"/>
    </row>
    <row r="227" spans="1:10" x14ac:dyDescent="0.2">
      <c r="A227" s="141"/>
      <c r="B227" s="156"/>
      <c r="C227" s="141"/>
      <c r="D227" s="141"/>
      <c r="E227" s="141"/>
      <c r="F227" s="141"/>
      <c r="G227" s="145"/>
      <c r="H227" s="141"/>
      <c r="I227" s="141"/>
      <c r="J227" s="146"/>
    </row>
    <row r="228" spans="1:10" x14ac:dyDescent="0.2">
      <c r="A228" s="141"/>
      <c r="B228" s="156"/>
      <c r="C228" s="141"/>
      <c r="D228" s="141"/>
      <c r="E228" s="141"/>
      <c r="F228" s="141"/>
      <c r="G228" s="145"/>
      <c r="H228" s="141"/>
      <c r="I228" s="141"/>
      <c r="J228" s="146"/>
    </row>
    <row r="229" spans="1:10" x14ac:dyDescent="0.2">
      <c r="A229" s="141"/>
      <c r="B229" s="156"/>
      <c r="C229" s="141"/>
      <c r="D229" s="141"/>
      <c r="E229" s="141"/>
      <c r="F229" s="141"/>
      <c r="G229" s="145"/>
      <c r="H229" s="141"/>
      <c r="I229" s="141"/>
      <c r="J229" s="146"/>
    </row>
    <row r="230" spans="1:10" x14ac:dyDescent="0.2">
      <c r="A230" s="141"/>
      <c r="B230" s="156"/>
      <c r="C230" s="141"/>
      <c r="D230" s="141"/>
      <c r="E230" s="141"/>
      <c r="F230" s="141"/>
      <c r="G230" s="145"/>
      <c r="H230" s="141"/>
      <c r="I230" s="141"/>
      <c r="J230" s="146"/>
    </row>
    <row r="231" spans="1:10" x14ac:dyDescent="0.2">
      <c r="A231" s="141"/>
      <c r="B231" s="156"/>
      <c r="C231" s="141"/>
      <c r="D231" s="141"/>
      <c r="E231" s="141"/>
      <c r="F231" s="141"/>
      <c r="G231" s="145"/>
      <c r="H231" s="141"/>
      <c r="I231" s="141"/>
      <c r="J231" s="146"/>
    </row>
    <row r="232" spans="1:10" x14ac:dyDescent="0.2">
      <c r="A232" s="141"/>
      <c r="B232" s="156"/>
      <c r="C232" s="141"/>
      <c r="D232" s="141"/>
      <c r="E232" s="141"/>
      <c r="F232" s="141"/>
      <c r="G232" s="145"/>
      <c r="H232" s="141"/>
      <c r="I232" s="141"/>
      <c r="J232" s="146"/>
    </row>
    <row r="233" spans="1:10" x14ac:dyDescent="0.2">
      <c r="A233" s="141"/>
      <c r="B233" s="156"/>
      <c r="C233" s="141"/>
      <c r="D233" s="141"/>
      <c r="E233" s="141"/>
      <c r="F233" s="141"/>
      <c r="G233" s="145"/>
      <c r="H233" s="141"/>
      <c r="I233" s="141"/>
      <c r="J233" s="146"/>
    </row>
    <row r="234" spans="1:10" x14ac:dyDescent="0.2">
      <c r="A234" s="141"/>
      <c r="B234" s="156"/>
      <c r="C234" s="141"/>
      <c r="D234" s="141"/>
      <c r="E234" s="141"/>
      <c r="F234" s="141"/>
      <c r="G234" s="145"/>
      <c r="H234" s="141"/>
      <c r="I234" s="141"/>
      <c r="J234" s="146"/>
    </row>
    <row r="235" spans="1:10" x14ac:dyDescent="0.2">
      <c r="A235" s="141"/>
      <c r="B235" s="156"/>
      <c r="C235" s="141"/>
      <c r="D235" s="141"/>
      <c r="E235" s="141"/>
      <c r="F235" s="141"/>
      <c r="G235" s="145"/>
      <c r="H235" s="141"/>
      <c r="I235" s="141"/>
      <c r="J235" s="146"/>
    </row>
    <row r="236" spans="1:10" x14ac:dyDescent="0.2">
      <c r="A236" s="141"/>
      <c r="B236" s="156"/>
      <c r="C236" s="141"/>
      <c r="D236" s="141"/>
      <c r="E236" s="141"/>
      <c r="F236" s="141"/>
      <c r="G236" s="145"/>
      <c r="H236" s="141"/>
      <c r="I236" s="141"/>
      <c r="J236" s="146"/>
    </row>
    <row r="237" spans="1:10" x14ac:dyDescent="0.2">
      <c r="A237" s="141"/>
      <c r="B237" s="156"/>
      <c r="C237" s="141"/>
      <c r="D237" s="141"/>
      <c r="E237" s="141"/>
      <c r="F237" s="141"/>
      <c r="G237" s="145"/>
      <c r="H237" s="141"/>
      <c r="I237" s="141"/>
      <c r="J237" s="146"/>
    </row>
    <row r="238" spans="1:10" x14ac:dyDescent="0.2">
      <c r="A238" s="141"/>
      <c r="B238" s="156"/>
      <c r="C238" s="141"/>
      <c r="D238" s="141"/>
      <c r="E238" s="141"/>
      <c r="F238" s="141"/>
      <c r="G238" s="145"/>
      <c r="H238" s="141"/>
      <c r="I238" s="141"/>
      <c r="J238" s="146"/>
    </row>
    <row r="239" spans="1:10" x14ac:dyDescent="0.2">
      <c r="A239" s="141"/>
      <c r="B239" s="156"/>
      <c r="C239" s="141"/>
      <c r="D239" s="141"/>
      <c r="E239" s="141"/>
      <c r="F239" s="141"/>
      <c r="G239" s="145"/>
      <c r="H239" s="141"/>
      <c r="I239" s="141"/>
      <c r="J239" s="146"/>
    </row>
    <row r="240" spans="1:10" x14ac:dyDescent="0.2">
      <c r="A240" s="141"/>
      <c r="B240" s="156"/>
      <c r="C240" s="141"/>
      <c r="D240" s="141"/>
      <c r="E240" s="141"/>
      <c r="F240" s="141"/>
      <c r="G240" s="145"/>
      <c r="H240" s="141"/>
      <c r="I240" s="141"/>
      <c r="J240" s="146"/>
    </row>
    <row r="241" spans="1:10" x14ac:dyDescent="0.2">
      <c r="A241" s="141"/>
      <c r="B241" s="156"/>
      <c r="C241" s="141"/>
      <c r="D241" s="141"/>
      <c r="E241" s="141"/>
      <c r="F241" s="141"/>
      <c r="G241" s="145"/>
      <c r="H241" s="141"/>
      <c r="I241" s="141"/>
      <c r="J241" s="146"/>
    </row>
    <row r="242" spans="1:10" x14ac:dyDescent="0.2">
      <c r="A242" s="141"/>
      <c r="B242" s="156"/>
      <c r="C242" s="141"/>
      <c r="D242" s="141"/>
      <c r="E242" s="141"/>
      <c r="F242" s="141"/>
      <c r="G242" s="145"/>
      <c r="H242" s="141"/>
      <c r="I242" s="141"/>
      <c r="J242" s="146"/>
    </row>
    <row r="243" spans="1:10" x14ac:dyDescent="0.2">
      <c r="A243" s="141"/>
      <c r="B243" s="156"/>
      <c r="C243" s="141"/>
      <c r="D243" s="141"/>
      <c r="E243" s="141"/>
      <c r="F243" s="141"/>
      <c r="G243" s="145"/>
      <c r="H243" s="141"/>
      <c r="I243" s="141"/>
      <c r="J243" s="146"/>
    </row>
    <row r="244" spans="1:10" x14ac:dyDescent="0.2">
      <c r="A244" s="141"/>
      <c r="B244" s="156"/>
      <c r="C244" s="141"/>
      <c r="D244" s="141"/>
      <c r="E244" s="141"/>
      <c r="F244" s="141"/>
      <c r="G244" s="145"/>
      <c r="H244" s="141"/>
      <c r="I244" s="141"/>
      <c r="J244" s="146"/>
    </row>
    <row r="245" spans="1:10" x14ac:dyDescent="0.2">
      <c r="A245" s="141"/>
      <c r="B245" s="156"/>
      <c r="C245" s="141"/>
      <c r="D245" s="141"/>
      <c r="E245" s="141"/>
      <c r="F245" s="141"/>
      <c r="G245" s="145"/>
      <c r="H245" s="141"/>
      <c r="I245" s="141"/>
      <c r="J245" s="146"/>
    </row>
    <row r="246" spans="1:10" x14ac:dyDescent="0.2">
      <c r="A246" s="141"/>
      <c r="B246" s="156"/>
      <c r="C246" s="141"/>
      <c r="D246" s="141"/>
      <c r="E246" s="141"/>
      <c r="F246" s="141"/>
      <c r="G246" s="145"/>
      <c r="H246" s="141"/>
      <c r="I246" s="141"/>
      <c r="J246" s="146"/>
    </row>
    <row r="247" spans="1:10" x14ac:dyDescent="0.2">
      <c r="A247" s="141"/>
      <c r="B247" s="156"/>
      <c r="C247" s="141"/>
      <c r="D247" s="141"/>
      <c r="E247" s="141"/>
      <c r="F247" s="141"/>
      <c r="G247" s="145"/>
      <c r="H247" s="141"/>
      <c r="I247" s="141"/>
      <c r="J247" s="146"/>
    </row>
    <row r="248" spans="1:10" x14ac:dyDescent="0.2">
      <c r="A248" s="141"/>
      <c r="B248" s="156"/>
      <c r="C248" s="141"/>
      <c r="D248" s="141"/>
      <c r="E248" s="141"/>
      <c r="F248" s="141"/>
      <c r="G248" s="145"/>
      <c r="H248" s="141"/>
      <c r="I248" s="141"/>
      <c r="J248" s="146"/>
    </row>
    <row r="249" spans="1:10" x14ac:dyDescent="0.2">
      <c r="A249" s="141"/>
      <c r="B249" s="156"/>
      <c r="C249" s="141"/>
      <c r="D249" s="141"/>
      <c r="E249" s="141"/>
      <c r="F249" s="141"/>
      <c r="G249" s="145"/>
      <c r="H249" s="141"/>
      <c r="I249" s="141"/>
      <c r="J249" s="146"/>
    </row>
    <row r="250" spans="1:10" x14ac:dyDescent="0.2">
      <c r="A250" s="141"/>
      <c r="B250" s="156"/>
      <c r="C250" s="141"/>
      <c r="D250" s="141"/>
      <c r="E250" s="141"/>
      <c r="F250" s="141"/>
      <c r="G250" s="145"/>
      <c r="H250" s="141"/>
      <c r="I250" s="141"/>
      <c r="J250" s="146"/>
    </row>
    <row r="251" spans="1:10" x14ac:dyDescent="0.2">
      <c r="A251" s="141"/>
      <c r="B251" s="156"/>
      <c r="C251" s="141"/>
      <c r="D251" s="141"/>
      <c r="E251" s="141"/>
      <c r="F251" s="141"/>
      <c r="G251" s="145"/>
      <c r="H251" s="141"/>
      <c r="I251" s="141"/>
      <c r="J251" s="146"/>
    </row>
    <row r="252" spans="1:10" x14ac:dyDescent="0.2">
      <c r="A252" s="141"/>
      <c r="B252" s="156"/>
      <c r="C252" s="141"/>
      <c r="D252" s="141"/>
      <c r="E252" s="141"/>
      <c r="F252" s="141"/>
      <c r="G252" s="145"/>
      <c r="H252" s="141"/>
      <c r="I252" s="141"/>
      <c r="J252" s="146"/>
    </row>
    <row r="253" spans="1:10" x14ac:dyDescent="0.2">
      <c r="A253" s="141"/>
      <c r="B253" s="156"/>
      <c r="C253" s="141"/>
      <c r="D253" s="141"/>
      <c r="E253" s="141"/>
      <c r="F253" s="141"/>
      <c r="G253" s="145"/>
      <c r="H253" s="141"/>
      <c r="I253" s="141"/>
      <c r="J253" s="146"/>
    </row>
    <row r="254" spans="1:10" x14ac:dyDescent="0.2">
      <c r="A254" s="141"/>
      <c r="B254" s="156"/>
      <c r="C254" s="141"/>
      <c r="D254" s="141"/>
      <c r="E254" s="141"/>
      <c r="F254" s="141"/>
      <c r="G254" s="145"/>
      <c r="H254" s="141"/>
      <c r="I254" s="141"/>
      <c r="J254" s="146"/>
    </row>
    <row r="255" spans="1:10" x14ac:dyDescent="0.2">
      <c r="A255" s="141"/>
      <c r="B255" s="156"/>
      <c r="C255" s="141"/>
      <c r="D255" s="141"/>
      <c r="E255" s="141"/>
      <c r="F255" s="141"/>
      <c r="G255" s="145"/>
      <c r="H255" s="141"/>
      <c r="I255" s="141"/>
      <c r="J255" s="146"/>
    </row>
    <row r="256" spans="1:10" x14ac:dyDescent="0.2">
      <c r="A256" s="141"/>
      <c r="B256" s="156"/>
      <c r="C256" s="141"/>
      <c r="D256" s="141"/>
      <c r="E256" s="141"/>
      <c r="F256" s="141"/>
      <c r="G256" s="145"/>
      <c r="H256" s="141"/>
      <c r="I256" s="141"/>
      <c r="J256" s="146"/>
    </row>
    <row r="257" spans="1:10" x14ac:dyDescent="0.2">
      <c r="A257" s="141"/>
      <c r="B257" s="156"/>
      <c r="C257" s="141"/>
      <c r="D257" s="141"/>
      <c r="E257" s="141"/>
      <c r="F257" s="141"/>
      <c r="G257" s="145"/>
      <c r="H257" s="141"/>
      <c r="I257" s="141"/>
      <c r="J257" s="146"/>
    </row>
    <row r="258" spans="1:10" x14ac:dyDescent="0.2">
      <c r="A258" s="141"/>
      <c r="B258" s="156"/>
      <c r="C258" s="141"/>
      <c r="D258" s="141"/>
      <c r="E258" s="141"/>
      <c r="F258" s="141"/>
      <c r="G258" s="145"/>
      <c r="H258" s="141"/>
      <c r="I258" s="141"/>
      <c r="J258" s="146"/>
    </row>
    <row r="259" spans="1:10" x14ac:dyDescent="0.2">
      <c r="A259" s="141"/>
      <c r="B259" s="156"/>
      <c r="C259" s="141"/>
      <c r="D259" s="141"/>
      <c r="E259" s="141"/>
      <c r="F259" s="141"/>
      <c r="G259" s="145"/>
      <c r="H259" s="141"/>
      <c r="I259" s="141"/>
      <c r="J259" s="146"/>
    </row>
    <row r="260" spans="1:10" x14ac:dyDescent="0.2">
      <c r="A260" s="141"/>
      <c r="B260" s="156"/>
      <c r="C260" s="141"/>
      <c r="D260" s="141"/>
      <c r="E260" s="141"/>
      <c r="F260" s="141"/>
      <c r="G260" s="145"/>
      <c r="H260" s="141"/>
      <c r="I260" s="141"/>
      <c r="J260" s="146"/>
    </row>
    <row r="261" spans="1:10" x14ac:dyDescent="0.2">
      <c r="A261" s="141"/>
      <c r="B261" s="156"/>
      <c r="C261" s="141"/>
      <c r="D261" s="141"/>
      <c r="E261" s="141"/>
      <c r="F261" s="141"/>
      <c r="G261" s="145"/>
      <c r="H261" s="141"/>
      <c r="I261" s="141"/>
      <c r="J261" s="146"/>
    </row>
    <row r="262" spans="1:10" x14ac:dyDescent="0.2">
      <c r="A262" s="141"/>
      <c r="B262" s="156"/>
      <c r="C262" s="141"/>
      <c r="D262" s="141"/>
      <c r="E262" s="141"/>
      <c r="F262" s="141"/>
      <c r="G262" s="145"/>
      <c r="H262" s="141"/>
      <c r="I262" s="141"/>
      <c r="J262" s="146"/>
    </row>
    <row r="263" spans="1:10" x14ac:dyDescent="0.2">
      <c r="A263" s="141"/>
      <c r="B263" s="156"/>
      <c r="C263" s="141"/>
      <c r="D263" s="141"/>
      <c r="E263" s="141"/>
      <c r="F263" s="141"/>
      <c r="G263" s="145"/>
      <c r="H263" s="141"/>
      <c r="I263" s="141"/>
      <c r="J263" s="146"/>
    </row>
    <row r="264" spans="1:10" x14ac:dyDescent="0.2">
      <c r="A264" s="141"/>
      <c r="B264" s="156"/>
      <c r="C264" s="141"/>
      <c r="D264" s="141"/>
      <c r="E264" s="141"/>
      <c r="F264" s="141"/>
      <c r="G264" s="145"/>
      <c r="H264" s="141"/>
      <c r="I264" s="141"/>
      <c r="J264" s="146"/>
    </row>
    <row r="265" spans="1:10" x14ac:dyDescent="0.2">
      <c r="A265" s="141"/>
      <c r="B265" s="156"/>
      <c r="C265" s="141"/>
      <c r="D265" s="141"/>
      <c r="E265" s="141"/>
      <c r="F265" s="141"/>
      <c r="G265" s="145"/>
      <c r="H265" s="141"/>
      <c r="I265" s="141"/>
      <c r="J265" s="146"/>
    </row>
    <row r="266" spans="1:10" x14ac:dyDescent="0.2">
      <c r="A266" s="141"/>
      <c r="B266" s="156"/>
      <c r="C266" s="141"/>
      <c r="D266" s="141"/>
      <c r="E266" s="141"/>
      <c r="F266" s="141"/>
      <c r="G266" s="145"/>
      <c r="H266" s="141"/>
      <c r="I266" s="141"/>
      <c r="J266" s="146"/>
    </row>
    <row r="267" spans="1:10" x14ac:dyDescent="0.2">
      <c r="A267" s="141"/>
      <c r="B267" s="156"/>
      <c r="C267" s="141"/>
      <c r="D267" s="141"/>
      <c r="E267" s="141"/>
      <c r="F267" s="141"/>
      <c r="G267" s="145"/>
      <c r="H267" s="141"/>
      <c r="I267" s="141"/>
      <c r="J267" s="146"/>
    </row>
    <row r="268" spans="1:10" x14ac:dyDescent="0.2">
      <c r="A268" s="141"/>
      <c r="B268" s="156"/>
      <c r="C268" s="141"/>
      <c r="D268" s="141"/>
      <c r="E268" s="141"/>
      <c r="F268" s="141"/>
      <c r="G268" s="145"/>
      <c r="H268" s="141"/>
      <c r="I268" s="141"/>
      <c r="J268" s="146"/>
    </row>
    <row r="269" spans="1:10" x14ac:dyDescent="0.2">
      <c r="A269" s="141"/>
      <c r="B269" s="156"/>
      <c r="C269" s="141"/>
      <c r="D269" s="141"/>
      <c r="E269" s="141"/>
      <c r="F269" s="141"/>
      <c r="G269" s="145"/>
      <c r="H269" s="141"/>
      <c r="I269" s="141"/>
      <c r="J269" s="146"/>
    </row>
    <row r="270" spans="1:10" x14ac:dyDescent="0.2">
      <c r="A270" s="141"/>
      <c r="B270" s="156"/>
      <c r="C270" s="141"/>
      <c r="D270" s="141"/>
      <c r="E270" s="141"/>
      <c r="F270" s="141"/>
      <c r="G270" s="145"/>
      <c r="H270" s="141"/>
      <c r="I270" s="141"/>
      <c r="J270" s="146"/>
    </row>
    <row r="271" spans="1:10" x14ac:dyDescent="0.2">
      <c r="A271" s="141"/>
      <c r="B271" s="156"/>
      <c r="C271" s="141"/>
      <c r="D271" s="141"/>
      <c r="E271" s="141"/>
      <c r="F271" s="141"/>
      <c r="G271" s="145"/>
      <c r="H271" s="141"/>
      <c r="I271" s="141"/>
      <c r="J271" s="146"/>
    </row>
    <row r="272" spans="1:10" x14ac:dyDescent="0.2">
      <c r="A272" s="141"/>
      <c r="B272" s="156"/>
      <c r="C272" s="141"/>
      <c r="D272" s="141"/>
      <c r="E272" s="141"/>
      <c r="F272" s="141"/>
      <c r="G272" s="145"/>
      <c r="H272" s="141"/>
      <c r="I272" s="141"/>
      <c r="J272" s="146"/>
    </row>
    <row r="273" spans="1:10" x14ac:dyDescent="0.2">
      <c r="A273" s="141"/>
      <c r="B273" s="156"/>
      <c r="C273" s="141"/>
      <c r="D273" s="141"/>
      <c r="E273" s="141"/>
      <c r="F273" s="141"/>
      <c r="G273" s="145"/>
      <c r="H273" s="141"/>
      <c r="I273" s="141"/>
      <c r="J273" s="146"/>
    </row>
    <row r="274" spans="1:10" x14ac:dyDescent="0.2">
      <c r="A274" s="141"/>
      <c r="B274" s="156"/>
      <c r="C274" s="141"/>
      <c r="D274" s="141"/>
      <c r="E274" s="141"/>
      <c r="F274" s="141"/>
      <c r="G274" s="145"/>
      <c r="H274" s="141"/>
      <c r="I274" s="141"/>
      <c r="J274" s="146"/>
    </row>
    <row r="275" spans="1:10" x14ac:dyDescent="0.2">
      <c r="A275" s="141"/>
      <c r="B275" s="156"/>
      <c r="C275" s="141"/>
      <c r="D275" s="141"/>
      <c r="E275" s="141"/>
      <c r="F275" s="141"/>
      <c r="G275" s="145"/>
      <c r="H275" s="141"/>
      <c r="I275" s="141"/>
      <c r="J275" s="146"/>
    </row>
    <row r="276" spans="1:10" x14ac:dyDescent="0.2">
      <c r="A276" s="141"/>
      <c r="B276" s="156"/>
      <c r="C276" s="141"/>
      <c r="D276" s="141"/>
      <c r="E276" s="141"/>
      <c r="F276" s="141"/>
      <c r="G276" s="145"/>
      <c r="H276" s="141"/>
      <c r="I276" s="141"/>
      <c r="J276" s="146"/>
    </row>
    <row r="277" spans="1:10" x14ac:dyDescent="0.2">
      <c r="A277" s="141"/>
      <c r="B277" s="156"/>
      <c r="C277" s="141"/>
      <c r="D277" s="141"/>
      <c r="E277" s="141"/>
      <c r="F277" s="141"/>
      <c r="G277" s="145"/>
      <c r="H277" s="141"/>
      <c r="I277" s="141"/>
      <c r="J277" s="146"/>
    </row>
    <row r="278" spans="1:10" x14ac:dyDescent="0.2">
      <c r="A278" s="141"/>
      <c r="B278" s="156"/>
      <c r="C278" s="141"/>
      <c r="D278" s="141"/>
      <c r="E278" s="141"/>
      <c r="F278" s="141"/>
      <c r="G278" s="145"/>
      <c r="H278" s="141"/>
      <c r="I278" s="141"/>
      <c r="J278" s="146"/>
    </row>
    <row r="279" spans="1:10" x14ac:dyDescent="0.2">
      <c r="A279" s="141"/>
      <c r="B279" s="156"/>
      <c r="C279" s="141"/>
      <c r="D279" s="141"/>
      <c r="E279" s="141"/>
      <c r="F279" s="141"/>
      <c r="G279" s="145"/>
      <c r="H279" s="141"/>
      <c r="I279" s="141"/>
      <c r="J279" s="146"/>
    </row>
    <row r="280" spans="1:10" x14ac:dyDescent="0.2">
      <c r="A280" s="141"/>
      <c r="B280" s="156"/>
      <c r="C280" s="141"/>
      <c r="D280" s="141"/>
      <c r="E280" s="141"/>
      <c r="F280" s="141"/>
      <c r="G280" s="145"/>
      <c r="H280" s="141"/>
      <c r="I280" s="141"/>
      <c r="J280" s="146"/>
    </row>
    <row r="281" spans="1:10" x14ac:dyDescent="0.2">
      <c r="A281" s="141"/>
      <c r="B281" s="156"/>
      <c r="C281" s="141"/>
      <c r="D281" s="141"/>
      <c r="E281" s="141"/>
      <c r="F281" s="141"/>
      <c r="G281" s="145"/>
      <c r="H281" s="141"/>
      <c r="I281" s="141"/>
      <c r="J281" s="146"/>
    </row>
    <row r="282" spans="1:10" x14ac:dyDescent="0.2">
      <c r="A282" s="141"/>
      <c r="B282" s="156"/>
      <c r="C282" s="141"/>
      <c r="D282" s="141"/>
      <c r="E282" s="141"/>
      <c r="F282" s="141"/>
      <c r="G282" s="145"/>
      <c r="H282" s="141"/>
      <c r="I282" s="141"/>
      <c r="J282" s="146"/>
    </row>
    <row r="283" spans="1:10" x14ac:dyDescent="0.2">
      <c r="A283" s="141"/>
      <c r="B283" s="156"/>
      <c r="C283" s="141"/>
      <c r="D283" s="141"/>
      <c r="E283" s="141"/>
      <c r="F283" s="141"/>
      <c r="G283" s="145"/>
      <c r="H283" s="141"/>
      <c r="I283" s="141"/>
      <c r="J283" s="146"/>
    </row>
    <row r="284" spans="1:10" x14ac:dyDescent="0.2">
      <c r="A284" s="141"/>
      <c r="B284" s="156"/>
      <c r="C284" s="141"/>
      <c r="D284" s="141"/>
      <c r="E284" s="141"/>
      <c r="F284" s="141"/>
      <c r="G284" s="145"/>
      <c r="H284" s="141"/>
      <c r="I284" s="141"/>
      <c r="J284" s="146"/>
    </row>
    <row r="285" spans="1:10" x14ac:dyDescent="0.2">
      <c r="A285" s="141"/>
      <c r="B285" s="156"/>
      <c r="C285" s="141"/>
      <c r="D285" s="141"/>
      <c r="E285" s="141"/>
      <c r="F285" s="141"/>
      <c r="G285" s="145"/>
      <c r="H285" s="141"/>
      <c r="I285" s="141"/>
      <c r="J285" s="146"/>
    </row>
    <row r="286" spans="1:10" x14ac:dyDescent="0.2">
      <c r="A286" s="141"/>
      <c r="B286" s="156"/>
      <c r="C286" s="141"/>
      <c r="D286" s="141"/>
      <c r="E286" s="141"/>
      <c r="F286" s="141"/>
      <c r="G286" s="145"/>
      <c r="H286" s="141"/>
      <c r="I286" s="141"/>
      <c r="J286" s="146"/>
    </row>
    <row r="287" spans="1:10" x14ac:dyDescent="0.2">
      <c r="A287" s="141"/>
      <c r="B287" s="156"/>
      <c r="C287" s="141"/>
      <c r="D287" s="141"/>
      <c r="E287" s="141"/>
      <c r="F287" s="141"/>
      <c r="G287" s="145"/>
      <c r="H287" s="141"/>
      <c r="I287" s="141"/>
      <c r="J287" s="146"/>
    </row>
    <row r="288" spans="1:10" x14ac:dyDescent="0.2">
      <c r="A288" s="141"/>
      <c r="B288" s="156"/>
      <c r="C288" s="141"/>
      <c r="D288" s="141"/>
      <c r="E288" s="141"/>
      <c r="F288" s="141"/>
      <c r="G288" s="145"/>
      <c r="H288" s="141"/>
      <c r="I288" s="141"/>
      <c r="J288" s="146"/>
    </row>
    <row r="289" spans="1:10" x14ac:dyDescent="0.2">
      <c r="A289" s="141"/>
      <c r="B289" s="156"/>
      <c r="C289" s="141"/>
      <c r="D289" s="141"/>
      <c r="E289" s="141"/>
      <c r="F289" s="141"/>
      <c r="G289" s="145"/>
      <c r="H289" s="141"/>
      <c r="I289" s="141"/>
      <c r="J289" s="146"/>
    </row>
    <row r="290" spans="1:10" x14ac:dyDescent="0.2">
      <c r="A290" s="141"/>
      <c r="B290" s="156"/>
      <c r="C290" s="141"/>
      <c r="D290" s="141"/>
      <c r="E290" s="141"/>
      <c r="F290" s="141"/>
      <c r="G290" s="145"/>
      <c r="H290" s="141"/>
      <c r="I290" s="141"/>
      <c r="J290" s="146"/>
    </row>
    <row r="291" spans="1:10" x14ac:dyDescent="0.2">
      <c r="A291" s="141"/>
      <c r="B291" s="156"/>
      <c r="C291" s="141"/>
      <c r="D291" s="141"/>
      <c r="E291" s="141"/>
      <c r="F291" s="141"/>
      <c r="G291" s="145"/>
      <c r="H291" s="141"/>
      <c r="I291" s="141"/>
      <c r="J291" s="146"/>
    </row>
    <row r="292" spans="1:10" x14ac:dyDescent="0.2">
      <c r="A292" s="141"/>
      <c r="B292" s="156"/>
      <c r="C292" s="141"/>
      <c r="D292" s="141"/>
      <c r="E292" s="141"/>
      <c r="F292" s="141"/>
      <c r="G292" s="145"/>
      <c r="H292" s="141"/>
      <c r="I292" s="141"/>
      <c r="J292" s="146"/>
    </row>
    <row r="293" spans="1:10" x14ac:dyDescent="0.2">
      <c r="A293" s="141"/>
      <c r="B293" s="156"/>
      <c r="C293" s="141"/>
      <c r="D293" s="141"/>
      <c r="E293" s="141"/>
      <c r="F293" s="141"/>
      <c r="G293" s="145"/>
      <c r="H293" s="141"/>
      <c r="I293" s="141"/>
      <c r="J293" s="146"/>
    </row>
    <row r="294" spans="1:10" x14ac:dyDescent="0.2">
      <c r="A294" s="141"/>
      <c r="B294" s="156"/>
      <c r="C294" s="141"/>
      <c r="D294" s="141"/>
      <c r="E294" s="141"/>
      <c r="F294" s="141"/>
      <c r="G294" s="145"/>
      <c r="H294" s="141"/>
      <c r="I294" s="141"/>
      <c r="J294" s="146"/>
    </row>
    <row r="295" spans="1:10" x14ac:dyDescent="0.2">
      <c r="A295" s="141"/>
      <c r="B295" s="156"/>
      <c r="C295" s="141"/>
      <c r="D295" s="141"/>
      <c r="E295" s="141"/>
      <c r="F295" s="141"/>
      <c r="G295" s="145"/>
      <c r="H295" s="141"/>
      <c r="I295" s="141"/>
      <c r="J295" s="146"/>
    </row>
    <row r="296" spans="1:10" x14ac:dyDescent="0.2">
      <c r="A296" s="141"/>
      <c r="B296" s="156"/>
      <c r="C296" s="141"/>
      <c r="D296" s="141"/>
      <c r="E296" s="141"/>
      <c r="F296" s="141"/>
      <c r="G296" s="145"/>
      <c r="H296" s="141"/>
      <c r="I296" s="141"/>
      <c r="J296" s="146"/>
    </row>
    <row r="297" spans="1:10" x14ac:dyDescent="0.2">
      <c r="A297" s="141"/>
      <c r="B297" s="156"/>
      <c r="C297" s="141"/>
      <c r="D297" s="141"/>
      <c r="E297" s="141"/>
      <c r="F297" s="141"/>
      <c r="G297" s="145"/>
      <c r="H297" s="141"/>
      <c r="I297" s="141"/>
      <c r="J297" s="146"/>
    </row>
    <row r="298" spans="1:10" x14ac:dyDescent="0.2">
      <c r="A298" s="141"/>
      <c r="B298" s="156"/>
      <c r="C298" s="141"/>
      <c r="D298" s="141"/>
      <c r="E298" s="141"/>
      <c r="F298" s="141"/>
      <c r="G298" s="145"/>
      <c r="H298" s="141"/>
      <c r="I298" s="141"/>
      <c r="J298" s="146"/>
    </row>
    <row r="299" spans="1:10" x14ac:dyDescent="0.2">
      <c r="A299" s="141"/>
      <c r="B299" s="156"/>
      <c r="C299" s="141"/>
      <c r="D299" s="141"/>
      <c r="E299" s="141"/>
      <c r="F299" s="141"/>
      <c r="G299" s="145"/>
      <c r="H299" s="141"/>
      <c r="I299" s="141"/>
      <c r="J299" s="146"/>
    </row>
    <row r="300" spans="1:10" x14ac:dyDescent="0.2">
      <c r="A300" s="141"/>
      <c r="B300" s="156"/>
      <c r="C300" s="141"/>
      <c r="D300" s="141"/>
      <c r="E300" s="141"/>
      <c r="F300" s="141"/>
      <c r="G300" s="145"/>
      <c r="H300" s="141"/>
      <c r="I300" s="141"/>
      <c r="J300" s="146"/>
    </row>
    <row r="301" spans="1:10" x14ac:dyDescent="0.2">
      <c r="A301" s="141"/>
      <c r="B301" s="156"/>
      <c r="C301" s="141"/>
      <c r="D301" s="141"/>
      <c r="E301" s="141"/>
      <c r="F301" s="141"/>
      <c r="G301" s="145"/>
      <c r="H301" s="141"/>
      <c r="I301" s="141"/>
      <c r="J301" s="146"/>
    </row>
    <row r="302" spans="1:10" x14ac:dyDescent="0.2">
      <c r="A302" s="141"/>
      <c r="B302" s="156"/>
      <c r="C302" s="141"/>
      <c r="D302" s="141"/>
      <c r="E302" s="141"/>
      <c r="F302" s="141"/>
      <c r="G302" s="145"/>
      <c r="H302" s="141"/>
      <c r="I302" s="141"/>
      <c r="J302" s="146"/>
    </row>
    <row r="303" spans="1:10" x14ac:dyDescent="0.2">
      <c r="A303" s="141"/>
      <c r="B303" s="156"/>
      <c r="C303" s="141"/>
      <c r="D303" s="141"/>
      <c r="E303" s="141"/>
      <c r="F303" s="141"/>
      <c r="G303" s="145"/>
      <c r="H303" s="141"/>
      <c r="I303" s="141"/>
      <c r="J303" s="146"/>
    </row>
    <row r="304" spans="1:10" x14ac:dyDescent="0.2">
      <c r="A304" s="141"/>
      <c r="B304" s="156"/>
      <c r="C304" s="141"/>
      <c r="D304" s="141"/>
      <c r="E304" s="141"/>
      <c r="F304" s="141"/>
      <c r="G304" s="145"/>
      <c r="H304" s="141"/>
      <c r="I304" s="141"/>
      <c r="J304" s="146"/>
    </row>
    <row r="305" spans="1:10" x14ac:dyDescent="0.2">
      <c r="A305" s="141"/>
      <c r="B305" s="156"/>
      <c r="C305" s="141"/>
      <c r="D305" s="141"/>
      <c r="E305" s="141"/>
      <c r="F305" s="141"/>
      <c r="G305" s="145"/>
      <c r="H305" s="141"/>
      <c r="I305" s="141"/>
      <c r="J305" s="146"/>
    </row>
    <row r="306" spans="1:10" x14ac:dyDescent="0.2">
      <c r="A306" s="141"/>
      <c r="B306" s="156"/>
      <c r="C306" s="141"/>
      <c r="D306" s="141"/>
      <c r="E306" s="141"/>
      <c r="F306" s="141"/>
      <c r="G306" s="145"/>
      <c r="H306" s="141"/>
      <c r="I306" s="141"/>
      <c r="J306" s="146"/>
    </row>
    <row r="307" spans="1:10" x14ac:dyDescent="0.2">
      <c r="A307" s="141"/>
      <c r="B307" s="156"/>
      <c r="C307" s="141"/>
      <c r="D307" s="141"/>
      <c r="E307" s="141"/>
      <c r="F307" s="141"/>
      <c r="G307" s="145"/>
      <c r="H307" s="141"/>
      <c r="I307" s="141"/>
      <c r="J307" s="146"/>
    </row>
    <row r="308" spans="1:10" x14ac:dyDescent="0.2">
      <c r="A308" s="141"/>
      <c r="B308" s="156"/>
      <c r="C308" s="141"/>
      <c r="D308" s="141"/>
      <c r="E308" s="141"/>
      <c r="F308" s="141"/>
      <c r="G308" s="145"/>
      <c r="H308" s="141"/>
      <c r="I308" s="141"/>
      <c r="J308" s="146"/>
    </row>
    <row r="309" spans="1:10" x14ac:dyDescent="0.2">
      <c r="A309" s="141"/>
      <c r="B309" s="156"/>
      <c r="C309" s="141"/>
      <c r="D309" s="141"/>
      <c r="E309" s="141"/>
      <c r="F309" s="141"/>
      <c r="G309" s="145"/>
      <c r="H309" s="141"/>
      <c r="I309" s="141"/>
      <c r="J309" s="146"/>
    </row>
    <row r="310" spans="1:10" x14ac:dyDescent="0.2">
      <c r="A310" s="141"/>
      <c r="B310" s="156"/>
      <c r="C310" s="141"/>
      <c r="D310" s="141"/>
      <c r="E310" s="141"/>
      <c r="F310" s="141"/>
      <c r="G310" s="145"/>
      <c r="H310" s="141"/>
      <c r="I310" s="141"/>
      <c r="J310" s="146"/>
    </row>
    <row r="311" spans="1:10" x14ac:dyDescent="0.2">
      <c r="A311" s="141"/>
      <c r="B311" s="156"/>
      <c r="C311" s="141"/>
      <c r="D311" s="141"/>
      <c r="E311" s="141"/>
      <c r="F311" s="141"/>
      <c r="G311" s="145"/>
      <c r="H311" s="141"/>
      <c r="I311" s="141"/>
      <c r="J311" s="146"/>
    </row>
    <row r="312" spans="1:10" x14ac:dyDescent="0.2">
      <c r="A312" s="141"/>
      <c r="B312" s="156"/>
      <c r="C312" s="141"/>
      <c r="D312" s="141"/>
      <c r="E312" s="141"/>
      <c r="F312" s="141"/>
      <c r="G312" s="145"/>
      <c r="H312" s="141"/>
      <c r="I312" s="141"/>
      <c r="J312" s="146"/>
    </row>
    <row r="313" spans="1:10" x14ac:dyDescent="0.2">
      <c r="A313" s="141"/>
      <c r="B313" s="156"/>
      <c r="C313" s="141"/>
      <c r="D313" s="141"/>
      <c r="E313" s="141"/>
      <c r="F313" s="141"/>
      <c r="G313" s="145"/>
      <c r="H313" s="141"/>
      <c r="I313" s="141"/>
      <c r="J313" s="146"/>
    </row>
    <row r="314" spans="1:10" x14ac:dyDescent="0.2">
      <c r="A314" s="141"/>
      <c r="B314" s="156"/>
      <c r="C314" s="141"/>
      <c r="D314" s="141"/>
      <c r="E314" s="141"/>
      <c r="F314" s="141"/>
      <c r="G314" s="145"/>
      <c r="H314" s="141"/>
      <c r="I314" s="141"/>
      <c r="J314" s="146"/>
    </row>
    <row r="315" spans="1:10" x14ac:dyDescent="0.2">
      <c r="A315" s="141"/>
      <c r="B315" s="156"/>
      <c r="C315" s="141"/>
      <c r="D315" s="141"/>
      <c r="E315" s="141"/>
      <c r="F315" s="141"/>
      <c r="G315" s="145"/>
      <c r="H315" s="141"/>
      <c r="I315" s="141"/>
      <c r="J315" s="146"/>
    </row>
    <row r="316" spans="1:10" x14ac:dyDescent="0.2">
      <c r="A316" s="141"/>
      <c r="B316" s="156"/>
      <c r="C316" s="141"/>
      <c r="D316" s="141"/>
      <c r="E316" s="141"/>
      <c r="F316" s="141"/>
      <c r="G316" s="145"/>
      <c r="H316" s="141"/>
      <c r="I316" s="141"/>
      <c r="J316" s="146"/>
    </row>
    <row r="317" spans="1:10" x14ac:dyDescent="0.2">
      <c r="A317" s="141"/>
      <c r="B317" s="156"/>
      <c r="C317" s="141"/>
      <c r="D317" s="141"/>
      <c r="E317" s="141"/>
      <c r="F317" s="141"/>
      <c r="G317" s="145"/>
      <c r="H317" s="141"/>
      <c r="I317" s="141"/>
      <c r="J317" s="146"/>
    </row>
    <row r="318" spans="1:10" x14ac:dyDescent="0.2">
      <c r="A318" s="141"/>
      <c r="B318" s="156"/>
      <c r="C318" s="141"/>
      <c r="D318" s="141"/>
      <c r="E318" s="141"/>
      <c r="F318" s="141"/>
      <c r="G318" s="145"/>
      <c r="H318" s="141"/>
      <c r="I318" s="141"/>
      <c r="J318" s="146"/>
    </row>
    <row r="319" spans="1:10" x14ac:dyDescent="0.2">
      <c r="A319" s="141"/>
      <c r="B319" s="156"/>
      <c r="C319" s="141"/>
      <c r="D319" s="141"/>
      <c r="E319" s="141"/>
      <c r="F319" s="141"/>
      <c r="G319" s="145"/>
      <c r="H319" s="141"/>
      <c r="I319" s="141"/>
      <c r="J319" s="146"/>
    </row>
    <row r="320" spans="1:10" x14ac:dyDescent="0.2">
      <c r="A320" s="141"/>
      <c r="B320" s="156"/>
      <c r="C320" s="141"/>
      <c r="D320" s="141"/>
      <c r="E320" s="141"/>
      <c r="F320" s="141"/>
      <c r="G320" s="145"/>
      <c r="H320" s="141"/>
      <c r="I320" s="141"/>
      <c r="J320" s="146"/>
    </row>
    <row r="321" spans="1:10" x14ac:dyDescent="0.2">
      <c r="A321" s="141"/>
      <c r="B321" s="156"/>
      <c r="C321" s="141"/>
      <c r="D321" s="141"/>
      <c r="E321" s="141"/>
      <c r="F321" s="141"/>
      <c r="G321" s="145"/>
      <c r="H321" s="141"/>
      <c r="I321" s="141"/>
      <c r="J321" s="146"/>
    </row>
    <row r="322" spans="1:10" x14ac:dyDescent="0.2">
      <c r="A322" s="141"/>
      <c r="B322" s="156"/>
      <c r="C322" s="141"/>
      <c r="D322" s="141"/>
      <c r="E322" s="141"/>
      <c r="F322" s="141"/>
      <c r="G322" s="145"/>
      <c r="H322" s="141"/>
      <c r="I322" s="141"/>
      <c r="J322" s="146"/>
    </row>
    <row r="323" spans="1:10" x14ac:dyDescent="0.2">
      <c r="A323" s="141"/>
      <c r="B323" s="156"/>
      <c r="C323" s="141"/>
      <c r="D323" s="141"/>
      <c r="E323" s="141"/>
      <c r="F323" s="141"/>
      <c r="G323" s="145"/>
      <c r="H323" s="141"/>
      <c r="I323" s="141"/>
      <c r="J323" s="146"/>
    </row>
    <row r="324" spans="1:10" x14ac:dyDescent="0.2">
      <c r="A324" s="141"/>
      <c r="B324" s="156"/>
      <c r="C324" s="141"/>
      <c r="D324" s="141"/>
      <c r="E324" s="141"/>
      <c r="F324" s="141"/>
      <c r="G324" s="145"/>
      <c r="H324" s="141"/>
      <c r="I324" s="141"/>
      <c r="J324" s="146"/>
    </row>
    <row r="325" spans="1:10" x14ac:dyDescent="0.2">
      <c r="A325" s="141"/>
      <c r="B325" s="156"/>
      <c r="C325" s="141"/>
      <c r="D325" s="141"/>
      <c r="E325" s="141"/>
      <c r="F325" s="141"/>
      <c r="G325" s="145"/>
      <c r="H325" s="141"/>
      <c r="I325" s="141"/>
      <c r="J325" s="146"/>
    </row>
    <row r="326" spans="1:10" x14ac:dyDescent="0.2">
      <c r="A326" s="141"/>
      <c r="I326" s="141"/>
      <c r="J326" s="146"/>
    </row>
    <row r="327" spans="1:10" x14ac:dyDescent="0.2">
      <c r="A327" s="141"/>
      <c r="I327" s="141"/>
      <c r="J327" s="146"/>
    </row>
  </sheetData>
  <sheetProtection sheet="1"/>
  <mergeCells count="34">
    <mergeCell ref="B87:C87"/>
    <mergeCell ref="B134:C134"/>
    <mergeCell ref="B19:H19"/>
    <mergeCell ref="D20:H20"/>
    <mergeCell ref="D155:F155"/>
    <mergeCell ref="D182:F182"/>
    <mergeCell ref="D40:F40"/>
    <mergeCell ref="D132:F132"/>
    <mergeCell ref="B182:C182"/>
    <mergeCell ref="B115:C115"/>
    <mergeCell ref="B67:C67"/>
    <mergeCell ref="B79:C79"/>
    <mergeCell ref="B102:C102"/>
    <mergeCell ref="B139:C139"/>
    <mergeCell ref="B164:C164"/>
    <mergeCell ref="B42:C42"/>
    <mergeCell ref="B51:C51"/>
    <mergeCell ref="B157:C157"/>
    <mergeCell ref="F6:H6"/>
    <mergeCell ref="B152:C152"/>
    <mergeCell ref="F13:H13"/>
    <mergeCell ref="F14:H14"/>
    <mergeCell ref="F15:H15"/>
    <mergeCell ref="F16:H16"/>
    <mergeCell ref="F17:H17"/>
    <mergeCell ref="F18:H18"/>
    <mergeCell ref="F7:H7"/>
    <mergeCell ref="B127:C127"/>
    <mergeCell ref="B144:C144"/>
    <mergeCell ref="F8:H8"/>
    <mergeCell ref="F9:H9"/>
    <mergeCell ref="F10:H10"/>
    <mergeCell ref="F11:H11"/>
    <mergeCell ref="F12:H12"/>
  </mergeCells>
  <phoneticPr fontId="2" type="noConversion"/>
  <conditionalFormatting sqref="D116">
    <cfRule type="cellIs" dxfId="2" priority="1" stopIfTrue="1" operator="greaterThan">
      <formula>0.05</formula>
    </cfRule>
  </conditionalFormatting>
  <dataValidations count="1">
    <dataValidation type="list" errorStyle="warning" allowBlank="1" showInputMessage="1" showErrorMessage="1" errorTitle="Select" error="Select a device from list" promptTitle="Select" prompt="Please select a device." sqref="D4" xr:uid="{E43FB657-6FC7-4B49-B1A6-06BA72EBEDE2}">
      <formula1>$B$4:$B$5</formula1>
    </dataValidation>
  </dataValidations>
  <pageMargins left="0.75" right="0.75" top="1" bottom="1" header="0.5" footer="0.5"/>
  <pageSetup scale="6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2185" r:id="rId4">
          <objectPr defaultSize="0" autoPict="0" r:id="rId5">
            <anchor moveWithCells="1">
              <from>
                <xdr:col>6</xdr:col>
                <xdr:colOff>142875</xdr:colOff>
                <xdr:row>19</xdr:row>
                <xdr:rowOff>9525</xdr:rowOff>
              </from>
              <to>
                <xdr:col>7</xdr:col>
                <xdr:colOff>6477000</xdr:colOff>
                <xdr:row>38</xdr:row>
                <xdr:rowOff>209550</xdr:rowOff>
              </to>
            </anchor>
          </objectPr>
        </oleObject>
      </mc:Choice>
      <mc:Fallback>
        <oleObject progId="Visio.Drawing.11" shapeId="218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8555-6B51-466A-AEA5-64AA010CBD9F}">
  <dimension ref="A2:AJ612"/>
  <sheetViews>
    <sheetView zoomScale="85" zoomScaleNormal="85" workbookViewId="0">
      <selection activeCell="M66" sqref="M66"/>
    </sheetView>
  </sheetViews>
  <sheetFormatPr defaultRowHeight="12.75" x14ac:dyDescent="0.2"/>
  <cols>
    <col min="1" max="1" width="2.7109375" style="220" customWidth="1"/>
    <col min="2" max="2" width="9.85546875" style="221" bestFit="1" customWidth="1"/>
    <col min="3" max="3" width="13.5703125" style="220" bestFit="1" customWidth="1"/>
    <col min="4" max="4" width="9.5703125" style="220" bestFit="1" customWidth="1"/>
    <col min="5" max="5" width="7.140625" style="220" customWidth="1"/>
    <col min="6" max="6" width="16.7109375" style="221" customWidth="1"/>
    <col min="7" max="7" width="7.42578125" style="220" bestFit="1" customWidth="1"/>
    <col min="8" max="8" width="3.28515625" style="220" bestFit="1" customWidth="1"/>
    <col min="9" max="9" width="9.28515625" style="227" bestFit="1" customWidth="1"/>
    <col min="10" max="11" width="9.140625" style="227" customWidth="1"/>
    <col min="12" max="12" width="12" style="227" bestFit="1" customWidth="1"/>
    <col min="13" max="13" width="9.140625" style="227" customWidth="1"/>
    <col min="14" max="16" width="14.5703125" style="227" customWidth="1"/>
    <col min="17" max="17" width="9.140625" style="227" customWidth="1"/>
    <col min="18" max="21" width="19.5703125" style="227" customWidth="1"/>
    <col min="22" max="22" width="13.42578125" style="227" bestFit="1" customWidth="1"/>
    <col min="23" max="23" width="15" style="227" bestFit="1" customWidth="1"/>
    <col min="24" max="27" width="19.5703125" style="227" customWidth="1"/>
    <col min="28" max="28" width="13.42578125" style="227" bestFit="1" customWidth="1"/>
    <col min="29" max="29" width="15" style="227" bestFit="1" customWidth="1"/>
    <col min="30" max="30" width="12.85546875" style="227" bestFit="1" customWidth="1"/>
    <col min="31" max="31" width="12.28515625" style="227" bestFit="1" customWidth="1"/>
    <col min="32" max="33" width="12.85546875" style="227" bestFit="1" customWidth="1"/>
    <col min="34" max="34" width="12" style="227" bestFit="1" customWidth="1"/>
    <col min="35" max="36" width="9.140625" style="227"/>
    <col min="37" max="16384" width="9.140625" style="220"/>
  </cols>
  <sheetData>
    <row r="2" spans="2:35" ht="18" x14ac:dyDescent="0.25">
      <c r="B2" s="268" t="s">
        <v>130</v>
      </c>
      <c r="C2" s="268"/>
      <c r="D2" s="268"/>
      <c r="E2" s="268" t="s">
        <v>139</v>
      </c>
      <c r="F2" s="268"/>
      <c r="G2" s="268"/>
      <c r="J2" s="228"/>
    </row>
    <row r="3" spans="2:35" x14ac:dyDescent="0.2">
      <c r="B3" s="221" t="s">
        <v>191</v>
      </c>
      <c r="C3" s="102">
        <f>Vin_Min</f>
        <v>5.5</v>
      </c>
      <c r="D3" s="220" t="s">
        <v>3</v>
      </c>
      <c r="E3" s="221" t="s">
        <v>53</v>
      </c>
      <c r="F3" s="247">
        <f>C3</f>
        <v>5.5</v>
      </c>
      <c r="G3" s="220" t="s">
        <v>3</v>
      </c>
      <c r="K3" s="227" t="s">
        <v>15</v>
      </c>
      <c r="L3" s="227" t="s">
        <v>140</v>
      </c>
      <c r="N3" s="227" t="s">
        <v>167</v>
      </c>
      <c r="O3" s="227" t="s">
        <v>166</v>
      </c>
      <c r="P3" s="227" t="s">
        <v>25</v>
      </c>
      <c r="Q3" s="227" t="s">
        <v>15</v>
      </c>
      <c r="R3" s="227" t="s">
        <v>151</v>
      </c>
      <c r="S3" s="227" t="s">
        <v>152</v>
      </c>
      <c r="T3" s="227" t="s">
        <v>153</v>
      </c>
      <c r="U3" s="227" t="s">
        <v>154</v>
      </c>
      <c r="V3" s="227" t="s">
        <v>144</v>
      </c>
      <c r="W3" s="227" t="s">
        <v>145</v>
      </c>
      <c r="X3" s="227" t="s">
        <v>155</v>
      </c>
      <c r="Y3" s="227" t="s">
        <v>157</v>
      </c>
      <c r="Z3" s="227" t="s">
        <v>156</v>
      </c>
      <c r="AA3" s="227" t="s">
        <v>158</v>
      </c>
      <c r="AB3" s="227" t="s">
        <v>159</v>
      </c>
      <c r="AC3" s="227" t="s">
        <v>160</v>
      </c>
      <c r="AD3" s="227" t="s">
        <v>162</v>
      </c>
      <c r="AE3" s="227" t="s">
        <v>163</v>
      </c>
      <c r="AF3" s="227" t="s">
        <v>164</v>
      </c>
      <c r="AG3" s="227" t="s">
        <v>165</v>
      </c>
      <c r="AH3" s="227" t="s">
        <v>161</v>
      </c>
    </row>
    <row r="4" spans="2:35" x14ac:dyDescent="0.2">
      <c r="B4" s="221" t="s">
        <v>190</v>
      </c>
      <c r="C4" s="102">
        <f>Vin_Nom</f>
        <v>5.5</v>
      </c>
      <c r="D4" s="220" t="s">
        <v>3</v>
      </c>
      <c r="E4" s="221"/>
      <c r="F4" s="220"/>
      <c r="I4" s="227">
        <v>0</v>
      </c>
      <c r="J4" s="227">
        <f t="shared" ref="J4:J67" si="0">1+I4*(LOG(fsw)-1)/500</f>
        <v>1</v>
      </c>
      <c r="K4" s="227">
        <f>10^(J4)</f>
        <v>10</v>
      </c>
      <c r="L4" s="227">
        <f>2*PI()*K4</f>
        <v>62.831853071795862</v>
      </c>
      <c r="M4" s="227">
        <f t="shared" ref="M4:M67" si="1">SQRT((Fco_target-K5)^2)</f>
        <v>5809.9337738999329</v>
      </c>
      <c r="N4" s="227">
        <f>SQRT((ABS(AC4)-171.5+'Small Signal'!C$59)^2)</f>
        <v>100.87014517671398</v>
      </c>
      <c r="O4" s="227">
        <f>ABS(AG4)</f>
        <v>92.143784022081235</v>
      </c>
      <c r="P4" s="227">
        <f>ABS(AF4)</f>
        <v>51.047286756675057</v>
      </c>
      <c r="Q4" s="227">
        <f>K4</f>
        <v>10</v>
      </c>
      <c r="R4" s="227" t="str">
        <f t="shared" ref="R4:R67" si="2">IMSUM(COMPLEX(DCRss,Lss*L4),COMPLEX(Rdsonss,0),COMPLEX(40/3*Risense,0))</f>
        <v>0.0945666666666667+0.000295309709437441i</v>
      </c>
      <c r="S4" s="227" t="str">
        <f t="shared" ref="S4:S67" si="3">IMSUM(COMPLEX(ESRss,0),IMDIV(COMPLEX(1,0),COMPLEX(0,L4*Cbulkss)))</f>
        <v>0.0085-609.52956928811i</v>
      </c>
      <c r="T4" s="227" t="str">
        <f>IMDIV(IMPRODUCT(S4,COMPLEX(Ross,0)),IMSUM(S4,COMPLEX(Ross,0)))</f>
        <v>13.0848695876085-0.281024572937561i</v>
      </c>
      <c r="U4" s="227" t="str">
        <f t="shared" ref="U4:U67" si="4">IMPRODUCT(COMPLEX(Vinss,0),COMPLEX(M^2,0),IMDIV(IMSUB(COMPLEX(1,0),IMDIV(IMPRODUCT(R4,COMPLEX(M^2,0)),COMPLEX(Ross,0))),IMSUM(COMPLEX(1,0),IMDIV(IMPRODUCT(R4,COMPLEX(M^2,0)),T4))))</f>
        <v>79.400073492361-0.275729784278831i</v>
      </c>
      <c r="V4" s="227">
        <f>20*LOG(IMABS(U4))</f>
        <v>37.996470461142323</v>
      </c>
      <c r="W4" s="227">
        <f>IF(DEGREES(IMARGUMENT(U4))&gt;0,DEGREES(IMARGUMENT(U4))-360, DEGREES(IMARGUMENT(U4)))</f>
        <v>-0.19896819644399294</v>
      </c>
      <c r="X4" s="227" t="str">
        <f t="shared" ref="X4:X67" si="5">IMSUM(COMPLEX(1,L4/(wn*q0)),IMPOWER(COMPLEX(0,L4/wn),2))</f>
        <v>0.999999999288889-7.85282134713241E-06i</v>
      </c>
      <c r="Y4" s="227" t="str">
        <f t="shared" ref="Y4:Y67" si="6">IMPRODUCT(COMPLEX(2*Ioutss*M^2,0),IMDIV(IMSUM(COMPLEX(1,0),IMDIV(COMPLEX(Ross,0),IMPRODUCT(COMPLEX(2,0),S4))),IMSUM(COMPLEX(1,0),IMDIV(IMPRODUCT(R4,COMPLEX(M^2,0)),T4))))</f>
        <v>61.3777639559667+0.476517017174567i</v>
      </c>
      <c r="Z4" s="227" t="str">
        <f t="shared" ref="Z4:Z67" si="7">IMPRODUCT(COMPLEX(Fm*40/3*Risense,0),Y4,X4)</f>
        <v>31.9628646744703+0.247898282534775i</v>
      </c>
      <c r="AA4" s="227" t="str">
        <f t="shared" ref="AA4:AA67" si="8">IMDIV(IMPRODUCT(COMPLEX(Fm,0),U4),IMSUM(COMPLEX(1,0),Z4))</f>
        <v>18.8142070262708-0.206833671167707i</v>
      </c>
      <c r="AB4" s="227">
        <f>20*LOG(IMABS(AA4))</f>
        <v>25.490243213562124</v>
      </c>
      <c r="AC4" s="227">
        <f>IF(DEGREES(IMARGUMENT(AA4))&gt;0,DEGREES(IMARGUMENT(AA4))-360, DEGREES(IMARGUMENT(AA4)))</f>
        <v>-0.62985482328601416</v>
      </c>
      <c r="AD4" s="229">
        <f>20*LOG(IMABS(AH4))</f>
        <v>25.557043543112933</v>
      </c>
      <c r="AE4" s="229">
        <f>180+DEGREES(IMARGUMENT(AH4))</f>
        <v>92.773638845367245</v>
      </c>
      <c r="AF4" s="227">
        <f t="shared" ref="AF4:AF67" si="9">AD4+AB4</f>
        <v>51.047286756675057</v>
      </c>
      <c r="AG4" s="227">
        <f t="shared" ref="AG4:AG67" si="10">AE4+AC4</f>
        <v>92.143784022081235</v>
      </c>
      <c r="AH4" s="229" t="str">
        <f>IMDIV(IMPRODUCT(COMPLEX(gea*Rea*Rslss/(Rslss+Rshss),0),COMPLEX(1,L4*Ccompss*Rcompss),COMPLEX(1,k_3*L4*Cffss*Rshss)),IMPRODUCT(COMPLEX(1,L4*Rea*Ccompss),COMPLEX(1,L4*Rcompss*Chfss),COMPLEX(1,k_3*L4*Rffss*Cffss)))</f>
        <v>0.917507912897496-18.9383921861379i</v>
      </c>
      <c r="AI4" s="227" t="str">
        <f>IMDIV(IMPRODUCT(IMSUM(COMPLEX(ESRss,0),IMDIV(COMPLEX(1,0),COMPLEX(0,L4*Cbulkss))),IMSUM(COMPLEX(Rcerss,0),IMDIV(COMPLEX(1,0),COMPLEX(0,L4*Ccerss)))),IMSUM(IMSUM(COMPLEX(ESRss,0),IMDIV(COMPLEX(1,0),COMPLEX(0,L4*Cbulkss))),IMSUM(COMPLEX(Rcerss,0),IMDIV(COMPLEX(1,0),COMPLEX(0,L4*Ccerss)))))</f>
        <v>0.00850000081566319-609.529545944424i</v>
      </c>
    </row>
    <row r="5" spans="2:35" x14ac:dyDescent="0.2">
      <c r="B5" s="221" t="s">
        <v>192</v>
      </c>
      <c r="C5" s="102">
        <f>Vin_Max</f>
        <v>5.5</v>
      </c>
      <c r="D5" s="220" t="s">
        <v>3</v>
      </c>
      <c r="E5" s="221"/>
      <c r="F5" s="220"/>
      <c r="I5" s="227">
        <v>1</v>
      </c>
      <c r="J5" s="227">
        <f t="shared" si="0"/>
        <v>1.0097501225267833</v>
      </c>
      <c r="K5" s="227">
        <f>10^(J5)</f>
        <v>10.22704395528236</v>
      </c>
      <c r="L5" s="227">
        <f t="shared" ref="L5:L68" si="11">2*PI()*K5</f>
        <v>64.258412315709919</v>
      </c>
      <c r="M5" s="227">
        <f t="shared" si="1"/>
        <v>5809.7015750488872</v>
      </c>
      <c r="N5" s="227">
        <f>SQRT((ABS(AC5)-171.5+'Small Signal'!C$59)^2)</f>
        <v>100.85584574016605</v>
      </c>
      <c r="O5" s="227">
        <f t="shared" ref="O5:O68" si="12">ABS(AG5)</f>
        <v>92.105396716524325</v>
      </c>
      <c r="P5" s="227">
        <f t="shared" ref="P5:P68" si="13">ABS(AF5)</f>
        <v>50.852524105498397</v>
      </c>
      <c r="Q5" s="227">
        <f t="shared" ref="Q5:Q68" si="14">K5</f>
        <v>10.22704395528236</v>
      </c>
      <c r="R5" s="227" t="str">
        <f t="shared" si="2"/>
        <v>0.0945666666666667+0.000302014537883837i</v>
      </c>
      <c r="S5" s="227" t="str">
        <f t="shared" si="3"/>
        <v>0.0085-595.997799513987i</v>
      </c>
      <c r="T5" s="227" t="str">
        <f t="shared" ref="T5:T35" si="15">IMDIV(IMPRODUCT(S5,COMPLEX(Ross,0)),IMSUM(S5,COMPLEX(Ross,0)))</f>
        <v>13.0845923616848-0.287398972858459i</v>
      </c>
      <c r="U5" s="227" t="str">
        <f t="shared" si="4"/>
        <v>79.4000652651469-0.281990142306532i</v>
      </c>
      <c r="V5" s="227">
        <f t="shared" ref="V5:V68" si="16">20*LOG(IMABS(U5))</f>
        <v>37.996471966353084</v>
      </c>
      <c r="W5" s="227">
        <f t="shared" ref="W5:W68" si="17">IF(DEGREES(IMARGUMENT(U5))&gt;0,DEGREES(IMARGUMENT(U5))-360, DEGREES(IMARGUMENT(U5)))</f>
        <v>-0.20348569028307117</v>
      </c>
      <c r="X5" s="227" t="str">
        <f t="shared" si="5"/>
        <v>0.999999999256232-8.03111490901028E-06i</v>
      </c>
      <c r="Y5" s="227" t="str">
        <f t="shared" si="6"/>
        <v>61.3778522306864+0.487335959825447i</v>
      </c>
      <c r="Z5" s="227" t="str">
        <f t="shared" si="7"/>
        <v>31.9629107325418+0.253526616892886i</v>
      </c>
      <c r="AA5" s="227" t="str">
        <f t="shared" si="8"/>
        <v>18.8141073615567-0.211528635053312i</v>
      </c>
      <c r="AB5" s="227">
        <f t="shared" ref="AB5:AB68" si="18">20*LOG(IMABS(AA5))</f>
        <v>25.490221303317444</v>
      </c>
      <c r="AC5" s="227">
        <f t="shared" ref="AC5:AC68" si="19">IF(DEGREES(IMARGUMENT(AA5))&gt;0,DEGREES(IMARGUMENT(AA5))-360, DEGREES(IMARGUMENT(AA5)))</f>
        <v>-0.64415425983396313</v>
      </c>
      <c r="AD5" s="229">
        <f t="shared" ref="AD5:AD68" si="20">20*LOG(IMABS(AH5))</f>
        <v>25.362302802180952</v>
      </c>
      <c r="AE5" s="229">
        <f t="shared" ref="AE5:AE68" si="21">180+DEGREES(IMARGUMENT(AH5))</f>
        <v>92.749550976358293</v>
      </c>
      <c r="AF5" s="227">
        <f t="shared" si="9"/>
        <v>50.852524105498397</v>
      </c>
      <c r="AG5" s="227">
        <f t="shared" si="10"/>
        <v>92.105396716524325</v>
      </c>
      <c r="AH5" s="229" t="str">
        <f t="shared" ref="AH5:AH67" si="22">IMDIV(IMPRODUCT(COMPLEX(gea*Rea*Rslss/(Rslss+Rshss),0),COMPLEX(1,L5*Ccompss*Rcompss),COMPLEX(1,k_3*L5*Cffss*Rshss)),IMPRODUCT(COMPLEX(1,L5*Rea*Ccompss),COMPLEX(1,L5*Rcompss*Chfss),COMPLEX(1,k_3*L5*Rffss*Cffss)))</f>
        <v>0.889380452744517-18.5188867568157i</v>
      </c>
      <c r="AI5" s="229"/>
    </row>
    <row r="6" spans="2:35" x14ac:dyDescent="0.2">
      <c r="B6" s="221" t="s">
        <v>23</v>
      </c>
      <c r="C6" s="102">
        <f>Vout</f>
        <v>24</v>
      </c>
      <c r="D6" s="220" t="s">
        <v>3</v>
      </c>
      <c r="E6" s="221"/>
      <c r="F6" s="247">
        <f>Vout</f>
        <v>24</v>
      </c>
      <c r="G6" s="220" t="s">
        <v>3</v>
      </c>
      <c r="I6" s="227">
        <v>2</v>
      </c>
      <c r="J6" s="227">
        <f t="shared" si="0"/>
        <v>1.0195002450535668</v>
      </c>
      <c r="K6" s="227">
        <f>10^(J6)</f>
        <v>10.459242806327749</v>
      </c>
      <c r="L6" s="227">
        <f t="shared" si="11"/>
        <v>65.717360724942296</v>
      </c>
      <c r="M6" s="227">
        <f t="shared" si="1"/>
        <v>5809.4641042632866</v>
      </c>
      <c r="N6" s="227">
        <f>SQRT((ABS(AC6)-171.5+'Small Signal'!C$59)^2)</f>
        <v>100.84122171576132</v>
      </c>
      <c r="O6" s="227">
        <f t="shared" si="12"/>
        <v>92.068067667231105</v>
      </c>
      <c r="P6" s="227">
        <f t="shared" si="13"/>
        <v>50.657752856102611</v>
      </c>
      <c r="Q6" s="227">
        <f t="shared" si="14"/>
        <v>10.459242806327749</v>
      </c>
      <c r="R6" s="227" t="str">
        <f t="shared" si="2"/>
        <v>0.0945666666666667+0.000308871595407229i</v>
      </c>
      <c r="S6" s="227" t="str">
        <f t="shared" si="3"/>
        <v>0.0085-582.766439764979i</v>
      </c>
      <c r="T6" s="227" t="str">
        <f t="shared" si="15"/>
        <v>13.0843024169366-0.293917675442029i</v>
      </c>
      <c r="U6" s="227" t="str">
        <f t="shared" si="4"/>
        <v>79.4000566600748-0.288392643548997i</v>
      </c>
      <c r="V6" s="227">
        <f t="shared" si="16"/>
        <v>37.996473540688832</v>
      </c>
      <c r="W6" s="227">
        <f t="shared" si="17"/>
        <v>-0.2081057539601941</v>
      </c>
      <c r="X6" s="227" t="str">
        <f t="shared" si="5"/>
        <v>0.999999999222075-8.21345651843717E-06i</v>
      </c>
      <c r="Y6" s="227" t="str">
        <f t="shared" si="6"/>
        <v>61.3779445594042+0.498400533885435i</v>
      </c>
      <c r="Z6" s="227" t="str">
        <f t="shared" si="7"/>
        <v>31.9629589058205+0.259282735954584i</v>
      </c>
      <c r="AA6" s="227" t="str">
        <f t="shared" si="8"/>
        <v>18.8140031208908-0.216330120747798i</v>
      </c>
      <c r="AB6" s="227">
        <f t="shared" si="18"/>
        <v>25.490198386979401</v>
      </c>
      <c r="AC6" s="227">
        <f t="shared" si="19"/>
        <v>-0.65877828423867613</v>
      </c>
      <c r="AD6" s="229">
        <f t="shared" si="20"/>
        <v>25.16755446912321</v>
      </c>
      <c r="AE6" s="229">
        <f t="shared" si="21"/>
        <v>92.726845951469784</v>
      </c>
      <c r="AF6" s="227">
        <f t="shared" si="9"/>
        <v>50.657752856102611</v>
      </c>
      <c r="AG6" s="227">
        <f t="shared" si="10"/>
        <v>92.068067667231105</v>
      </c>
      <c r="AH6" s="229" t="str">
        <f t="shared" si="22"/>
        <v>0.862485362936997-18.1086339693704i</v>
      </c>
    </row>
    <row r="7" spans="2:35" x14ac:dyDescent="0.2">
      <c r="B7" s="221" t="s">
        <v>34</v>
      </c>
      <c r="C7" s="102">
        <f>Iout</f>
        <v>1.8333333333333333</v>
      </c>
      <c r="D7" s="220" t="s">
        <v>2</v>
      </c>
      <c r="E7" s="221"/>
      <c r="F7" s="247">
        <f>C7</f>
        <v>1.8333333333333333</v>
      </c>
      <c r="G7" s="220" t="s">
        <v>2</v>
      </c>
      <c r="I7" s="227">
        <v>3</v>
      </c>
      <c r="J7" s="227">
        <f t="shared" si="0"/>
        <v>1.0292503675803502</v>
      </c>
      <c r="K7" s="227">
        <f>10^(J7)</f>
        <v>10.696713591928464</v>
      </c>
      <c r="L7" s="227">
        <f t="shared" si="11"/>
        <v>67.209433675913104</v>
      </c>
      <c r="M7" s="227">
        <f t="shared" si="1"/>
        <v>5809.2212418470435</v>
      </c>
      <c r="N7" s="227">
        <f>SQRT((ABS(AC7)-171.5+'Small Signal'!C$59)^2)</f>
        <v>100.82626573895868</v>
      </c>
      <c r="O7" s="227">
        <f t="shared" si="12"/>
        <v>92.031778228506425</v>
      </c>
      <c r="P7" s="227">
        <f t="shared" si="13"/>
        <v>50.462973473289523</v>
      </c>
      <c r="Q7" s="227">
        <f t="shared" si="14"/>
        <v>10.696713591928464</v>
      </c>
      <c r="R7" s="227" t="str">
        <f t="shared" si="2"/>
        <v>0.0945666666666667+0.000315884338276792i</v>
      </c>
      <c r="S7" s="227" t="str">
        <f t="shared" si="3"/>
        <v>0.0085-569.828820833391i</v>
      </c>
      <c r="T7" s="227" t="str">
        <f t="shared" si="15"/>
        <v>13.0839991704415-0.300583927469573i</v>
      </c>
      <c r="U7" s="227" t="str">
        <f t="shared" si="4"/>
        <v>79.4000476597884-0.294940515670064i</v>
      </c>
      <c r="V7" s="227">
        <f t="shared" si="16"/>
        <v>37.996475187323952</v>
      </c>
      <c r="W7" s="227">
        <f t="shared" si="17"/>
        <v>-0.21283071646157567</v>
      </c>
      <c r="X7" s="227" t="str">
        <f t="shared" si="5"/>
        <v>0.999999999186349-8.39993808388573E-06i</v>
      </c>
      <c r="Y7" s="227" t="str">
        <f t="shared" si="6"/>
        <v>61.3780411283009+0.509716315839095i</v>
      </c>
      <c r="Z7" s="227" t="str">
        <f t="shared" si="7"/>
        <v>31.9630092914478+0.265169540769552i</v>
      </c>
      <c r="AA7" s="227" t="str">
        <f t="shared" si="8"/>
        <v>18.813894094227-0.221240541574763i</v>
      </c>
      <c r="AB7" s="227">
        <f t="shared" si="18"/>
        <v>25.490174418354986</v>
      </c>
      <c r="AC7" s="227">
        <f t="shared" si="19"/>
        <v>-0.67373426104132472</v>
      </c>
      <c r="AD7" s="229">
        <f t="shared" si="20"/>
        <v>24.972799054934537</v>
      </c>
      <c r="AE7" s="229">
        <f t="shared" si="21"/>
        <v>92.705512489547743</v>
      </c>
      <c r="AF7" s="227">
        <f t="shared" si="9"/>
        <v>50.462973473289523</v>
      </c>
      <c r="AG7" s="227">
        <f t="shared" si="10"/>
        <v>92.031778228506425</v>
      </c>
      <c r="AH7" s="229" t="str">
        <f t="shared" si="22"/>
        <v>0.836768759637614-17.7074323494042i</v>
      </c>
    </row>
    <row r="8" spans="2:35" ht="19.5" x14ac:dyDescent="0.35">
      <c r="B8" s="221" t="s">
        <v>134</v>
      </c>
      <c r="C8" s="102">
        <f>Rsh</f>
        <v>205000</v>
      </c>
      <c r="D8" s="220" t="s">
        <v>29</v>
      </c>
      <c r="E8" s="221"/>
      <c r="F8" s="248">
        <f>Rsh</f>
        <v>205000</v>
      </c>
      <c r="G8" s="220" t="s">
        <v>29</v>
      </c>
      <c r="I8" s="227">
        <v>4</v>
      </c>
      <c r="J8" s="227">
        <f t="shared" si="0"/>
        <v>1.0390004901071337</v>
      </c>
      <c r="K8" s="227">
        <f t="shared" ref="K8:K71" si="23">10^(J8)</f>
        <v>10.939576008171871</v>
      </c>
      <c r="L8" s="227">
        <f t="shared" si="11"/>
        <v>68.735383241319809</v>
      </c>
      <c r="M8" s="227">
        <f t="shared" si="1"/>
        <v>5808.9728653864422</v>
      </c>
      <c r="N8" s="227">
        <f>SQRT((ABS(AC8)-171.5+'Small Signal'!C$59)^2)</f>
        <v>100.8109702783598</v>
      </c>
      <c r="O8" s="227">
        <f t="shared" si="12"/>
        <v>91.99651026604721</v>
      </c>
      <c r="P8" s="227">
        <f t="shared" si="13"/>
        <v>50.268186405572294</v>
      </c>
      <c r="Q8" s="227">
        <f t="shared" si="14"/>
        <v>10.939576008171871</v>
      </c>
      <c r="R8" s="227" t="str">
        <f t="shared" si="2"/>
        <v>0.0945666666666667+0.000323056301234203i</v>
      </c>
      <c r="S8" s="227" t="str">
        <f t="shared" si="3"/>
        <v>0.0085-557.17842157026i</v>
      </c>
      <c r="T8" s="227" t="str">
        <f t="shared" si="15"/>
        <v>13.0836820126182-0.307401047385652i</v>
      </c>
      <c r="U8" s="227" t="str">
        <f t="shared" si="4"/>
        <v>79.400038246135-0.301637059642753i</v>
      </c>
      <c r="V8" s="227">
        <f t="shared" si="16"/>
        <v>37.996476909578682</v>
      </c>
      <c r="W8" s="227">
        <f t="shared" si="17"/>
        <v>-0.21766295966558058</v>
      </c>
      <c r="X8" s="227" t="str">
        <f t="shared" si="5"/>
        <v>0.999999999148983-8.59065360055497E-06i</v>
      </c>
      <c r="Y8" s="227" t="str">
        <f t="shared" si="6"/>
        <v>61.3781421321091+0.521289008751896i</v>
      </c>
      <c r="Z8" s="227" t="str">
        <f t="shared" si="7"/>
        <v>31.9630619910271+0.271189998238403i</v>
      </c>
      <c r="AA8" s="227" t="str">
        <f t="shared" si="8"/>
        <v>18.8137800618825-0.226262365289454i</v>
      </c>
      <c r="AB8" s="227">
        <f t="shared" si="18"/>
        <v>25.49014934913086</v>
      </c>
      <c r="AC8" s="227">
        <f t="shared" si="19"/>
        <v>-0.68902972164019571</v>
      </c>
      <c r="AD8" s="229">
        <f t="shared" si="20"/>
        <v>24.778037056441438</v>
      </c>
      <c r="AE8" s="229">
        <f t="shared" si="21"/>
        <v>92.685539987687406</v>
      </c>
      <c r="AF8" s="227">
        <f t="shared" si="9"/>
        <v>50.268186405572294</v>
      </c>
      <c r="AG8" s="227">
        <f t="shared" si="10"/>
        <v>91.99651026604721</v>
      </c>
      <c r="AH8" s="229" t="str">
        <f t="shared" si="22"/>
        <v>0.812179105489026-17.3150846399213i</v>
      </c>
    </row>
    <row r="9" spans="2:35" ht="19.5" x14ac:dyDescent="0.35">
      <c r="B9" s="221" t="s">
        <v>135</v>
      </c>
      <c r="C9" s="102">
        <f>Rsl</f>
        <v>11000</v>
      </c>
      <c r="D9" s="220" t="s">
        <v>29</v>
      </c>
      <c r="E9" s="221"/>
      <c r="F9" s="248">
        <f>Rsl</f>
        <v>11000</v>
      </c>
      <c r="G9" s="220" t="s">
        <v>29</v>
      </c>
      <c r="I9" s="227">
        <v>5</v>
      </c>
      <c r="J9" s="227">
        <f t="shared" si="0"/>
        <v>1.048750612633917</v>
      </c>
      <c r="K9" s="227">
        <f t="shared" si="23"/>
        <v>11.187952468772604</v>
      </c>
      <c r="L9" s="227">
        <f t="shared" si="11"/>
        <v>70.295978569215606</v>
      </c>
      <c r="M9" s="227">
        <f t="shared" si="1"/>
        <v>5808.7188496884401</v>
      </c>
      <c r="N9" s="227">
        <f>SQRT((ABS(AC9)-171.5+'Small Signal'!C$59)^2)</f>
        <v>100.7953276319453</v>
      </c>
      <c r="O9" s="227">
        <f t="shared" si="12"/>
        <v>91.962246148511483</v>
      </c>
      <c r="P9" s="227">
        <f t="shared" si="13"/>
        <v>50.073392086069092</v>
      </c>
      <c r="Q9" s="227">
        <f t="shared" si="14"/>
        <v>11.187952468772604</v>
      </c>
      <c r="R9" s="227" t="str">
        <f t="shared" si="2"/>
        <v>0.0945666666666667+0.000330391099275313i</v>
      </c>
      <c r="S9" s="227" t="str">
        <f t="shared" si="3"/>
        <v>0.0085-544.808865598426i</v>
      </c>
      <c r="T9" s="227" t="str">
        <f t="shared" si="15"/>
        <v>13.0833503060116-0.314372426782584i</v>
      </c>
      <c r="U9" s="227" t="str">
        <f t="shared" si="4"/>
        <v>79.4000284001282-0.308485651415608i</v>
      </c>
      <c r="V9" s="227">
        <f t="shared" si="16"/>
        <v>37.996478710925771</v>
      </c>
      <c r="W9" s="227">
        <f t="shared" si="17"/>
        <v>-0.22260491954459427</v>
      </c>
      <c r="X9" s="227" t="str">
        <f t="shared" si="5"/>
        <v>0.9999999991099-8.78569919774803E-06i</v>
      </c>
      <c r="Y9" s="227" t="str">
        <f t="shared" si="6"/>
        <v>61.3782477745036+0.533124445142043i</v>
      </c>
      <c r="Z9" s="227" t="str">
        <f t="shared" si="7"/>
        <v>31.9631171108273+0.277347142606678i</v>
      </c>
      <c r="AA9" s="227" t="str">
        <f t="shared" si="8"/>
        <v>18.8136607940965-0.231398115289452i</v>
      </c>
      <c r="AB9" s="227">
        <f t="shared" si="18"/>
        <v>25.490123128776254</v>
      </c>
      <c r="AC9" s="227">
        <f t="shared" si="19"/>
        <v>-0.70467236805469069</v>
      </c>
      <c r="AD9" s="229">
        <f t="shared" si="20"/>
        <v>24.583268957292837</v>
      </c>
      <c r="AE9" s="229">
        <f t="shared" si="21"/>
        <v>92.66691851656617</v>
      </c>
      <c r="AF9" s="227">
        <f t="shared" si="9"/>
        <v>50.073392086069092</v>
      </c>
      <c r="AG9" s="227">
        <f t="shared" si="10"/>
        <v>91.962246148511483</v>
      </c>
      <c r="AH9" s="229" t="str">
        <f t="shared" si="22"/>
        <v>0.788667108249347-16.9313977242343i</v>
      </c>
    </row>
    <row r="10" spans="2:35" ht="19.5" x14ac:dyDescent="0.35">
      <c r="B10" s="221" t="s">
        <v>136</v>
      </c>
      <c r="C10" s="102">
        <f>Rcomp</f>
        <v>4990</v>
      </c>
      <c r="D10" s="220" t="s">
        <v>29</v>
      </c>
      <c r="E10" s="221"/>
      <c r="F10" s="247">
        <f>Rcomp</f>
        <v>4990</v>
      </c>
      <c r="G10" s="220" t="s">
        <v>29</v>
      </c>
      <c r="I10" s="227">
        <v>6</v>
      </c>
      <c r="J10" s="227">
        <f t="shared" si="0"/>
        <v>1.0585007351607003</v>
      </c>
      <c r="K10" s="227">
        <f t="shared" si="23"/>
        <v>11.44196816677472</v>
      </c>
      <c r="L10" s="227">
        <f t="shared" si="11"/>
        <v>71.892006270695461</v>
      </c>
      <c r="M10" s="227">
        <f t="shared" si="1"/>
        <v>5808.4590667175607</v>
      </c>
      <c r="N10" s="227">
        <f>SQRT((ABS(AC10)-171.5+'Small Signal'!C$59)^2)</f>
        <v>100.77932992322692</v>
      </c>
      <c r="O10" s="227">
        <f t="shared" si="12"/>
        <v>91.928968739286944</v>
      </c>
      <c r="P10" s="227">
        <f t="shared" si="13"/>
        <v>49.878590933366908</v>
      </c>
      <c r="Q10" s="227">
        <f t="shared" si="14"/>
        <v>11.44196816677472</v>
      </c>
      <c r="R10" s="227" t="str">
        <f t="shared" si="2"/>
        <v>0.0945666666666667+0.000337892429472269i</v>
      </c>
      <c r="S10" s="227" t="str">
        <f t="shared" si="3"/>
        <v>0.0085-532.713918098519i</v>
      </c>
      <c r="T10" s="227" t="str">
        <f t="shared" si="15"/>
        <v>13.0830033840245-0.321501531908799i</v>
      </c>
      <c r="U10" s="227" t="str">
        <f t="shared" si="4"/>
        <v>79.4000181019077-0.315489743616979i</v>
      </c>
      <c r="V10" s="227">
        <f t="shared" si="16"/>
        <v>37.996480594997259</v>
      </c>
      <c r="W10" s="227">
        <f t="shared" si="17"/>
        <v>-0.22765908739423374</v>
      </c>
      <c r="X10" s="227" t="str">
        <f t="shared" si="5"/>
        <v>0.999999999069023-0.0000089851731873258i</v>
      </c>
      <c r="Y10" s="227" t="str">
        <f t="shared" si="6"/>
        <v>61.3783582685134+0.545228589917412i</v>
      </c>
      <c r="Z10" s="227" t="str">
        <f t="shared" si="7"/>
        <v>31.9631747619982+0.283644076992708i</v>
      </c>
      <c r="AA10" s="227" t="str">
        <f t="shared" si="8"/>
        <v>18.8135360505674-0.236650371851071i</v>
      </c>
      <c r="AB10" s="227">
        <f t="shared" si="18"/>
        <v>25.49009570444078</v>
      </c>
      <c r="AC10" s="227">
        <f t="shared" si="19"/>
        <v>-0.72067007677306438</v>
      </c>
      <c r="AD10" s="229">
        <f t="shared" si="20"/>
        <v>24.388495228926132</v>
      </c>
      <c r="AE10" s="229">
        <f t="shared" si="21"/>
        <v>92.649638816060005</v>
      </c>
      <c r="AF10" s="227">
        <f t="shared" si="9"/>
        <v>49.878590933366908</v>
      </c>
      <c r="AG10" s="227">
        <f t="shared" si="10"/>
        <v>91.928968739286944</v>
      </c>
      <c r="AH10" s="229" t="str">
        <f t="shared" si="22"/>
        <v>0.766185623736136-16.5561825495181i</v>
      </c>
    </row>
    <row r="11" spans="2:35" ht="19.5" x14ac:dyDescent="0.35">
      <c r="B11" s="221" t="s">
        <v>132</v>
      </c>
      <c r="C11" s="103">
        <f>Ccomp</f>
        <v>4.6999999999999997E-8</v>
      </c>
      <c r="D11" s="220" t="s">
        <v>7</v>
      </c>
      <c r="E11" s="221"/>
      <c r="F11" s="249">
        <f>Ccomp</f>
        <v>4.6999999999999997E-8</v>
      </c>
      <c r="G11" s="220" t="s">
        <v>7</v>
      </c>
      <c r="I11" s="227">
        <v>7</v>
      </c>
      <c r="J11" s="227">
        <f t="shared" si="0"/>
        <v>1.0682508576874838</v>
      </c>
      <c r="K11" s="227">
        <f t="shared" si="23"/>
        <v>11.701751137654661</v>
      </c>
      <c r="L11" s="227">
        <f t="shared" si="11"/>
        <v>73.524270816383776</v>
      </c>
      <c r="M11" s="227">
        <f t="shared" si="1"/>
        <v>5808.1933855313582</v>
      </c>
      <c r="N11" s="227">
        <f>SQRT((ABS(AC11)-171.5+'Small Signal'!C$59)^2)</f>
        <v>100.76296909731425</v>
      </c>
      <c r="O11" s="227">
        <f t="shared" si="12"/>
        <v>91.896661388458611</v>
      </c>
      <c r="P11" s="227">
        <f t="shared" si="13"/>
        <v>49.683783352357196</v>
      </c>
      <c r="Q11" s="227">
        <f t="shared" si="14"/>
        <v>11.701751137654661</v>
      </c>
      <c r="R11" s="227" t="str">
        <f t="shared" si="2"/>
        <v>0.0945666666666667+0.000345564072837004i</v>
      </c>
      <c r="S11" s="227" t="str">
        <f t="shared" si="3"/>
        <v>0.0085-520.887482666356i</v>
      </c>
      <c r="T11" s="227" t="str">
        <f t="shared" si="15"/>
        <v>13.082640549592-0.328791905200855i</v>
      </c>
      <c r="U11" s="227" t="str">
        <f t="shared" si="4"/>
        <v>79.4000073307024-0.322652867298139i</v>
      </c>
      <c r="V11" s="227">
        <f t="shared" si="16"/>
        <v>37.996482565592153</v>
      </c>
      <c r="W11" s="227">
        <f t="shared" si="17"/>
        <v>-0.23282801109052545</v>
      </c>
      <c r="X11" s="227" t="str">
        <f t="shared" si="5"/>
        <v>0.999999999026269-9.18917611326055E-06i</v>
      </c>
      <c r="Y11" s="227" t="str">
        <f t="shared" si="6"/>
        <v>61.3784738369512+0.557607543379005i</v>
      </c>
      <c r="Z11" s="227" t="str">
        <f t="shared" si="7"/>
        <v>31.9632350607941+0.290083974950087i</v>
      </c>
      <c r="AA11" s="227" t="str">
        <f t="shared" si="8"/>
        <v>18.813405579971-0.242021773391991i</v>
      </c>
      <c r="AB11" s="227">
        <f t="shared" si="18"/>
        <v>25.490067020848613</v>
      </c>
      <c r="AC11" s="227">
        <f t="shared" si="19"/>
        <v>-0.73703090268573501</v>
      </c>
      <c r="AD11" s="229">
        <f t="shared" si="20"/>
        <v>24.193716331508579</v>
      </c>
      <c r="AE11" s="229">
        <f t="shared" si="21"/>
        <v>92.633692291144342</v>
      </c>
      <c r="AF11" s="227">
        <f t="shared" si="9"/>
        <v>49.683783352357196</v>
      </c>
      <c r="AG11" s="227">
        <f t="shared" si="10"/>
        <v>91.896661388458611</v>
      </c>
      <c r="AH11" s="229" t="str">
        <f t="shared" si="22"/>
        <v>0.744689562901735-16.1892540510616i</v>
      </c>
      <c r="AI11" s="230"/>
    </row>
    <row r="12" spans="2:35" ht="19.5" x14ac:dyDescent="0.35">
      <c r="B12" s="221" t="s">
        <v>133</v>
      </c>
      <c r="C12" s="103">
        <f>Chf</f>
        <v>5.6000000000000003E-10</v>
      </c>
      <c r="D12" s="220" t="s">
        <v>7</v>
      </c>
      <c r="E12" s="221"/>
      <c r="F12" s="249">
        <f>Chf</f>
        <v>5.6000000000000003E-10</v>
      </c>
      <c r="G12" s="220" t="s">
        <v>7</v>
      </c>
      <c r="I12" s="227">
        <v>8</v>
      </c>
      <c r="J12" s="227">
        <f t="shared" si="0"/>
        <v>1.0780009802142672</v>
      </c>
      <c r="K12" s="227">
        <f t="shared" si="23"/>
        <v>11.967432323856951</v>
      </c>
      <c r="L12" s="227">
        <f t="shared" si="11"/>
        <v>75.193594941924047</v>
      </c>
      <c r="M12" s="227">
        <f t="shared" si="1"/>
        <v>5807.9216722144201</v>
      </c>
      <c r="N12" s="227">
        <f>SQRT((ABS(AC12)-171.5+'Small Signal'!C$59)^2)</f>
        <v>100.74623691689408</v>
      </c>
      <c r="O12" s="227">
        <f t="shared" si="12"/>
        <v>91.865307924973578</v>
      </c>
      <c r="P12" s="227">
        <f t="shared" si="13"/>
        <v>49.488969735043696</v>
      </c>
      <c r="Q12" s="227">
        <f t="shared" si="14"/>
        <v>11.967432323856951</v>
      </c>
      <c r="R12" s="227" t="str">
        <f t="shared" si="2"/>
        <v>0.0945666666666667+0.000353409896227043i</v>
      </c>
      <c r="S12" s="227" t="str">
        <f t="shared" si="3"/>
        <v>0.0085-509.32359824005i</v>
      </c>
      <c r="T12" s="227" t="str">
        <f t="shared" si="15"/>
        <v>13.0822610737952-0.33624716683897i</v>
      </c>
      <c r="U12" s="227" t="str">
        <f t="shared" si="4"/>
        <v>79.3999960647875-0.329978633716163i</v>
      </c>
      <c r="V12" s="227">
        <f t="shared" si="16"/>
        <v>37.996484626683966</v>
      </c>
      <c r="W12" s="227">
        <f t="shared" si="17"/>
        <v>-0.23811429637574061</v>
      </c>
      <c r="X12" s="227" t="str">
        <f t="shared" si="5"/>
        <v>0.999999998981551-9.39781080231463E-06i</v>
      </c>
      <c r="Y12" s="227" t="str">
        <f t="shared" si="6"/>
        <v>61.3785947128648+0.570267544292406i</v>
      </c>
      <c r="Z12" s="227" t="str">
        <f t="shared" si="7"/>
        <v>31.9632981288095+0.296670082065513i</v>
      </c>
      <c r="AA12" s="227" t="str">
        <f t="shared" si="8"/>
        <v>18.8132691194544-0.247515017760515i</v>
      </c>
      <c r="AB12" s="227">
        <f t="shared" si="18"/>
        <v>25.490037020186698</v>
      </c>
      <c r="AC12" s="227">
        <f t="shared" si="19"/>
        <v>-0.753763083105911</v>
      </c>
      <c r="AD12" s="229">
        <f t="shared" si="20"/>
        <v>23.998932714856998</v>
      </c>
      <c r="AE12" s="229">
        <f t="shared" si="21"/>
        <v>92.619071008079487</v>
      </c>
      <c r="AF12" s="227">
        <f t="shared" si="9"/>
        <v>49.488969735043696</v>
      </c>
      <c r="AG12" s="227">
        <f t="shared" si="10"/>
        <v>91.865307924973578</v>
      </c>
      <c r="AH12" s="229" t="str">
        <f t="shared" si="22"/>
        <v>0.724135802869721-15.8304310772679i</v>
      </c>
      <c r="AI12" s="230"/>
    </row>
    <row r="13" spans="2:35" x14ac:dyDescent="0.2">
      <c r="B13" s="221" t="s">
        <v>35</v>
      </c>
      <c r="C13" s="102">
        <f>fsw</f>
        <v>750000</v>
      </c>
      <c r="D13" s="220" t="s">
        <v>5</v>
      </c>
      <c r="E13" s="221"/>
      <c r="F13" s="249">
        <f>C13</f>
        <v>750000</v>
      </c>
      <c r="G13" s="220" t="s">
        <v>5</v>
      </c>
      <c r="I13" s="227">
        <v>9</v>
      </c>
      <c r="J13" s="227">
        <f t="shared" si="0"/>
        <v>1.0877511027410507</v>
      </c>
      <c r="K13" s="227">
        <f t="shared" si="23"/>
        <v>12.239145640795199</v>
      </c>
      <c r="L13" s="227">
        <f t="shared" si="11"/>
        <v>76.900820062675479</v>
      </c>
      <c r="M13" s="227">
        <f t="shared" si="1"/>
        <v>5807.6437898108634</v>
      </c>
      <c r="N13" s="227">
        <f>SQRT((ABS(AC13)-171.5+'Small Signal'!C$59)^2)</f>
        <v>100.72912495812048</v>
      </c>
      <c r="O13" s="227">
        <f t="shared" si="12"/>
        <v>91.834892649001901</v>
      </c>
      <c r="P13" s="227">
        <f t="shared" si="13"/>
        <v>49.294150461325387</v>
      </c>
      <c r="Q13" s="227">
        <f t="shared" si="14"/>
        <v>12.239145640795199</v>
      </c>
      <c r="R13" s="227" t="str">
        <f t="shared" si="2"/>
        <v>0.0945666666666667+0.000361433854294575i</v>
      </c>
      <c r="S13" s="227" t="str">
        <f t="shared" si="3"/>
        <v>0.0085-498.016436095378i</v>
      </c>
      <c r="T13" s="227" t="str">
        <f t="shared" si="15"/>
        <v>13.081864194414-0.343871016325803i</v>
      </c>
      <c r="U13" s="227" t="str">
        <f t="shared" si="4"/>
        <v>79.3999842814378-0.337470736157363i</v>
      </c>
      <c r="V13" s="227">
        <f t="shared" si="16"/>
        <v>37.996486782428455</v>
      </c>
      <c r="W13" s="227">
        <f t="shared" si="17"/>
        <v>-0.24352060817345367</v>
      </c>
      <c r="X13" s="227" t="str">
        <f t="shared" si="5"/>
        <v>0.999999998934779-9.61118241586992E-06i</v>
      </c>
      <c r="Y13" s="227" t="str">
        <f t="shared" si="6"/>
        <v>61.3787211400015+0.583214973028834i</v>
      </c>
      <c r="Z13" s="227" t="str">
        <f t="shared" si="7"/>
        <v>31.9633640932218+0.303405717592841i</v>
      </c>
      <c r="AA13" s="227" t="str">
        <f t="shared" si="8"/>
        <v>18.8131263941085-0.253132863552005i</v>
      </c>
      <c r="AB13" s="227">
        <f t="shared" si="18"/>
        <v>25.49000564198872</v>
      </c>
      <c r="AC13" s="227">
        <f t="shared" si="19"/>
        <v>-0.77087504187951217</v>
      </c>
      <c r="AD13" s="229">
        <f t="shared" si="20"/>
        <v>23.804144819336667</v>
      </c>
      <c r="AE13" s="229">
        <f t="shared" si="21"/>
        <v>92.605767690881407</v>
      </c>
      <c r="AF13" s="227">
        <f t="shared" si="9"/>
        <v>49.294150461325387</v>
      </c>
      <c r="AG13" s="227">
        <f t="shared" si="10"/>
        <v>91.834892649001901</v>
      </c>
      <c r="AH13" s="229" t="str">
        <f t="shared" si="22"/>
        <v>0.70448310176867-15.4795363154446i</v>
      </c>
      <c r="AI13" s="230"/>
    </row>
    <row r="14" spans="2:35" x14ac:dyDescent="0.2">
      <c r="B14" s="221" t="s">
        <v>59</v>
      </c>
      <c r="C14" s="103">
        <f>L</f>
        <v>4.6999999999999999E-6</v>
      </c>
      <c r="D14" s="220" t="s">
        <v>6</v>
      </c>
      <c r="E14" s="221"/>
      <c r="F14" s="249">
        <f>L</f>
        <v>4.6999999999999999E-6</v>
      </c>
      <c r="G14" s="220" t="s">
        <v>6</v>
      </c>
      <c r="I14" s="227">
        <v>10</v>
      </c>
      <c r="J14" s="227">
        <f t="shared" si="0"/>
        <v>1.097501225267834</v>
      </c>
      <c r="K14" s="227">
        <f t="shared" si="23"/>
        <v>12.517028044351497</v>
      </c>
      <c r="L14" s="227">
        <f t="shared" si="11"/>
        <v>78.646806697824147</v>
      </c>
      <c r="M14" s="227">
        <f t="shared" si="1"/>
        <v>5807.359598255307</v>
      </c>
      <c r="N14" s="227">
        <f>SQRT((ABS(AC14)-171.5+'Small Signal'!C$59)^2)</f>
        <v>100.71162460641395</v>
      </c>
      <c r="O14" s="227">
        <f t="shared" si="12"/>
        <v>91.805400324491487</v>
      </c>
      <c r="P14" s="227">
        <f t="shared" si="13"/>
        <v>49.099325899755954</v>
      </c>
      <c r="Q14" s="227">
        <f t="shared" si="14"/>
        <v>12.517028044351497</v>
      </c>
      <c r="R14" s="227" t="str">
        <f t="shared" si="2"/>
        <v>0.0945666666666667+0.000369639991479774i</v>
      </c>
      <c r="S14" s="227" t="str">
        <f t="shared" si="3"/>
        <v>0.0085-486.960296907836i</v>
      </c>
      <c r="T14" s="227" t="str">
        <f t="shared" si="15"/>
        <v>13.0814491144132-0.351667234088177i</v>
      </c>
      <c r="U14" s="227" t="str">
        <f t="shared" si="4"/>
        <v>79.3999719568853-0.345132951802407i</v>
      </c>
      <c r="V14" s="227">
        <f t="shared" si="16"/>
        <v>37.996489037172338</v>
      </c>
      <c r="W14" s="227">
        <f t="shared" si="17"/>
        <v>-0.24904967193360811</v>
      </c>
      <c r="X14" s="227" t="str">
        <f t="shared" si="5"/>
        <v>0.99999999888586-9.82939850293385E-06i</v>
      </c>
      <c r="Y14" s="227" t="str">
        <f t="shared" si="6"/>
        <v>61.3788533733061+0.596456354777283i</v>
      </c>
      <c r="Z14" s="227" t="str">
        <f t="shared" si="7"/>
        <v>31.9634330870503+0.310294276124109i</v>
      </c>
      <c r="AA14" s="227" t="str">
        <f t="shared" si="8"/>
        <v>18.8129771164154-0.258878131452865i</v>
      </c>
      <c r="AB14" s="227">
        <f t="shared" si="18"/>
        <v>25.489972823013236</v>
      </c>
      <c r="AC14" s="227">
        <f t="shared" si="19"/>
        <v>-0.78837539358606057</v>
      </c>
      <c r="AD14" s="229">
        <f t="shared" si="20"/>
        <v>23.609353076742718</v>
      </c>
      <c r="AE14" s="229">
        <f t="shared" si="21"/>
        <v>92.593775718077552</v>
      </c>
      <c r="AF14" s="227">
        <f t="shared" si="9"/>
        <v>49.099325899755954</v>
      </c>
      <c r="AG14" s="227">
        <f t="shared" si="10"/>
        <v>91.805400324491487</v>
      </c>
      <c r="AH14" s="229" t="str">
        <f t="shared" si="22"/>
        <v>0.685692017205843-15.1363962184256i</v>
      </c>
    </row>
    <row r="15" spans="2:35" x14ac:dyDescent="0.2">
      <c r="B15" s="221" t="s">
        <v>27</v>
      </c>
      <c r="C15" s="102">
        <f>DCR</f>
        <v>1.95E-2</v>
      </c>
      <c r="D15" s="220" t="s">
        <v>29</v>
      </c>
      <c r="E15" s="221"/>
      <c r="F15" s="247">
        <f>DCR</f>
        <v>1.95E-2</v>
      </c>
      <c r="G15" s="220" t="s">
        <v>29</v>
      </c>
      <c r="I15" s="227">
        <v>11</v>
      </c>
      <c r="J15" s="227">
        <f t="shared" si="0"/>
        <v>1.1072513477946173</v>
      </c>
      <c r="K15" s="227">
        <f t="shared" si="23"/>
        <v>12.801219599908473</v>
      </c>
      <c r="L15" s="227">
        <f t="shared" si="11"/>
        <v>80.432434904124264</v>
      </c>
      <c r="M15" s="227">
        <f t="shared" si="1"/>
        <v>5807.0689543022663</v>
      </c>
      <c r="N15" s="227">
        <f>SQRT((ABS(AC15)-171.5+'Small Signal'!C$59)^2)</f>
        <v>100.69372705216728</v>
      </c>
      <c r="O15" s="227">
        <f t="shared" si="12"/>
        <v>91.776816171916138</v>
      </c>
      <c r="P15" s="227">
        <f t="shared" si="13"/>
        <v>48.904496408279897</v>
      </c>
      <c r="Q15" s="227">
        <f t="shared" si="14"/>
        <v>12.801219599908473</v>
      </c>
      <c r="R15" s="227" t="str">
        <f t="shared" si="2"/>
        <v>0.0945666666666667+0.000378032444049384i</v>
      </c>
      <c r="S15" s="227" t="str">
        <f t="shared" si="3"/>
        <v>0.0085-476.149607879915i</v>
      </c>
      <c r="T15" s="227" t="str">
        <f t="shared" si="15"/>
        <v>13.0810150003621-0.359639683101401i</v>
      </c>
      <c r="U15" s="227" t="str">
        <f t="shared" si="4"/>
        <v>79.3999590662708-0.35296914363389i</v>
      </c>
      <c r="V15" s="227">
        <f t="shared" si="16"/>
        <v>37.996491395462037</v>
      </c>
      <c r="W15" s="227">
        <f t="shared" si="17"/>
        <v>-0.25470427500817178</v>
      </c>
      <c r="X15" s="227" t="str">
        <f t="shared" si="5"/>
        <v>0.999999998834693-0.0000100525690543491i</v>
      </c>
      <c r="Y15" s="227" t="str">
        <f t="shared" si="6"/>
        <v>61.3789916794308+0.609998362829445i</v>
      </c>
      <c r="Z15" s="227" t="str">
        <f t="shared" si="7"/>
        <v>31.9635052494232+0.317339229298432i</v>
      </c>
      <c r="AA15" s="227" t="str">
        <f t="shared" si="8"/>
        <v>18.8128209856712-0.264753705612643i</v>
      </c>
      <c r="AB15" s="227">
        <f t="shared" si="18"/>
        <v>25.489938497116555</v>
      </c>
      <c r="AC15" s="227">
        <f t="shared" si="19"/>
        <v>-0.80627294783271253</v>
      </c>
      <c r="AD15" s="229">
        <f t="shared" si="20"/>
        <v>23.414557911163346</v>
      </c>
      <c r="AE15" s="229">
        <f t="shared" si="21"/>
        <v>92.583089119748848</v>
      </c>
      <c r="AF15" s="227">
        <f t="shared" si="9"/>
        <v>48.904496408279897</v>
      </c>
      <c r="AG15" s="227">
        <f t="shared" si="10"/>
        <v>91.776816171916138</v>
      </c>
      <c r="AH15" s="229" t="str">
        <f t="shared" si="22"/>
        <v>0.667724828229389-14.8008409320542i</v>
      </c>
    </row>
    <row r="16" spans="2:35" x14ac:dyDescent="0.2">
      <c r="B16" s="221" t="s">
        <v>56</v>
      </c>
      <c r="C16" s="102">
        <f>Rdson_ls</f>
        <v>8.3999999999999995E-3</v>
      </c>
      <c r="D16" s="220" t="s">
        <v>29</v>
      </c>
      <c r="E16" s="221"/>
      <c r="F16" s="247">
        <f>Rdsonss</f>
        <v>8.3999999999999995E-3</v>
      </c>
      <c r="G16" s="220" t="s">
        <v>29</v>
      </c>
      <c r="I16" s="227">
        <v>12</v>
      </c>
      <c r="J16" s="227">
        <f t="shared" si="0"/>
        <v>1.1170014703214008</v>
      </c>
      <c r="K16" s="227">
        <f t="shared" si="23"/>
        <v>13.091863552948606</v>
      </c>
      <c r="L16" s="227">
        <f t="shared" si="11"/>
        <v>82.258604719486613</v>
      </c>
      <c r="M16" s="227">
        <f t="shared" si="1"/>
        <v>5806.7717114539582</v>
      </c>
      <c r="N16" s="227">
        <f>SQRT((ABS(AC16)-171.5+'Small Signal'!C$59)^2)</f>
        <v>100.6754232863569</v>
      </c>
      <c r="O16" s="227">
        <f t="shared" si="12"/>
        <v>91.749125861214168</v>
      </c>
      <c r="P16" s="227">
        <f t="shared" si="13"/>
        <v>48.70966233494832</v>
      </c>
      <c r="Q16" s="227">
        <f t="shared" si="14"/>
        <v>13.091863552948606</v>
      </c>
      <c r="R16" s="227" t="str">
        <f t="shared" si="2"/>
        <v>0.0945666666666667+0.000386615442181587i</v>
      </c>
      <c r="S16" s="227" t="str">
        <f t="shared" si="3"/>
        <v>0.0085-465.578919932167i</v>
      </c>
      <c r="T16" s="227" t="str">
        <f t="shared" si="15"/>
        <v>13.0805609807823-0.367792310535721i</v>
      </c>
      <c r="U16" s="227" t="str">
        <f t="shared" si="4"/>
        <v>79.3999455835916-0.36098326238741i</v>
      </c>
      <c r="V16" s="227">
        <f t="shared" si="16"/>
        <v>37.996493862052596</v>
      </c>
      <c r="W16" s="227">
        <f t="shared" si="17"/>
        <v>-0.26048726805813072</v>
      </c>
      <c r="X16" s="227" t="str">
        <f t="shared" si="5"/>
        <v>0.999999998781178-0.000010280806558234i</v>
      </c>
      <c r="Y16" s="227" t="str">
        <f t="shared" si="6"/>
        <v>61.379136337276+0.623847821938903i</v>
      </c>
      <c r="Z16" s="227" t="str">
        <f t="shared" si="7"/>
        <v>31.9635807258589+0.324544127549535i</v>
      </c>
      <c r="AA16" s="227" t="str">
        <f t="shared" si="8"/>
        <v>18.8126576873813-0.270762535044599i</v>
      </c>
      <c r="AB16" s="227">
        <f t="shared" si="18"/>
        <v>25.489902595119254</v>
      </c>
      <c r="AC16" s="227">
        <f t="shared" si="19"/>
        <v>-0.82457671364308394</v>
      </c>
      <c r="AD16" s="229">
        <f t="shared" si="20"/>
        <v>23.219759739829069</v>
      </c>
      <c r="AE16" s="229">
        <f t="shared" si="21"/>
        <v>92.573702574857251</v>
      </c>
      <c r="AF16" s="227">
        <f t="shared" si="9"/>
        <v>48.70966233494832</v>
      </c>
      <c r="AG16" s="227">
        <f t="shared" si="10"/>
        <v>91.749125861214168</v>
      </c>
      <c r="AH16" s="229" t="str">
        <f t="shared" si="22"/>
        <v>0.650545460633779-14.472704223562i</v>
      </c>
    </row>
    <row r="17" spans="2:34" x14ac:dyDescent="0.2">
      <c r="B17" s="221" t="s">
        <v>137</v>
      </c>
      <c r="C17" s="103">
        <f>Co</f>
        <v>2.6111111111111114E-5</v>
      </c>
      <c r="D17" s="220" t="s">
        <v>7</v>
      </c>
      <c r="E17" s="221"/>
      <c r="F17" s="249">
        <f>Co</f>
        <v>2.6111111111111114E-5</v>
      </c>
      <c r="G17" s="220" t="s">
        <v>7</v>
      </c>
      <c r="I17" s="227">
        <v>13</v>
      </c>
      <c r="J17" s="227">
        <f t="shared" si="0"/>
        <v>1.1267515928481842</v>
      </c>
      <c r="K17" s="227">
        <f t="shared" si="23"/>
        <v>13.38910640125644</v>
      </c>
      <c r="L17" s="227">
        <f t="shared" si="11"/>
        <v>84.126236616638607</v>
      </c>
      <c r="M17" s="227">
        <f t="shared" si="1"/>
        <v>5806.4677198864547</v>
      </c>
      <c r="N17" s="227">
        <f>SQRT((ABS(AC17)-171.5+'Small Signal'!C$59)^2)</f>
        <v>100.65670409605684</v>
      </c>
      <c r="O17" s="227">
        <f t="shared" si="12"/>
        <v>91.722315504916367</v>
      </c>
      <c r="P17" s="227">
        <f t="shared" si="13"/>
        <v>48.514824018615343</v>
      </c>
      <c r="Q17" s="227">
        <f t="shared" si="14"/>
        <v>13.38910640125644</v>
      </c>
      <c r="R17" s="227" t="str">
        <f t="shared" si="2"/>
        <v>0.0945666666666667+0.000395393312098201i</v>
      </c>
      <c r="S17" s="227" t="str">
        <f t="shared" si="3"/>
        <v>0.0085-455.242904956609i</v>
      </c>
      <c r="T17" s="227" t="str">
        <f t="shared" si="15"/>
        <v>13.0800861444212-0.376129149424423i</v>
      </c>
      <c r="U17" s="227" t="str">
        <f t="shared" si="4"/>
        <v>79.3999314816511-0.369179348547225i</v>
      </c>
      <c r="V17" s="227">
        <f t="shared" si="16"/>
        <v>37.996496441917522</v>
      </c>
      <c r="W17" s="227">
        <f t="shared" si="17"/>
        <v>-0.26640156649257557</v>
      </c>
      <c r="X17" s="227" t="str">
        <f t="shared" si="5"/>
        <v>0.999999998725204-0.0000105142260566814i</v>
      </c>
      <c r="Y17" s="227" t="str">
        <f t="shared" si="6"/>
        <v>61.3792876385503+0.638011711756472i</v>
      </c>
      <c r="Z17" s="227" t="str">
        <f t="shared" si="7"/>
        <v>31.9636596685589+0.331912601892882i</v>
      </c>
      <c r="AA17" s="227" t="str">
        <f t="shared" si="8"/>
        <v>18.8124868926301-0.276907635055345i</v>
      </c>
      <c r="AB17" s="227">
        <f t="shared" si="18"/>
        <v>25.489865044667525</v>
      </c>
      <c r="AC17" s="227">
        <f t="shared" si="19"/>
        <v>-0.84329590394314635</v>
      </c>
      <c r="AD17" s="229">
        <f t="shared" si="20"/>
        <v>23.024958973947815</v>
      </c>
      <c r="AE17" s="229">
        <f t="shared" si="21"/>
        <v>92.56561140885951</v>
      </c>
      <c r="AF17" s="227">
        <f t="shared" si="9"/>
        <v>48.514824018615343</v>
      </c>
      <c r="AG17" s="227">
        <f t="shared" si="10"/>
        <v>91.722315504916367</v>
      </c>
      <c r="AH17" s="229" t="str">
        <f t="shared" si="22"/>
        <v>0.634119415468695-14.1518234108666i</v>
      </c>
    </row>
    <row r="18" spans="2:34" x14ac:dyDescent="0.2">
      <c r="B18" s="221" t="s">
        <v>271</v>
      </c>
      <c r="C18" s="104">
        <f>Co_esr</f>
        <v>8.5000000000000006E-3</v>
      </c>
      <c r="D18" s="220" t="s">
        <v>29</v>
      </c>
      <c r="E18" s="221"/>
      <c r="F18" s="250">
        <f>Co_esr</f>
        <v>8.5000000000000006E-3</v>
      </c>
      <c r="G18" s="220" t="s">
        <v>29</v>
      </c>
      <c r="I18" s="227">
        <v>14</v>
      </c>
      <c r="J18" s="227">
        <f t="shared" si="0"/>
        <v>1.1365017153749677</v>
      </c>
      <c r="K18" s="227">
        <f t="shared" si="23"/>
        <v>13.693097968760206</v>
      </c>
      <c r="L18" s="227">
        <f t="shared" si="11"/>
        <v>86.036271967084758</v>
      </c>
      <c r="M18" s="227">
        <f t="shared" si="1"/>
        <v>5806.1568263741656</v>
      </c>
      <c r="N18" s="227">
        <f>SQRT((ABS(AC18)-171.5+'Small Signal'!C$59)^2)</f>
        <v>100.637560059854</v>
      </c>
      <c r="O18" s="227">
        <f t="shared" si="12"/>
        <v>91.696371651461007</v>
      </c>
      <c r="P18" s="227">
        <f t="shared" si="13"/>
        <v>48.319981789615838</v>
      </c>
      <c r="Q18" s="227">
        <f t="shared" si="14"/>
        <v>13.693097968760206</v>
      </c>
      <c r="R18" s="227" t="str">
        <f t="shared" si="2"/>
        <v>0.0945666666666667+0.000404370478245298i</v>
      </c>
      <c r="S18" s="227" t="str">
        <f t="shared" si="3"/>
        <v>0.0085-445.136353131123i</v>
      </c>
      <c r="T18" s="227" t="str">
        <f t="shared" si="15"/>
        <v>13.0795895384496-0.384654320352974i</v>
      </c>
      <c r="U18" s="227" t="str">
        <f t="shared" si="4"/>
        <v>79.3999167320015-0.377561534387329i</v>
      </c>
      <c r="V18" s="227">
        <f t="shared" si="16"/>
        <v>37.996499140258528</v>
      </c>
      <c r="W18" s="227">
        <f t="shared" si="17"/>
        <v>-0.27245015194050853</v>
      </c>
      <c r="X18" s="227" t="str">
        <f t="shared" si="5"/>
        <v>0.99999999866666-0.0000107529452037456i</v>
      </c>
      <c r="Y18" s="227" t="str">
        <f t="shared" si="6"/>
        <v>61.3794458883577+0.652497170343216i</v>
      </c>
      <c r="Z18" s="227" t="str">
        <f t="shared" si="7"/>
        <v>31.9637422367137+0.339448365753238i</v>
      </c>
      <c r="AA18" s="227" t="str">
        <f t="shared" si="8"/>
        <v>18.8123082574202-0.283192088703907i</v>
      </c>
      <c r="AB18" s="227">
        <f t="shared" si="18"/>
        <v>25.48982577008735</v>
      </c>
      <c r="AC18" s="227">
        <f t="shared" si="19"/>
        <v>-0.86243994014600756</v>
      </c>
      <c r="AD18" s="229">
        <f t="shared" si="20"/>
        <v>22.830156019528491</v>
      </c>
      <c r="AE18" s="229">
        <f t="shared" si="21"/>
        <v>92.558811591607011</v>
      </c>
      <c r="AF18" s="227">
        <f t="shared" si="9"/>
        <v>48.319981789615838</v>
      </c>
      <c r="AG18" s="227">
        <f t="shared" si="10"/>
        <v>91.696371651461007</v>
      </c>
      <c r="AH18" s="229" t="str">
        <f t="shared" si="22"/>
        <v>0.618413700617257-13.8380392928125i</v>
      </c>
    </row>
    <row r="19" spans="2:34" x14ac:dyDescent="0.2">
      <c r="B19" s="221" t="s">
        <v>183</v>
      </c>
      <c r="C19" s="104">
        <f>Rsense</f>
        <v>5.0000000000000001E-3</v>
      </c>
      <c r="D19" s="220" t="s">
        <v>29</v>
      </c>
      <c r="E19" s="221"/>
      <c r="F19" s="250">
        <f>C19</f>
        <v>5.0000000000000001E-3</v>
      </c>
      <c r="G19" s="220" t="s">
        <v>29</v>
      </c>
      <c r="I19" s="227">
        <v>15</v>
      </c>
      <c r="J19" s="227">
        <f t="shared" si="0"/>
        <v>1.146251837901751</v>
      </c>
      <c r="K19" s="227">
        <f t="shared" si="23"/>
        <v>14.003991481049821</v>
      </c>
      <c r="L19" s="227">
        <f t="shared" si="11"/>
        <v>87.98967351560033</v>
      </c>
      <c r="M19" s="227">
        <f>SQRT((Fco_target-K20)^2)</f>
        <v>5805.8388742126053</v>
      </c>
      <c r="N19" s="227">
        <f>SQRT((ABS(AC19)-171.5+'Small Signal'!C$59)^2)</f>
        <v>100.61798154316241</v>
      </c>
      <c r="O19" s="227">
        <f t="shared" si="12"/>
        <v>91.671281278694508</v>
      </c>
      <c r="P19" s="227">
        <f t="shared" si="13"/>
        <v>48.1251359704262</v>
      </c>
      <c r="Q19" s="227">
        <f t="shared" si="14"/>
        <v>14.003991481049821</v>
      </c>
      <c r="R19" s="227" t="str">
        <f t="shared" si="2"/>
        <v>0.0945666666666667+0.000413551465523322i</v>
      </c>
      <c r="S19" s="227" t="str">
        <f t="shared" si="3"/>
        <v>0.0085-435.254170293466i</v>
      </c>
      <c r="T19" s="227" t="str">
        <f t="shared" si="15"/>
        <v>13.0790701665769-0.393372033168529i</v>
      </c>
      <c r="U19" s="227" t="str">
        <f t="shared" si="4"/>
        <v>79.399901304891-0.386134046059255i</v>
      </c>
      <c r="V19" s="227">
        <f t="shared" si="16"/>
        <v>37.996501962516547</v>
      </c>
      <c r="W19" s="227">
        <f t="shared" si="17"/>
        <v>-0.27863607375627181</v>
      </c>
      <c r="X19" s="227" t="str">
        <f t="shared" si="5"/>
        <v>0.999999998605427-0.0000109970843247448i</v>
      </c>
      <c r="Y19" s="227" t="str">
        <f t="shared" si="6"/>
        <v>61.3796114058196+0.667311497762968i</v>
      </c>
      <c r="Z19" s="227" t="str">
        <f t="shared" si="7"/>
        <v>31.9638285968274+0.347155216833566i</v>
      </c>
      <c r="AA19" s="227" t="str">
        <f t="shared" si="8"/>
        <v>18.8121214219815-0.289619048290683i</v>
      </c>
      <c r="AB19" s="227">
        <f t="shared" si="18"/>
        <v>25.489784692232092</v>
      </c>
      <c r="AC19" s="227">
        <f t="shared" si="19"/>
        <v>-0.8820184568375965</v>
      </c>
      <c r="AD19" s="229">
        <f t="shared" si="20"/>
        <v>22.635351278194111</v>
      </c>
      <c r="AE19" s="229">
        <f t="shared" si="21"/>
        <v>92.553299735532107</v>
      </c>
      <c r="AF19" s="227">
        <f t="shared" si="9"/>
        <v>48.1251359704262</v>
      </c>
      <c r="AG19" s="227">
        <f t="shared" si="10"/>
        <v>91.671281278694508</v>
      </c>
      <c r="AH19" s="229" t="str">
        <f t="shared" si="22"/>
        <v>0.603396765314829-13.5311960803737i</v>
      </c>
    </row>
    <row r="20" spans="2:34" ht="15" x14ac:dyDescent="0.25">
      <c r="B20" s="220"/>
      <c r="C20" s="267"/>
      <c r="D20" s="267"/>
      <c r="I20" s="227">
        <v>16</v>
      </c>
      <c r="J20" s="227">
        <f t="shared" si="0"/>
        <v>1.1560019604285343</v>
      </c>
      <c r="K20" s="227">
        <f t="shared" si="23"/>
        <v>14.321943642609622</v>
      </c>
      <c r="L20" s="227">
        <f t="shared" si="11"/>
        <v>89.987425865498864</v>
      </c>
      <c r="M20" s="227">
        <f>SQRT((Fco_target-K21)^2)</f>
        <v>5805.5137031394106</v>
      </c>
      <c r="N20" s="227">
        <f>SQRT((ABS(AC20)-171.5+'Small Signal'!C$59)^2)</f>
        <v>100.59795869343444</v>
      </c>
      <c r="O20" s="227">
        <f t="shared" si="12"/>
        <v>91.647031787554894</v>
      </c>
      <c r="P20" s="227">
        <f t="shared" si="13"/>
        <v>47.930286876310056</v>
      </c>
      <c r="Q20" s="227">
        <f t="shared" si="14"/>
        <v>14.321943642609622</v>
      </c>
      <c r="R20" s="227" t="str">
        <f t="shared" si="2"/>
        <v>0.0945666666666667+0.000422940901567845i</v>
      </c>
      <c r="S20" s="227" t="str">
        <f t="shared" si="3"/>
        <v>0.0085-425.591375373577i</v>
      </c>
      <c r="T20" s="227" t="str">
        <f t="shared" si="15"/>
        <v>13.0785269870832-0.40228658870904i</v>
      </c>
      <c r="U20" s="227" t="str">
        <f t="shared" si="4"/>
        <v>79.3998851691976-0.394901205727393i</v>
      </c>
      <c r="V20" s="227">
        <f t="shared" si="16"/>
        <v>37.996504914382008</v>
      </c>
      <c r="W20" s="227">
        <f t="shared" si="17"/>
        <v>-0.28496245055922048</v>
      </c>
      <c r="X20" s="227" t="str">
        <f t="shared" si="5"/>
        <v>0.999999998541383-0.0000112467664769112i</v>
      </c>
      <c r="Y20" s="227" t="str">
        <f t="shared" si="6"/>
        <v>61.3797845247105+0.682462159756147i</v>
      </c>
      <c r="Z20" s="227" t="str">
        <f t="shared" si="7"/>
        <v>31.9639189230498+0.35503703902623i</v>
      </c>
      <c r="AA20" s="227" t="str">
        <f t="shared" si="8"/>
        <v>18.8119260100495-0.296191736876843i</v>
      </c>
      <c r="AB20" s="227">
        <f t="shared" si="18"/>
        <v>25.489741728323338</v>
      </c>
      <c r="AC20" s="227">
        <f t="shared" si="19"/>
        <v>-0.90204130656556636</v>
      </c>
      <c r="AD20" s="229">
        <f t="shared" si="20"/>
        <v>22.440545147986718</v>
      </c>
      <c r="AE20" s="229">
        <f t="shared" si="21"/>
        <v>92.549073094120459</v>
      </c>
      <c r="AF20" s="227">
        <f t="shared" si="9"/>
        <v>47.930286876310056</v>
      </c>
      <c r="AG20" s="227">
        <f t="shared" si="10"/>
        <v>91.647031787554894</v>
      </c>
      <c r="AH20" s="229" t="str">
        <f t="shared" si="22"/>
        <v>0.589038437484654-13.2311413288356i</v>
      </c>
    </row>
    <row r="21" spans="2:34" ht="15" x14ac:dyDescent="0.25">
      <c r="E21" s="269" t="s">
        <v>272</v>
      </c>
      <c r="F21" s="269"/>
      <c r="G21" s="269"/>
      <c r="I21" s="227">
        <v>17</v>
      </c>
      <c r="J21" s="227">
        <f t="shared" si="0"/>
        <v>1.1657520829553178</v>
      </c>
      <c r="K21" s="227">
        <f t="shared" si="23"/>
        <v>14.647114715804539</v>
      </c>
      <c r="L21" s="227">
        <f t="shared" si="11"/>
        <v>92.030535974916987</v>
      </c>
      <c r="M21" s="227">
        <f t="shared" si="1"/>
        <v>5805.1811492535553</v>
      </c>
      <c r="N21" s="227">
        <f>SQRT((ABS(AC21)-171.5+'Small Signal'!C$59)^2)</f>
        <v>100.57748143526678</v>
      </c>
      <c r="O21" s="227">
        <f t="shared" si="12"/>
        <v>91.623610995936801</v>
      </c>
      <c r="P21" s="227">
        <f t="shared" si="13"/>
        <v>47.735434815949304</v>
      </c>
      <c r="Q21" s="227">
        <f t="shared" si="14"/>
        <v>14.647114715804539</v>
      </c>
      <c r="R21" s="227" t="str">
        <f t="shared" si="2"/>
        <v>0.0945666666666667+0.00043254351908211i</v>
      </c>
      <c r="S21" s="227" t="str">
        <f t="shared" si="3"/>
        <v>0.0085-416.143097882898i</v>
      </c>
      <c r="T21" s="227" t="str">
        <f t="shared" si="15"/>
        <v>13.0779589107638-0.411402380551073i</v>
      </c>
      <c r="U21" s="227" t="str">
        <f t="shared" si="4"/>
        <v>79.3998682923698-0.403867433753149i</v>
      </c>
      <c r="V21" s="227">
        <f t="shared" si="16"/>
        <v>37.996508001806724</v>
      </c>
      <c r="W21" s="227">
        <f t="shared" si="17"/>
        <v>-0.29143247180852333</v>
      </c>
      <c r="X21" s="227" t="str">
        <f t="shared" si="5"/>
        <v>0.999999998474397-0.0000115021175114167i</v>
      </c>
      <c r="Y21" s="227" t="str">
        <f t="shared" si="6"/>
        <v>61.3799655941348+0.697956791496699i</v>
      </c>
      <c r="Z21" s="227" t="str">
        <f t="shared" si="7"/>
        <v>31.9640133975288+0.363097804367427i</v>
      </c>
      <c r="AA21" s="227" t="str">
        <f t="shared" si="8"/>
        <v>18.8117216281112-0.302913449834524i</v>
      </c>
      <c r="AB21" s="227">
        <f t="shared" si="18"/>
        <v>25.489696791784809</v>
      </c>
      <c r="AC21" s="227">
        <f t="shared" si="19"/>
        <v>-0.92251856473322835</v>
      </c>
      <c r="AD21" s="229">
        <f t="shared" si="20"/>
        <v>22.245738024164496</v>
      </c>
      <c r="AE21" s="229">
        <f t="shared" si="21"/>
        <v>92.546129560670025</v>
      </c>
      <c r="AF21" s="227">
        <f t="shared" si="9"/>
        <v>47.735434815949304</v>
      </c>
      <c r="AG21" s="227">
        <f t="shared" si="10"/>
        <v>91.623610995936801</v>
      </c>
      <c r="AH21" s="229" t="str">
        <f t="shared" si="22"/>
        <v>0.57530986377164-12.9377258709678i</v>
      </c>
    </row>
    <row r="22" spans="2:34" x14ac:dyDescent="0.2">
      <c r="E22" s="223" t="s">
        <v>28</v>
      </c>
      <c r="F22" s="251">
        <f>VLOOKUP(MIN('Small Signal'!P4:P504),'Small Signal'!P4:Q504,2,FALSE)</f>
        <v>5134.9244999909452</v>
      </c>
      <c r="I22" s="227">
        <v>18</v>
      </c>
      <c r="J22" s="227">
        <f t="shared" si="0"/>
        <v>1.1755022054821012</v>
      </c>
      <c r="K22" s="227">
        <f t="shared" si="23"/>
        <v>14.979668601659609</v>
      </c>
      <c r="L22" s="227">
        <f t="shared" si="11"/>
        <v>94.120033664367043</v>
      </c>
      <c r="M22" s="227">
        <f t="shared" si="1"/>
        <v>5804.8410449327412</v>
      </c>
      <c r="N22" s="227">
        <f>SQRT((ABS(AC22)-171.5+'Small Signal'!C$59)^2)</f>
        <v>100.55653946539911</v>
      </c>
      <c r="O22" s="227">
        <f t="shared" si="12"/>
        <v>91.601007132735475</v>
      </c>
      <c r="P22" s="227">
        <f t="shared" si="13"/>
        <v>47.540580092062129</v>
      </c>
      <c r="Q22" s="227">
        <f t="shared" si="14"/>
        <v>14.979668601659609</v>
      </c>
      <c r="R22" s="227" t="str">
        <f t="shared" si="2"/>
        <v>0.0945666666666667+0.000442364158222525i</v>
      </c>
      <c r="S22" s="227" t="str">
        <f t="shared" si="3"/>
        <v>0.0085-406.904575459419i</v>
      </c>
      <c r="T22" s="227" t="str">
        <f t="shared" si="15"/>
        <v>13.0773647987813-0.420723896775377i</v>
      </c>
      <c r="U22" s="227" t="str">
        <f t="shared" si="4"/>
        <v>79.3998506403621-0.413037250928998i</v>
      </c>
      <c r="V22" s="227">
        <f t="shared" si="16"/>
        <v>37.996511231016022</v>
      </c>
      <c r="W22" s="227">
        <f t="shared" si="17"/>
        <v>-0.29804939941388386</v>
      </c>
      <c r="X22" s="227" t="str">
        <f t="shared" si="5"/>
        <v>0.999999998404334-0.0000117632661368082i</v>
      </c>
      <c r="Y22" s="227" t="str">
        <f t="shared" si="6"/>
        <v>61.3801549792318+0.713803201433981i</v>
      </c>
      <c r="Z22" s="227" t="str">
        <f t="shared" si="7"/>
        <v>31.9641122107788+0.371341575035823i</v>
      </c>
      <c r="AA22" s="227" t="str">
        <f t="shared" si="8"/>
        <v>18.8115078646151-0.309787556428312i</v>
      </c>
      <c r="AB22" s="227">
        <f t="shared" si="18"/>
        <v>25.489649792067897</v>
      </c>
      <c r="AC22" s="227">
        <f t="shared" si="19"/>
        <v>-0.94346053460089063</v>
      </c>
      <c r="AD22" s="229">
        <f t="shared" si="20"/>
        <v>22.050930299994228</v>
      </c>
      <c r="AE22" s="229">
        <f t="shared" si="21"/>
        <v>92.544467667336363</v>
      </c>
      <c r="AF22" s="227">
        <f t="shared" si="9"/>
        <v>47.540580092062129</v>
      </c>
      <c r="AG22" s="227">
        <f t="shared" si="10"/>
        <v>91.601007132735475</v>
      </c>
      <c r="AH22" s="229" t="str">
        <f t="shared" si="22"/>
        <v>0.562183452160454-12.6508037512015i</v>
      </c>
    </row>
    <row r="23" spans="2:34" x14ac:dyDescent="0.2">
      <c r="E23" s="223" t="s">
        <v>22</v>
      </c>
      <c r="F23" s="252">
        <f>VLOOKUP(MIN('Small Signal'!P4:P504),'Small Signal'!P4:AG504,18,FALSE)</f>
        <v>73.44117263794196</v>
      </c>
      <c r="I23" s="227">
        <v>19</v>
      </c>
      <c r="J23" s="227">
        <f t="shared" si="0"/>
        <v>1.1852523280088847</v>
      </c>
      <c r="K23" s="227">
        <f t="shared" si="23"/>
        <v>15.319772922473584</v>
      </c>
      <c r="L23" s="227">
        <f t="shared" si="11"/>
        <v>96.256972135813697</v>
      </c>
      <c r="M23" s="227">
        <f t="shared" si="1"/>
        <v>5804.4932187489067</v>
      </c>
      <c r="N23" s="227">
        <f>SQRT((ABS(AC23)-171.5+'Small Signal'!C$59)^2)</f>
        <v>100.53512224760343</v>
      </c>
      <c r="O23" s="227">
        <f t="shared" si="12"/>
        <v>91.579208832067565</v>
      </c>
      <c r="P23" s="227">
        <f t="shared" si="13"/>
        <v>47.345723002008938</v>
      </c>
      <c r="Q23" s="227">
        <f t="shared" si="14"/>
        <v>15.319772922473584</v>
      </c>
      <c r="R23" s="227" t="str">
        <f t="shared" si="2"/>
        <v>0.0945666666666667+0.000452407769038324i</v>
      </c>
      <c r="S23" s="227" t="str">
        <f t="shared" si="3"/>
        <v>0.0085-397.871151467232i</v>
      </c>
      <c r="T23" s="227" t="str">
        <f t="shared" si="15"/>
        <v>13.0767434604227-0.430255721749087i</v>
      </c>
      <c r="U23" s="227" t="str">
        <f t="shared" si="4"/>
        <v>79.3998321775627-0.422415280763514i</v>
      </c>
      <c r="V23" s="227">
        <f t="shared" si="16"/>
        <v>37.996514608520883</v>
      </c>
      <c r="W23" s="227">
        <f t="shared" si="17"/>
        <v>-0.30481656938296875</v>
      </c>
      <c r="X23" s="227" t="str">
        <f t="shared" si="5"/>
        <v>0.999999998331055-0.0000120303439838822i</v>
      </c>
      <c r="Y23" s="227" t="str">
        <f t="shared" si="6"/>
        <v>61.3803530619107+0.730009375221525i</v>
      </c>
      <c r="Z23" s="227" t="str">
        <f t="shared" si="7"/>
        <v>31.9642155620643+0.37977250539637i</v>
      </c>
      <c r="AA23" s="227" t="str">
        <f t="shared" si="8"/>
        <v>18.8112842891456-0.316817501428414i</v>
      </c>
      <c r="AB23" s="227">
        <f t="shared" si="18"/>
        <v>25.489600634469415</v>
      </c>
      <c r="AC23" s="227">
        <f t="shared" si="19"/>
        <v>-0.96487775239658879</v>
      </c>
      <c r="AD23" s="229">
        <f t="shared" si="20"/>
        <v>21.856122367539527</v>
      </c>
      <c r="AE23" s="229">
        <f t="shared" si="21"/>
        <v>92.544086584464154</v>
      </c>
      <c r="AF23" s="227">
        <f t="shared" si="9"/>
        <v>47.345723002008938</v>
      </c>
      <c r="AG23" s="227">
        <f t="shared" si="10"/>
        <v>91.579208832067565</v>
      </c>
      <c r="AH23" s="229" t="str">
        <f t="shared" si="22"/>
        <v>0.549632817068514-12.3702321608184i</v>
      </c>
    </row>
    <row r="24" spans="2:34" x14ac:dyDescent="0.2">
      <c r="E24" s="223" t="s">
        <v>26</v>
      </c>
      <c r="F24" s="252">
        <f>VLOOKUP(MIN('Small Signal'!O4:O505),'Small Signal'!O4:AF505,18,FALSE)</f>
        <v>-11.991874837725753</v>
      </c>
      <c r="I24" s="227">
        <v>20</v>
      </c>
      <c r="J24" s="227">
        <f t="shared" si="0"/>
        <v>1.195002450535668</v>
      </c>
      <c r="K24" s="227">
        <f t="shared" si="23"/>
        <v>15.667599106308181</v>
      </c>
      <c r="L24" s="227">
        <f t="shared" si="11"/>
        <v>98.442428503535581</v>
      </c>
      <c r="M24" s="227">
        <f t="shared" si="1"/>
        <v>5804.1374953818195</v>
      </c>
      <c r="N24" s="227">
        <f>SQRT((ABS(AC24)-171.5+'Small Signal'!C$59)^2)</f>
        <v>100.5132190074614</v>
      </c>
      <c r="O24" s="227">
        <f t="shared" si="12"/>
        <v>91.558205127666767</v>
      </c>
      <c r="P24" s="227">
        <f t="shared" si="13"/>
        <v>47.150863838388076</v>
      </c>
      <c r="Q24" s="227">
        <f t="shared" si="14"/>
        <v>15.667599106308181</v>
      </c>
      <c r="R24" s="227" t="str">
        <f t="shared" si="2"/>
        <v>0.0945666666666667+0.000462679413966617i</v>
      </c>
      <c r="S24" s="227" t="str">
        <f t="shared" si="3"/>
        <v>0.0085-389.038272649379i</v>
      </c>
      <c r="T24" s="227" t="str">
        <f t="shared" si="15"/>
        <v>13.0760936507571-0.440002537923324i</v>
      </c>
      <c r="U24" s="227" t="str">
        <f t="shared" si="4"/>
        <v>79.3998128667242-0.432006251818659i</v>
      </c>
      <c r="V24" s="227">
        <f t="shared" si="16"/>
        <v>37.996518141131382</v>
      </c>
      <c r="W24" s="227">
        <f t="shared" si="17"/>
        <v>-0.31173739350642055</v>
      </c>
      <c r="X24" s="227" t="str">
        <f t="shared" si="5"/>
        <v>0.99999999825441-0.000012303485672033i</v>
      </c>
      <c r="Y24" s="227" t="str">
        <f t="shared" si="6"/>
        <v>61.3805602416211+0.746583479734656i</v>
      </c>
      <c r="Z24" s="227" t="str">
        <f t="shared" si="7"/>
        <v>31.9643236598011+0.388394844090344i</v>
      </c>
      <c r="AA24" s="227" t="str">
        <f t="shared" si="8"/>
        <v>18.8110504515611-0.324006806756027i</v>
      </c>
      <c r="AB24" s="227">
        <f t="shared" si="18"/>
        <v>25.489549219941683</v>
      </c>
      <c r="AC24" s="227">
        <f t="shared" si="19"/>
        <v>-0.98678099253859075</v>
      </c>
      <c r="AD24" s="229">
        <f t="shared" si="20"/>
        <v>21.661314618446397</v>
      </c>
      <c r="AE24" s="229">
        <f t="shared" si="21"/>
        <v>92.544986120205351</v>
      </c>
      <c r="AF24" s="227">
        <f t="shared" si="9"/>
        <v>47.150863838388076</v>
      </c>
      <c r="AG24" s="227">
        <f t="shared" si="10"/>
        <v>91.558205127666767</v>
      </c>
      <c r="AH24" s="229" t="str">
        <f t="shared" si="22"/>
        <v>0.5376327268091-12.0958713741576i</v>
      </c>
    </row>
    <row r="25" spans="2:34" x14ac:dyDescent="0.2">
      <c r="I25" s="227">
        <v>21</v>
      </c>
      <c r="J25" s="227">
        <f t="shared" si="0"/>
        <v>1.2047525730624513</v>
      </c>
      <c r="K25" s="227">
        <f t="shared" si="23"/>
        <v>16.023322473395638</v>
      </c>
      <c r="L25" s="227">
        <f t="shared" si="11"/>
        <v>100.67750433703993</v>
      </c>
      <c r="M25" s="227">
        <f t="shared" si="1"/>
        <v>5803.7736955307073</v>
      </c>
      <c r="N25" s="227">
        <f>SQRT((ABS(AC25)-171.5+'Small Signal'!C$59)^2)</f>
        <v>100.49081872702826</v>
      </c>
      <c r="O25" s="227">
        <f t="shared" si="12"/>
        <v>91.537985447451788</v>
      </c>
      <c r="P25" s="227">
        <f t="shared" si="13"/>
        <v>46.956002889621246</v>
      </c>
      <c r="Q25" s="227">
        <f t="shared" si="14"/>
        <v>16.023322473395638</v>
      </c>
      <c r="R25" s="227" t="str">
        <f t="shared" si="2"/>
        <v>0.0945666666666667+0.000473184270384088i</v>
      </c>
      <c r="S25" s="227" t="str">
        <f t="shared" si="3"/>
        <v>0.0085-380.401486832799i</v>
      </c>
      <c r="T25" s="227" t="str">
        <f t="shared" si="15"/>
        <v>13.0754140681888-0.449969127644856i</v>
      </c>
      <c r="U25" s="227" t="str">
        <f t="shared" si="4"/>
        <v>79.3997926688862-0.441815000100493i</v>
      </c>
      <c r="V25" s="227">
        <f t="shared" si="16"/>
        <v>37.996521835970185</v>
      </c>
      <c r="W25" s="227">
        <f t="shared" si="17"/>
        <v>-0.31881536108132835</v>
      </c>
      <c r="X25" s="227" t="str">
        <f t="shared" si="5"/>
        <v>0.999999998174245-0.0000125828288771068i</v>
      </c>
      <c r="Y25" s="227" t="str">
        <f t="shared" si="6"/>
        <v>61.3807769361587+0.763533867178898i</v>
      </c>
      <c r="Z25" s="227" t="str">
        <f t="shared" si="7"/>
        <v>31.9644367219777+0.397212936172626i</v>
      </c>
      <c r="AA25" s="227" t="str">
        <f t="shared" si="8"/>
        <v>18.8108058810909-0.331359073161215i</v>
      </c>
      <c r="AB25" s="227">
        <f t="shared" si="18"/>
        <v>25.489495444892913</v>
      </c>
      <c r="AC25" s="227">
        <f t="shared" si="19"/>
        <v>-1.0091812729717449</v>
      </c>
      <c r="AD25" s="229">
        <f t="shared" si="20"/>
        <v>21.466507444728332</v>
      </c>
      <c r="AE25" s="229">
        <f t="shared" si="21"/>
        <v>92.547166720423533</v>
      </c>
      <c r="AF25" s="227">
        <f t="shared" si="9"/>
        <v>46.956002889621246</v>
      </c>
      <c r="AG25" s="227">
        <f t="shared" si="10"/>
        <v>91.537985447451788</v>
      </c>
      <c r="AH25" s="229" t="str">
        <f t="shared" si="22"/>
        <v>0.526159053323977-11.8275846858462i</v>
      </c>
    </row>
    <row r="26" spans="2:34" ht="15" x14ac:dyDescent="0.25">
      <c r="E26" s="268" t="s">
        <v>131</v>
      </c>
      <c r="F26" s="268"/>
      <c r="G26" s="268"/>
      <c r="I26" s="227">
        <v>22</v>
      </c>
      <c r="J26" s="227">
        <f t="shared" si="0"/>
        <v>1.2145026955892348</v>
      </c>
      <c r="K26" s="227">
        <f t="shared" si="23"/>
        <v>16.387122324508088</v>
      </c>
      <c r="L26" s="227">
        <f t="shared" si="11"/>
        <v>102.9633262163038</v>
      </c>
      <c r="M26" s="227">
        <f t="shared" si="1"/>
        <v>5803.4016358238814</v>
      </c>
      <c r="N26" s="227">
        <f>SQRT((ABS(AC26)-171.5+'Small Signal'!C$59)^2)</f>
        <v>100.46791013937994</v>
      </c>
      <c r="O26" s="227">
        <f t="shared" si="12"/>
        <v>91.518539608264419</v>
      </c>
      <c r="P26" s="227">
        <f t="shared" si="13"/>
        <v>46.76114044053142</v>
      </c>
      <c r="Q26" s="227">
        <f t="shared" si="14"/>
        <v>16.387122324508088</v>
      </c>
      <c r="R26" s="227" t="str">
        <f t="shared" si="2"/>
        <v>0.0945666666666667+0.000483927633216628i</v>
      </c>
      <c r="S26" s="227" t="str">
        <f t="shared" si="3"/>
        <v>0.0085-371.956440684229i</v>
      </c>
      <c r="T26" s="227" t="str">
        <f t="shared" si="15"/>
        <v>13.0747033519032-0.460160374980287i</v>
      </c>
      <c r="U26" s="227" t="str">
        <f t="shared" si="4"/>
        <v>79.3997715432994-0.45184647150454i</v>
      </c>
      <c r="V26" s="227">
        <f t="shared" si="16"/>
        <v>37.99652570048719</v>
      </c>
      <c r="W26" s="227">
        <f t="shared" si="17"/>
        <v>-0.32605404067399962</v>
      </c>
      <c r="X26" s="227" t="str">
        <f t="shared" si="5"/>
        <v>0.999999998090398-0.0000128685144007967i</v>
      </c>
      <c r="Y26" s="227" t="str">
        <f t="shared" si="6"/>
        <v>61.3810035825087+0.780869079291285i</v>
      </c>
      <c r="Z26" s="227" t="str">
        <f t="shared" si="7"/>
        <v>31.9645549765947+0.406231225297295i</v>
      </c>
      <c r="AA26" s="227" t="str">
        <f t="shared" si="8"/>
        <v>18.8105500853926-0.338877981933803i</v>
      </c>
      <c r="AB26" s="227">
        <f t="shared" si="18"/>
        <v>25.489439200979362</v>
      </c>
      <c r="AC26" s="227">
        <f t="shared" si="19"/>
        <v>-1.0320898606200684</v>
      </c>
      <c r="AD26" s="229">
        <f t="shared" si="20"/>
        <v>21.271701239552062</v>
      </c>
      <c r="AE26" s="229">
        <f t="shared" si="21"/>
        <v>92.55062946888448</v>
      </c>
      <c r="AF26" s="227">
        <f t="shared" si="9"/>
        <v>46.76114044053142</v>
      </c>
      <c r="AG26" s="227">
        <f t="shared" si="10"/>
        <v>91.518539608264419</v>
      </c>
      <c r="AH26" s="229" t="str">
        <f t="shared" si="22"/>
        <v>0.515188724089067-11.5652383490554i</v>
      </c>
    </row>
    <row r="27" spans="2:34" ht="15" x14ac:dyDescent="0.25">
      <c r="E27" s="221" t="s">
        <v>122</v>
      </c>
      <c r="F27" s="104">
        <f>(Voutss-Vinss)/(Voutss)</f>
        <v>0.77083333333333337</v>
      </c>
      <c r="G27" s="224"/>
      <c r="I27" s="227">
        <v>23</v>
      </c>
      <c r="J27" s="227">
        <f t="shared" si="0"/>
        <v>1.2242528181160182</v>
      </c>
      <c r="K27" s="227">
        <f t="shared" si="23"/>
        <v>16.759182031333303</v>
      </c>
      <c r="L27" s="227">
        <f t="shared" si="11"/>
        <v>105.30104629962155</v>
      </c>
      <c r="M27" s="227">
        <f t="shared" si="1"/>
        <v>5803.0211287263128</v>
      </c>
      <c r="N27" s="227">
        <f>SQRT((ABS(AC27)-171.5+'Small Signal'!C$59)^2)</f>
        <v>100.44448172304226</v>
      </c>
      <c r="O27" s="227">
        <f t="shared" si="12"/>
        <v>91.499857810775381</v>
      </c>
      <c r="P27" s="227">
        <f t="shared" si="13"/>
        <v>46.566276772913199</v>
      </c>
      <c r="Q27" s="227">
        <f t="shared" si="14"/>
        <v>16.759182031333303</v>
      </c>
      <c r="R27" s="227" t="str">
        <f t="shared" si="2"/>
        <v>0.0945666666666667+0.000494914917608221i</v>
      </c>
      <c r="S27" s="227" t="str">
        <f t="shared" si="3"/>
        <v>0.0085-363.698877515932i</v>
      </c>
      <c r="T27" s="227" t="str">
        <f t="shared" si="15"/>
        <v>13.0739600791984-0.470581267551107i</v>
      </c>
      <c r="U27" s="227" t="str">
        <f t="shared" si="4"/>
        <v>79.3997494473411-0.462105724317111i</v>
      </c>
      <c r="V27" s="227">
        <f t="shared" si="16"/>
        <v>37.996529742474344</v>
      </c>
      <c r="W27" s="227">
        <f t="shared" si="17"/>
        <v>-0.33345708192300649</v>
      </c>
      <c r="X27" s="227" t="str">
        <f t="shared" si="5"/>
        <v>0.999999998002701-0.0000131606862416132i</v>
      </c>
      <c r="Y27" s="227" t="str">
        <f t="shared" si="6"/>
        <v>61.3812406377265+0.798597851636512i</v>
      </c>
      <c r="Z27" s="227" t="str">
        <f t="shared" si="7"/>
        <v>31.9646786621244+0.415454255952567i</v>
      </c>
      <c r="AA27" s="227" t="str">
        <f t="shared" si="8"/>
        <v>18.8102825495658-0.346567296647598i</v>
      </c>
      <c r="AB27" s="227">
        <f t="shared" si="18"/>
        <v>25.489380374887478</v>
      </c>
      <c r="AC27" s="227">
        <f t="shared" si="19"/>
        <v>-1.0555182769577331</v>
      </c>
      <c r="AD27" s="229">
        <f t="shared" si="20"/>
        <v>21.076896398025717</v>
      </c>
      <c r="AE27" s="229">
        <f t="shared" si="21"/>
        <v>92.555376087733109</v>
      </c>
      <c r="AF27" s="227">
        <f t="shared" si="9"/>
        <v>46.566276772913199</v>
      </c>
      <c r="AG27" s="227">
        <f t="shared" si="10"/>
        <v>91.499857810775381</v>
      </c>
      <c r="AH27" s="229" t="str">
        <f t="shared" si="22"/>
        <v>0.504699676100686-11.3087015147836i</v>
      </c>
    </row>
    <row r="28" spans="2:34" x14ac:dyDescent="0.2">
      <c r="E28" s="221" t="s">
        <v>143</v>
      </c>
      <c r="F28" s="104">
        <f>Voutss/Vinss</f>
        <v>4.3636363636363633</v>
      </c>
      <c r="I28" s="227">
        <v>24</v>
      </c>
      <c r="J28" s="227">
        <f t="shared" si="0"/>
        <v>1.2340029406428017</v>
      </c>
      <c r="K28" s="227">
        <f t="shared" si="23"/>
        <v>17.139689128902397</v>
      </c>
      <c r="L28" s="227">
        <f t="shared" si="11"/>
        <v>107.69184290434522</v>
      </c>
      <c r="M28" s="227">
        <f t="shared" si="1"/>
        <v>5802.6319824450993</v>
      </c>
      <c r="N28" s="227">
        <f>SQRT((ABS(AC28)-171.5+'Small Signal'!C$59)^2)</f>
        <v>100.42052169629906</v>
      </c>
      <c r="O28" s="227">
        <f t="shared" si="12"/>
        <v>91.481930634555653</v>
      </c>
      <c r="P28" s="227">
        <f t="shared" si="13"/>
        <v>46.371412166096135</v>
      </c>
      <c r="Q28" s="227">
        <f t="shared" si="14"/>
        <v>17.139689128902397</v>
      </c>
      <c r="R28" s="227" t="str">
        <f t="shared" si="2"/>
        <v>0.0945666666666667+0.000506151661650423i</v>
      </c>
      <c r="S28" s="227" t="str">
        <f t="shared" si="3"/>
        <v>0.0085-355.624635140126i</v>
      </c>
      <c r="T28" s="227" t="str">
        <f t="shared" si="15"/>
        <v>13.0731827627007-0.481236898377783i</v>
      </c>
      <c r="U28" s="227" t="str">
        <f t="shared" si="4"/>
        <v>79.3997263364283-0.4725979317738i</v>
      </c>
      <c r="V28" s="227">
        <f t="shared" si="16"/>
        <v>37.996533970081231</v>
      </c>
      <c r="W28" s="227">
        <f t="shared" si="17"/>
        <v>-0.34102821738334721</v>
      </c>
      <c r="X28" s="227" t="str">
        <f t="shared" si="5"/>
        <v>0.999999997910976-0.0000134594916674658i</v>
      </c>
      <c r="Y28" s="227" t="str">
        <f t="shared" si="6"/>
        <v>61.3814885798597+0.816729118000247i</v>
      </c>
      <c r="Z28" s="227" t="str">
        <f t="shared" si="7"/>
        <v>31.9648080279921+0.424886675746272i</v>
      </c>
      <c r="AA28" s="227" t="str">
        <f t="shared" si="8"/>
        <v>18.8100027351204-0.354430864938372i</v>
      </c>
      <c r="AB28" s="227">
        <f t="shared" si="18"/>
        <v>25.489318848105938</v>
      </c>
      <c r="AC28" s="227">
        <f t="shared" si="19"/>
        <v>-1.079478303700941</v>
      </c>
      <c r="AD28" s="229">
        <f t="shared" si="20"/>
        <v>20.882093317990197</v>
      </c>
      <c r="AE28" s="229">
        <f t="shared" si="21"/>
        <v>92.561408938256591</v>
      </c>
      <c r="AF28" s="227">
        <f t="shared" si="9"/>
        <v>46.371412166096135</v>
      </c>
      <c r="AG28" s="227">
        <f t="shared" si="10"/>
        <v>91.481930634555653</v>
      </c>
      <c r="AH28" s="229" t="str">
        <f t="shared" si="22"/>
        <v>0.494670811853648-11.0578461721648i</v>
      </c>
    </row>
    <row r="29" spans="2:34" x14ac:dyDescent="0.2">
      <c r="E29" s="221" t="s">
        <v>10</v>
      </c>
      <c r="F29" s="105">
        <f>Voutss/(Ioutss)</f>
        <v>13.090909090909092</v>
      </c>
      <c r="G29" s="220" t="s">
        <v>29</v>
      </c>
      <c r="I29" s="227">
        <v>25</v>
      </c>
      <c r="J29" s="227">
        <f t="shared" si="0"/>
        <v>1.243753063169585</v>
      </c>
      <c r="K29" s="227">
        <f t="shared" si="23"/>
        <v>17.528835410116002</v>
      </c>
      <c r="L29" s="227">
        <f t="shared" si="11"/>
        <v>110.13692110081013</v>
      </c>
      <c r="M29" s="227">
        <f t="shared" si="1"/>
        <v>5802.2340008327983</v>
      </c>
      <c r="N29" s="227">
        <f>SQRT((ABS(AC29)-171.5+'Small Signal'!C$59)^2)</f>
        <v>100.39601801137715</v>
      </c>
      <c r="O29" s="227">
        <f t="shared" si="12"/>
        <v>91.464749033310525</v>
      </c>
      <c r="P29" s="227">
        <f t="shared" si="13"/>
        <v>46.176546897505048</v>
      </c>
      <c r="Q29" s="227">
        <f t="shared" si="14"/>
        <v>17.528835410116002</v>
      </c>
      <c r="R29" s="227" t="str">
        <f t="shared" si="2"/>
        <v>0.0945666666666667+0.000517643529173808i</v>
      </c>
      <c r="S29" s="227" t="str">
        <f t="shared" si="3"/>
        <v>0.0085-347.729643771055i</v>
      </c>
      <c r="T29" s="227" t="str">
        <f t="shared" si="15"/>
        <v>13.072369847456-0.49213246773085i</v>
      </c>
      <c r="U29" s="227" t="str">
        <f t="shared" si="4"/>
        <v>79.3997021639308-0.483328384676639i</v>
      </c>
      <c r="V29" s="227">
        <f t="shared" si="16"/>
        <v>37.996538391831876</v>
      </c>
      <c r="W29" s="227">
        <f t="shared" si="17"/>
        <v>-0.34877126441277634</v>
      </c>
      <c r="X29" s="227" t="str">
        <f t="shared" si="5"/>
        <v>0.999999997815039-0.0000137650812898929i</v>
      </c>
      <c r="Y29" s="227" t="str">
        <f t="shared" si="6"/>
        <v>61.3817479089124+0.835272014881599i</v>
      </c>
      <c r="Z29" s="227" t="str">
        <f t="shared" si="7"/>
        <v>31.964943335079+0.43453323774291i</v>
      </c>
      <c r="AA29" s="227" t="str">
        <f t="shared" si="8"/>
        <v>18.8097100788999-0.362472620315956i</v>
      </c>
      <c r="AB29" s="227">
        <f t="shared" si="18"/>
        <v>25.489254496688126</v>
      </c>
      <c r="AC29" s="227">
        <f t="shared" si="19"/>
        <v>-1.1039819886228537</v>
      </c>
      <c r="AD29" s="229">
        <f t="shared" si="20"/>
        <v>20.687292400816926</v>
      </c>
      <c r="AE29" s="229">
        <f t="shared" si="21"/>
        <v>92.568731021933374</v>
      </c>
      <c r="AF29" s="227">
        <f t="shared" si="9"/>
        <v>46.176546897505048</v>
      </c>
      <c r="AG29" s="227">
        <f t="shared" si="10"/>
        <v>91.464749033310525</v>
      </c>
      <c r="AH29" s="229" t="str">
        <f t="shared" si="22"/>
        <v>0.485081957226213-10.8125470898025i</v>
      </c>
    </row>
    <row r="30" spans="2:34" x14ac:dyDescent="0.2">
      <c r="E30" s="221" t="s">
        <v>33</v>
      </c>
      <c r="F30" s="104">
        <f>1/((sess+snss)/fswss)</f>
        <v>7.8113458413355001</v>
      </c>
      <c r="G30" s="225"/>
      <c r="I30" s="227">
        <v>26</v>
      </c>
      <c r="J30" s="227">
        <f t="shared" si="0"/>
        <v>1.2535031856963683</v>
      </c>
      <c r="K30" s="227">
        <f t="shared" si="23"/>
        <v>17.926817022416621</v>
      </c>
      <c r="L30" s="227">
        <f t="shared" si="11"/>
        <v>112.63751331974501</v>
      </c>
      <c r="M30" s="227">
        <f t="shared" si="1"/>
        <v>5801.8269832885589</v>
      </c>
      <c r="N30" s="227">
        <f>SQRT((ABS(AC30)-171.5+'Small Signal'!C$59)^2)</f>
        <v>100.37095834850595</v>
      </c>
      <c r="O30" s="227">
        <f t="shared" si="12"/>
        <v>91.448304330274368</v>
      </c>
      <c r="P30" s="227">
        <f t="shared" si="13"/>
        <v>45.98168124321387</v>
      </c>
      <c r="Q30" s="227">
        <f t="shared" si="14"/>
        <v>17.926817022416621</v>
      </c>
      <c r="R30" s="227" t="str">
        <f t="shared" si="2"/>
        <v>0.0945666666666667+0.000529396312602802i</v>
      </c>
      <c r="S30" s="227" t="str">
        <f t="shared" si="3"/>
        <v>0.0085-340.009923973633i</v>
      </c>
      <c r="T30" s="227" t="str">
        <f t="shared" si="15"/>
        <v>13.0715197078948-0.5032732849868i</v>
      </c>
      <c r="U30" s="227" t="str">
        <f t="shared" si="4"/>
        <v>79.399676881074-0.494302494071075i</v>
      </c>
      <c r="V30" s="227">
        <f t="shared" si="16"/>
        <v>37.99654301664161</v>
      </c>
      <c r="W30" s="227">
        <f t="shared" si="17"/>
        <v>-0.35669012710117343</v>
      </c>
      <c r="X30" s="227" t="str">
        <f t="shared" si="5"/>
        <v>0.999999997714697-0.000014077609139977i</v>
      </c>
      <c r="Y30" s="227" t="str">
        <f t="shared" si="6"/>
        <v>61.3820191478549+0.854235886087037i</v>
      </c>
      <c r="Z30" s="227" t="str">
        <f t="shared" si="7"/>
        <v>31.9650848562491+0.444398802853486i</v>
      </c>
      <c r="AA30" s="227" t="str">
        <f t="shared" si="8"/>
        <v>18.8094039919531-0.37069658401073i</v>
      </c>
      <c r="AB30" s="227">
        <f t="shared" si="18"/>
        <v>25.489187191002483</v>
      </c>
      <c r="AC30" s="227">
        <f t="shared" si="19"/>
        <v>-1.1290416514940504</v>
      </c>
      <c r="AD30" s="229">
        <f t="shared" si="20"/>
        <v>20.492494052211384</v>
      </c>
      <c r="AE30" s="229">
        <f t="shared" si="21"/>
        <v>92.577345981768417</v>
      </c>
      <c r="AF30" s="227">
        <f t="shared" si="9"/>
        <v>45.98168124321387</v>
      </c>
      <c r="AG30" s="227">
        <f t="shared" si="10"/>
        <v>91.448304330274368</v>
      </c>
      <c r="AH30" s="229" t="str">
        <f t="shared" si="22"/>
        <v>0.475913821190417-10.5726817581231i</v>
      </c>
    </row>
    <row r="31" spans="2:34" x14ac:dyDescent="0.2">
      <c r="E31" s="221" t="s">
        <v>13</v>
      </c>
      <c r="F31" s="103">
        <f>(Vinss*40/3*Risense)/Lss</f>
        <v>78014.184397163117</v>
      </c>
      <c r="G31" s="222"/>
      <c r="I31" s="227">
        <v>27</v>
      </c>
      <c r="J31" s="227">
        <f t="shared" si="0"/>
        <v>1.2632533082231518</v>
      </c>
      <c r="K31" s="227">
        <f t="shared" si="23"/>
        <v>18.333834566655888</v>
      </c>
      <c r="L31" s="227">
        <f t="shared" si="11"/>
        <v>115.19487997347349</v>
      </c>
      <c r="M31" s="227">
        <f t="shared" si="1"/>
        <v>5801.4107246570084</v>
      </c>
      <c r="N31" s="227">
        <f>SQRT((ABS(AC31)-171.5+'Small Signal'!C$59)^2)</f>
        <v>100.34533010984902</v>
      </c>
      <c r="O31" s="227">
        <f t="shared" si="12"/>
        <v>91.432588213763125</v>
      </c>
      <c r="P31" s="227">
        <f t="shared" si="13"/>
        <v>45.786815478499008</v>
      </c>
      <c r="Q31" s="227">
        <f t="shared" si="14"/>
        <v>18.333834566655888</v>
      </c>
      <c r="R31" s="227" t="str">
        <f t="shared" si="2"/>
        <v>0.0945666666666667+0.000541415935875325i</v>
      </c>
      <c r="S31" s="227" t="str">
        <f t="shared" si="3"/>
        <v>0.0085-332.461584657622i</v>
      </c>
      <c r="T31" s="227" t="str">
        <f t="shared" si="15"/>
        <v>13.0706306446633-0.514664770486354i</v>
      </c>
      <c r="U31" s="227" t="str">
        <f t="shared" si="4"/>
        <v>79.399650436841-0.505525793984317i</v>
      </c>
      <c r="V31" s="227">
        <f t="shared" si="16"/>
        <v>37.996547853835082</v>
      </c>
      <c r="W31" s="227">
        <f t="shared" si="17"/>
        <v>-0.36478879824401772</v>
      </c>
      <c r="X31" s="227" t="str">
        <f t="shared" si="5"/>
        <v>0.999999997609746-0.0000143972327459829i</v>
      </c>
      <c r="Y31" s="227" t="str">
        <f t="shared" si="6"/>
        <v>61.3823028436752+0.873630287428077i</v>
      </c>
      <c r="Z31" s="227" t="str">
        <f t="shared" si="7"/>
        <v>31.9652328768978+0.454488342279321i</v>
      </c>
      <c r="AA31" s="227" t="str">
        <f t="shared" si="8"/>
        <v>18.8090838583573-0.379106866854957i</v>
      </c>
      <c r="AB31" s="227">
        <f t="shared" si="18"/>
        <v>25.489116795472825</v>
      </c>
      <c r="AC31" s="227">
        <f t="shared" si="19"/>
        <v>-1.154669890150994</v>
      </c>
      <c r="AD31" s="229">
        <f t="shared" si="20"/>
        <v>20.297698683026184</v>
      </c>
      <c r="AE31" s="229">
        <f t="shared" si="21"/>
        <v>92.587258103914124</v>
      </c>
      <c r="AF31" s="227">
        <f t="shared" si="9"/>
        <v>45.786815478499008</v>
      </c>
      <c r="AG31" s="227">
        <f t="shared" si="10"/>
        <v>91.432588213763125</v>
      </c>
      <c r="AH31" s="229" t="str">
        <f t="shared" si="22"/>
        <v>0.467147957269621-10.338130332747i</v>
      </c>
    </row>
    <row r="32" spans="2:34" x14ac:dyDescent="0.2">
      <c r="E32" s="221" t="s">
        <v>14</v>
      </c>
      <c r="F32" s="103">
        <f>0.024*fswss</f>
        <v>18000</v>
      </c>
      <c r="G32" s="222"/>
      <c r="I32" s="227">
        <v>28</v>
      </c>
      <c r="J32" s="227">
        <f t="shared" si="0"/>
        <v>1.2730034307499352</v>
      </c>
      <c r="K32" s="227">
        <f t="shared" si="23"/>
        <v>18.750093198206486</v>
      </c>
      <c r="L32" s="227">
        <f t="shared" si="11"/>
        <v>117.81031009121888</v>
      </c>
      <c r="M32" s="227">
        <f t="shared" si="1"/>
        <v>5800.9850151248456</v>
      </c>
      <c r="N32" s="227">
        <f>SQRT((ABS(AC32)-171.5+'Small Signal'!C$59)^2)</f>
        <v>100.31912041330537</v>
      </c>
      <c r="O32" s="227">
        <f t="shared" si="12"/>
        <v>91.417592732882397</v>
      </c>
      <c r="P32" s="227">
        <f t="shared" si="13"/>
        <v>45.591949878389244</v>
      </c>
      <c r="Q32" s="227">
        <f t="shared" si="14"/>
        <v>18.750093198206486</v>
      </c>
      <c r="R32" s="227" t="str">
        <f t="shared" si="2"/>
        <v>0.0945666666666667+0.000553708457428729i</v>
      </c>
      <c r="S32" s="227" t="str">
        <f t="shared" si="3"/>
        <v>0.0085-325.080821116353i</v>
      </c>
      <c r="T32" s="227" t="str">
        <f t="shared" si="15"/>
        <v>13.0697008813157-0.526312457392431i</v>
      </c>
      <c r="U32" s="227" t="str">
        <f t="shared" si="4"/>
        <v>79.3996227778711-0.517003944226472i</v>
      </c>
      <c r="V32" s="227">
        <f t="shared" si="16"/>
        <v>37.996552913165274</v>
      </c>
      <c r="W32" s="227">
        <f t="shared" si="17"/>
        <v>-0.37307136136099023</v>
      </c>
      <c r="X32" s="227" t="str">
        <f t="shared" si="5"/>
        <v>0.999999997499975-0.0000147241132127598i</v>
      </c>
      <c r="Y32" s="227" t="str">
        <f t="shared" si="6"/>
        <v>61.3825995684879+0.893464991524859i</v>
      </c>
      <c r="Z32" s="227" t="str">
        <f t="shared" si="7"/>
        <v>31.9653876955306+0.464806940010942i</v>
      </c>
      <c r="AA32" s="227" t="str">
        <f t="shared" si="8"/>
        <v>18.8087490339853-0.38770767119905i</v>
      </c>
      <c r="AB32" s="227">
        <f t="shared" si="18"/>
        <v>25.489043168305443</v>
      </c>
      <c r="AC32" s="227">
        <f t="shared" si="19"/>
        <v>-1.1808795866946222</v>
      </c>
      <c r="AD32" s="229">
        <f t="shared" si="20"/>
        <v>20.102906710083804</v>
      </c>
      <c r="AE32" s="229">
        <f t="shared" si="21"/>
        <v>92.598472319577013</v>
      </c>
      <c r="AF32" s="227">
        <f t="shared" si="9"/>
        <v>45.591949878389244</v>
      </c>
      <c r="AG32" s="227">
        <f t="shared" si="10"/>
        <v>91.417592732882397</v>
      </c>
      <c r="AH32" s="229" t="str">
        <f t="shared" si="22"/>
        <v>0.458766726668487-10.1087755788701i</v>
      </c>
    </row>
    <row r="33" spans="1:34" x14ac:dyDescent="0.2">
      <c r="E33" s="221" t="s">
        <v>149</v>
      </c>
      <c r="F33" s="102">
        <f>-(snss/sess+1)*2/PI()</f>
        <v>-3.3958071230544982</v>
      </c>
      <c r="I33" s="227">
        <v>29</v>
      </c>
      <c r="J33" s="227">
        <f t="shared" si="0"/>
        <v>1.2827535532767187</v>
      </c>
      <c r="K33" s="227">
        <f t="shared" si="23"/>
        <v>19.175802730369849</v>
      </c>
      <c r="L33" s="227">
        <f t="shared" si="11"/>
        <v>120.48512196883402</v>
      </c>
      <c r="M33" s="227">
        <f>SQRT((Fco_target-K34)^2)</f>
        <v>5800.5496401150831</v>
      </c>
      <c r="N33" s="227">
        <f>SQRT((ABS(AC33)-171.5+'Small Signal'!C$59)^2)</f>
        <v>100.29231608617809</v>
      </c>
      <c r="O33" s="227">
        <f t="shared" si="12"/>
        <v>91.40331029338796</v>
      </c>
      <c r="P33" s="227">
        <f t="shared" si="13"/>
        <v>45.397084718215936</v>
      </c>
      <c r="Q33" s="227">
        <f t="shared" si="14"/>
        <v>19.175802730369849</v>
      </c>
      <c r="R33" s="227" t="str">
        <f t="shared" si="2"/>
        <v>0.0945666666666667+0.00056628007325352i</v>
      </c>
      <c r="S33" s="227" t="str">
        <f t="shared" si="3"/>
        <v>0.0085-317.863913108973i</v>
      </c>
      <c r="T33" s="227" t="str">
        <f t="shared" si="15"/>
        <v>13.0687285608634-0.538221993544994i</v>
      </c>
      <c r="U33" s="227" t="str">
        <f t="shared" si="4"/>
        <v>79.3995938483497-0.528742733255797i</v>
      </c>
      <c r="V33" s="227">
        <f t="shared" si="16"/>
        <v>37.996558204832915</v>
      </c>
      <c r="W33" s="227">
        <f t="shared" si="17"/>
        <v>-0.38154199276067069</v>
      </c>
      <c r="X33" s="227" t="str">
        <f t="shared" si="5"/>
        <v>0.999999997385163-0.0000150584153029448i</v>
      </c>
      <c r="Y33" s="227" t="str">
        <f t="shared" si="6"/>
        <v>61.3829099206838+0.913749992718245i</v>
      </c>
      <c r="Z33" s="227" t="str">
        <f t="shared" si="7"/>
        <v>31.9655496243626+0.475359795383431i</v>
      </c>
      <c r="AA33" s="227" t="str">
        <f t="shared" si="8"/>
        <v>18.808398845219-0.396503292863269i</v>
      </c>
      <c r="AB33" s="227">
        <f t="shared" si="18"/>
        <v>25.488966161204978</v>
      </c>
      <c r="AC33" s="227">
        <f t="shared" si="19"/>
        <v>-1.207683913821906</v>
      </c>
      <c r="AD33" s="229">
        <f t="shared" si="20"/>
        <v>19.908118557010958</v>
      </c>
      <c r="AE33" s="229">
        <f t="shared" si="21"/>
        <v>92.61099420720987</v>
      </c>
      <c r="AF33" s="227">
        <f t="shared" si="9"/>
        <v>45.397084718215936</v>
      </c>
      <c r="AG33" s="227">
        <f t="shared" si="10"/>
        <v>91.40331029338796</v>
      </c>
      <c r="AH33" s="229" t="str">
        <f t="shared" si="22"/>
        <v>0.450753263003597-9.88450281664959i</v>
      </c>
    </row>
    <row r="34" spans="1:34" x14ac:dyDescent="0.2">
      <c r="E34" s="221" t="s">
        <v>150</v>
      </c>
      <c r="F34" s="102">
        <f>PI()*fswss</f>
        <v>2356194.4901923449</v>
      </c>
      <c r="I34" s="227">
        <v>30</v>
      </c>
      <c r="J34" s="227">
        <f t="shared" si="0"/>
        <v>1.292503675803502</v>
      </c>
      <c r="K34" s="227">
        <f t="shared" si="23"/>
        <v>19.611177740131591</v>
      </c>
      <c r="L34" s="227">
        <f t="shared" si="11"/>
        <v>123.22066383328217</v>
      </c>
      <c r="M34" s="227">
        <f t="shared" si="1"/>
        <v>5800.1043801788974</v>
      </c>
      <c r="N34" s="227">
        <f>SQRT((ABS(AC34)-171.5+'Small Signal'!C$59)^2)</f>
        <v>100.26490365870748</v>
      </c>
      <c r="O34" s="227">
        <f t="shared" si="12"/>
        <v>91.38973365369695</v>
      </c>
      <c r="P34" s="227">
        <f t="shared" si="13"/>
        <v>45.202220274162684</v>
      </c>
      <c r="Q34" s="227">
        <f t="shared" si="14"/>
        <v>19.611177740131591</v>
      </c>
      <c r="R34" s="227" t="str">
        <f t="shared" si="2"/>
        <v>0.0945666666666667+0.000579137120016426i</v>
      </c>
      <c r="S34" s="227" t="str">
        <f t="shared" si="3"/>
        <v>0.0085-310.807222985283i</v>
      </c>
      <c r="T34" s="227" t="str">
        <f t="shared" si="15"/>
        <v>13.0677117421723-0.550399143309547i</v>
      </c>
      <c r="U34" s="227" t="str">
        <f t="shared" si="4"/>
        <v>79.3995635898957-0.540748081109745i</v>
      </c>
      <c r="V34" s="227">
        <f t="shared" si="16"/>
        <v>37.996563739507046</v>
      </c>
      <c r="W34" s="227">
        <f t="shared" si="17"/>
        <v>-0.39020496365249957</v>
      </c>
      <c r="X34" s="227" t="str">
        <f t="shared" si="5"/>
        <v>0.999999997265079-0.0000154003075200113i</v>
      </c>
      <c r="Y34" s="227" t="str">
        <f t="shared" si="6"/>
        <v>61.3832345261383+0.934495512092579i</v>
      </c>
      <c r="Z34" s="227" t="str">
        <f t="shared" si="7"/>
        <v>31.9657189899496+0.48615222568933i</v>
      </c>
      <c r="AA34" s="227" t="str">
        <f t="shared" si="8"/>
        <v>18.8080325876024-0.40549812312489i</v>
      </c>
      <c r="AB34" s="227">
        <f t="shared" si="18"/>
        <v>25.488885619076257</v>
      </c>
      <c r="AC34" s="227">
        <f t="shared" si="19"/>
        <v>-1.2350963412925271</v>
      </c>
      <c r="AD34" s="229">
        <f t="shared" si="20"/>
        <v>19.713334655086427</v>
      </c>
      <c r="AE34" s="229">
        <f t="shared" si="21"/>
        <v>92.624829994989483</v>
      </c>
      <c r="AF34" s="227">
        <f t="shared" si="9"/>
        <v>45.202220274162684</v>
      </c>
      <c r="AG34" s="227">
        <f t="shared" si="10"/>
        <v>91.38973365369695</v>
      </c>
      <c r="AH34" s="229" t="str">
        <f t="shared" si="22"/>
        <v>0.443091438566057-9.66519986758698i</v>
      </c>
    </row>
    <row r="35" spans="1:34" x14ac:dyDescent="0.2">
      <c r="E35" s="221" t="s">
        <v>148</v>
      </c>
      <c r="F35" s="253">
        <f>(1+sess/snss)</f>
        <v>1.2307272727272727</v>
      </c>
      <c r="I35" s="227">
        <v>31</v>
      </c>
      <c r="J35" s="227">
        <f t="shared" si="0"/>
        <v>1.3022537983302853</v>
      </c>
      <c r="K35" s="227">
        <f t="shared" si="23"/>
        <v>20.056437676318073</v>
      </c>
      <c r="L35" s="227">
        <f t="shared" si="11"/>
        <v>126.01831452220479</v>
      </c>
      <c r="M35" s="227">
        <f t="shared" si="1"/>
        <v>5799.6490108850066</v>
      </c>
      <c r="N35" s="227">
        <f>SQRT((ABS(AC35)-171.5+'Small Signal'!C$59)^2)</f>
        <v>100.23686935746659</v>
      </c>
      <c r="O35" s="227">
        <f t="shared" si="12"/>
        <v>91.37685592104566</v>
      </c>
      <c r="P35" s="227">
        <f t="shared" si="13"/>
        <v>45.007356823817922</v>
      </c>
      <c r="Q35" s="227">
        <f t="shared" si="14"/>
        <v>20.056437676318073</v>
      </c>
      <c r="R35" s="227" t="str">
        <f t="shared" si="2"/>
        <v>0.0945666666666667+0.000592286078254363i</v>
      </c>
      <c r="S35" s="227" t="str">
        <f t="shared" si="3"/>
        <v>0.0085-303.907193852186i</v>
      </c>
      <c r="T35" s="227" t="str">
        <f t="shared" si="15"/>
        <v>13.0666483962055-0.562849789415946i</v>
      </c>
      <c r="U35" s="227" t="str">
        <f t="shared" si="4"/>
        <v>79.3995319414447-0.553026042403236i</v>
      </c>
      <c r="V35" s="227">
        <f t="shared" si="16"/>
        <v>37.996569528346697</v>
      </c>
      <c r="W35" s="227">
        <f t="shared" si="17"/>
        <v>-0.39906464230702965</v>
      </c>
      <c r="X35" s="227" t="str">
        <f t="shared" si="5"/>
        <v>0.99999999713948-0.0000157499621932021i</v>
      </c>
      <c r="Y35" s="227" t="str">
        <f t="shared" si="6"/>
        <v>61.3835740394733+0.95571200261191i</v>
      </c>
      <c r="Z35" s="227" t="str">
        <f t="shared" si="7"/>
        <v>31.9658961338456+0.497189668850575i</v>
      </c>
      <c r="AA35" s="227" t="str">
        <f t="shared" si="8"/>
        <v>18.8076495244362-0.414696650741224i</v>
      </c>
      <c r="AB35" s="227">
        <f t="shared" si="18"/>
        <v>25.488801379713774</v>
      </c>
      <c r="AC35" s="227">
        <f t="shared" si="19"/>
        <v>-1.2631306425334021</v>
      </c>
      <c r="AD35" s="229">
        <f t="shared" si="20"/>
        <v>19.518555444104148</v>
      </c>
      <c r="AE35" s="229">
        <f t="shared" si="21"/>
        <v>92.639986563579058</v>
      </c>
      <c r="AF35" s="227">
        <f t="shared" si="9"/>
        <v>45.007356823817922</v>
      </c>
      <c r="AG35" s="227">
        <f t="shared" si="10"/>
        <v>91.37685592104566</v>
      </c>
      <c r="AH35" s="229" t="str">
        <f t="shared" si="22"/>
        <v>0.435765832050177-9.45075700190026i</v>
      </c>
    </row>
    <row r="36" spans="1:34" x14ac:dyDescent="0.2">
      <c r="E36" s="221" t="s">
        <v>182</v>
      </c>
      <c r="F36" s="226">
        <v>2000000</v>
      </c>
      <c r="I36" s="227">
        <v>32</v>
      </c>
      <c r="J36" s="227">
        <f t="shared" si="0"/>
        <v>1.3120039208570689</v>
      </c>
      <c r="K36" s="227">
        <f t="shared" si="23"/>
        <v>20.511806970208617</v>
      </c>
      <c r="L36" s="227">
        <f t="shared" si="11"/>
        <v>128.8794841789186</v>
      </c>
      <c r="M36" s="227">
        <f>SQRT((Fco_target-K37)^2)</f>
        <v>5799.1833027065559</v>
      </c>
      <c r="N36" s="227">
        <f>SQRT((ABS(AC36)-171.5+'Small Signal'!C$59)^2)</f>
        <v>100.20819909861686</v>
      </c>
      <c r="O36" s="227">
        <f t="shared" si="12"/>
        <v>91.364670547792585</v>
      </c>
      <c r="P36" s="227">
        <f t="shared" si="13"/>
        <v>44.812494646727913</v>
      </c>
      <c r="Q36" s="227">
        <f t="shared" si="14"/>
        <v>20.511806970208617</v>
      </c>
      <c r="R36" s="227" t="str">
        <f t="shared" si="2"/>
        <v>0.0945666666666667+0.000605733575640917i</v>
      </c>
      <c r="S36" s="227" t="str">
        <f t="shared" si="3"/>
        <v>0.0085-297.160347780862i</v>
      </c>
      <c r="T36" s="227" t="str">
        <f t="shared" ref="T36:T67" si="24">IMDIV(IMPRODUCT(S36,COMPLEX(Ross,0)),IMSUM(S36,COMPLEX(Ross,0)))</f>
        <v>13.0655364021013-0.575579934783724i</v>
      </c>
      <c r="U36" s="227" t="str">
        <f t="shared" si="4"/>
        <v>79.3994988391251-0.565582809395797i</v>
      </c>
      <c r="V36" s="227">
        <f t="shared" si="16"/>
        <v>37.996575583023301</v>
      </c>
      <c r="W36" s="227">
        <f t="shared" si="17"/>
        <v>-0.40812549626564959</v>
      </c>
      <c r="X36" s="227" t="str">
        <f t="shared" si="5"/>
        <v>0.999999997008112-0.0000161075555643914i</v>
      </c>
      <c r="Y36" s="227" t="str">
        <f t="shared" si="6"/>
        <v>61.3839291453817+0.977410154371681i</v>
      </c>
      <c r="Z36" s="227" t="str">
        <f t="shared" si="7"/>
        <v>31.9660814132948+0.508477686150485i</v>
      </c>
      <c r="AA36" s="227" t="str">
        <f t="shared" si="8"/>
        <v>18.8072488853048-0.424103464008386i</v>
      </c>
      <c r="AB36" s="227">
        <f t="shared" si="18"/>
        <v>25.488713273475216</v>
      </c>
      <c r="AC36" s="227">
        <f t="shared" si="19"/>
        <v>-1.2918009013831453</v>
      </c>
      <c r="AD36" s="229">
        <f t="shared" si="20"/>
        <v>19.323781373252697</v>
      </c>
      <c r="AE36" s="229">
        <f t="shared" si="21"/>
        <v>92.656471449175726</v>
      </c>
      <c r="AF36" s="227">
        <f t="shared" si="9"/>
        <v>44.812494646727913</v>
      </c>
      <c r="AG36" s="227">
        <f t="shared" si="10"/>
        <v>91.364670547792585</v>
      </c>
      <c r="AH36" s="229" t="str">
        <f t="shared" si="22"/>
        <v>0.428761697685221-9.24106688687565i</v>
      </c>
    </row>
    <row r="37" spans="1:34" x14ac:dyDescent="0.2">
      <c r="F37" s="220"/>
      <c r="I37" s="227">
        <v>33</v>
      </c>
      <c r="J37" s="227">
        <f t="shared" si="0"/>
        <v>1.3217540433838522</v>
      </c>
      <c r="K37" s="227">
        <f t="shared" si="23"/>
        <v>20.977515148659059</v>
      </c>
      <c r="L37" s="227">
        <f t="shared" si="11"/>
        <v>131.8056149631918</v>
      </c>
      <c r="M37" s="227">
        <f>SQRT((Fco_target-K38)^2)</f>
        <v>5798.7070209054209</v>
      </c>
      <c r="N37" s="227">
        <f>SQRT((ABS(AC37)-171.5+'Small Signal'!C$59)^2)</f>
        <v>100.17887848102043</v>
      </c>
      <c r="O37" s="227">
        <f t="shared" si="12"/>
        <v>91.353171327862711</v>
      </c>
      <c r="P37" s="227">
        <f t="shared" si="13"/>
        <v>44.617634024955493</v>
      </c>
      <c r="Q37" s="227">
        <f t="shared" si="14"/>
        <v>20.977515148659059</v>
      </c>
      <c r="R37" s="227" t="str">
        <f t="shared" si="2"/>
        <v>0.0945666666666667+0.000619486390327001i</v>
      </c>
      <c r="S37" s="227" t="str">
        <f t="shared" si="3"/>
        <v>0.0085-290.563284053723i</v>
      </c>
      <c r="T37" s="227" t="str">
        <f t="shared" si="24"/>
        <v>13.0643735430842-0.588595704329993i</v>
      </c>
      <c r="U37" s="227" t="str">
        <f t="shared" si="4"/>
        <v>79.3994642161272-0.578424715129045i</v>
      </c>
      <c r="V37" s="227">
        <f t="shared" si="16"/>
        <v>37.996581915744081</v>
      </c>
      <c r="W37" s="227">
        <f t="shared" si="17"/>
        <v>-0.41739209460082793</v>
      </c>
      <c r="X37" s="227" t="str">
        <f t="shared" si="5"/>
        <v>0.999999996870712-0.0000164732678769183i</v>
      </c>
      <c r="Y37" s="227" t="str">
        <f t="shared" si="6"/>
        <v>61.3843005600024+0.999600899969077i</v>
      </c>
      <c r="Z37" s="227" t="str">
        <f t="shared" si="7"/>
        <v>31.9662752019484+0.520021965027482i</v>
      </c>
      <c r="AA37" s="227" t="str">
        <f t="shared" si="8"/>
        <v>18.8068298645411-0.433723252856303i</v>
      </c>
      <c r="AB37" s="227">
        <f t="shared" si="18"/>
        <v>25.488621122942131</v>
      </c>
      <c r="AC37" s="227">
        <f t="shared" si="19"/>
        <v>-1.3211215189795718</v>
      </c>
      <c r="AD37" s="229">
        <f t="shared" si="20"/>
        <v>19.129012902013361</v>
      </c>
      <c r="AE37" s="229">
        <f t="shared" si="21"/>
        <v>92.674292846842278</v>
      </c>
      <c r="AF37" s="227">
        <f t="shared" si="9"/>
        <v>44.617634024955493</v>
      </c>
      <c r="AG37" s="227">
        <f t="shared" si="10"/>
        <v>91.353171327862711</v>
      </c>
      <c r="AH37" s="229" t="str">
        <f t="shared" si="22"/>
        <v>0.422064935709774-9.03602453619001i</v>
      </c>
    </row>
    <row r="38" spans="1:34" x14ac:dyDescent="0.2">
      <c r="F38" s="220"/>
      <c r="I38" s="227">
        <v>34</v>
      </c>
      <c r="J38" s="227">
        <f t="shared" si="0"/>
        <v>1.3315041659106357</v>
      </c>
      <c r="K38" s="227">
        <f t="shared" si="23"/>
        <v>21.453796949793784</v>
      </c>
      <c r="L38" s="227">
        <f t="shared" si="11"/>
        <v>134.79818177815852</v>
      </c>
      <c r="M38" s="227">
        <f t="shared" si="1"/>
        <v>5798.2199254138905</v>
      </c>
      <c r="N38" s="227">
        <f>SQRT((ABS(AC38)-171.5+'Small Signal'!C$59)^2)</f>
        <v>100.14889277920778</v>
      </c>
      <c r="O38" s="227">
        <f t="shared" si="12"/>
        <v>91.342352393330998</v>
      </c>
      <c r="P38" s="227">
        <f t="shared" si="13"/>
        <v>44.422775243641993</v>
      </c>
      <c r="Q38" s="227">
        <f t="shared" si="14"/>
        <v>21.453796949793784</v>
      </c>
      <c r="R38" s="227" t="str">
        <f t="shared" si="2"/>
        <v>0.0945666666666667+0.000633551454357345i</v>
      </c>
      <c r="S38" s="227" t="str">
        <f t="shared" si="3"/>
        <v>0.0085-284.112677450305i</v>
      </c>
      <c r="T38" s="227" t="str">
        <f t="shared" si="24"/>
        <v>13.0631575021975-0.601903346755453i</v>
      </c>
      <c r="U38" s="227" t="str">
        <f t="shared" si="4"/>
        <v>79.3994280025701-0.591558236636409i</v>
      </c>
      <c r="V38" s="227">
        <f t="shared" si="16"/>
        <v>37.99658853927685</v>
      </c>
      <c r="W38" s="227">
        <f t="shared" si="17"/>
        <v>-0.42686911022820262</v>
      </c>
      <c r="X38" s="227" t="str">
        <f t="shared" si="5"/>
        <v>0.999999996727002-0.0000168472834664385i</v>
      </c>
      <c r="Y38" s="227" t="str">
        <f t="shared" si="6"/>
        <v>61.3846890323696+1.02229541999413i</v>
      </c>
      <c r="Z38" s="227" t="str">
        <f t="shared" si="7"/>
        <v>31.966477890621+0.531828321931622i</v>
      </c>
      <c r="AA38" s="227" t="str">
        <f t="shared" si="8"/>
        <v>18.8063916196186-0.443560810979701i</v>
      </c>
      <c r="AB38" s="227">
        <f t="shared" si="18"/>
        <v>25.488524742563673</v>
      </c>
      <c r="AC38" s="227">
        <f t="shared" si="19"/>
        <v>-1.3511072207922077</v>
      </c>
      <c r="AD38" s="229">
        <f t="shared" si="20"/>
        <v>18.934250501078321</v>
      </c>
      <c r="AE38" s="229">
        <f t="shared" si="21"/>
        <v>92.693459614123199</v>
      </c>
      <c r="AF38" s="227">
        <f t="shared" si="9"/>
        <v>44.422775243641993</v>
      </c>
      <c r="AG38" s="227">
        <f t="shared" si="10"/>
        <v>91.342352393330998</v>
      </c>
      <c r="AH38" s="229" t="str">
        <f t="shared" si="22"/>
        <v>0.415662064130891-8.83552726019345i</v>
      </c>
    </row>
    <row r="39" spans="1:34" x14ac:dyDescent="0.2">
      <c r="F39" s="220"/>
      <c r="I39" s="227">
        <v>35</v>
      </c>
      <c r="J39" s="227">
        <f t="shared" si="0"/>
        <v>1.341254288437419</v>
      </c>
      <c r="K39" s="227">
        <f t="shared" si="23"/>
        <v>21.940892441324351</v>
      </c>
      <c r="L39" s="227">
        <f t="shared" si="11"/>
        <v>137.8586930137368</v>
      </c>
      <c r="M39" s="227">
        <f t="shared" si="1"/>
        <v>5797.7217707136606</v>
      </c>
      <c r="N39" s="227">
        <f>SQRT((ABS(AC39)-171.5+'Small Signal'!C$59)^2)</f>
        <v>100.11822693619735</v>
      </c>
      <c r="O39" s="227">
        <f t="shared" si="12"/>
        <v>91.332208211141278</v>
      </c>
      <c r="P39" s="227">
        <f t="shared" si="13"/>
        <v>44.227918591575396</v>
      </c>
      <c r="Q39" s="227">
        <f t="shared" si="14"/>
        <v>21.940892441324351</v>
      </c>
      <c r="R39" s="227" t="str">
        <f t="shared" si="2"/>
        <v>0.0945666666666667+0.000647935857164563i</v>
      </c>
      <c r="S39" s="227" t="str">
        <f t="shared" si="3"/>
        <v>0.0085-277.805276571201i</v>
      </c>
      <c r="T39" s="227" t="str">
        <f t="shared" si="24"/>
        <v>13.061885857855-0.615509236303888i</v>
      </c>
      <c r="U39" s="227" t="str">
        <f t="shared" si="4"/>
        <v>79.3993901253607-0.604989998226553i</v>
      </c>
      <c r="V39" s="227">
        <f t="shared" si="16"/>
        <v>37.996595466975805</v>
      </c>
      <c r="W39" s="227">
        <f t="shared" si="17"/>
        <v>-0.43656132227157796</v>
      </c>
      <c r="X39" s="227" t="str">
        <f t="shared" si="5"/>
        <v>0.999999996576691-0.0000172297908538368i</v>
      </c>
      <c r="Y39" s="227" t="str">
        <f t="shared" si="6"/>
        <v>61.3850953459241+1.04550514864463i</v>
      </c>
      <c r="Z39" s="227" t="str">
        <f t="shared" si="7"/>
        <v>31.9666898880791+0.543902705245523i</v>
      </c>
      <c r="AA39" s="227" t="str">
        <f t="shared" si="8"/>
        <v>18.8059332694717-0.453621038005292i</v>
      </c>
      <c r="AB39" s="227">
        <f t="shared" si="18"/>
        <v>25.488423938284516</v>
      </c>
      <c r="AC39" s="227">
        <f t="shared" si="19"/>
        <v>-1.3817730638026666</v>
      </c>
      <c r="AD39" s="229">
        <f t="shared" si="20"/>
        <v>18.73949465329088</v>
      </c>
      <c r="AE39" s="229">
        <f t="shared" si="21"/>
        <v>92.713981274943947</v>
      </c>
      <c r="AF39" s="227">
        <f t="shared" si="9"/>
        <v>44.227918591575396</v>
      </c>
      <c r="AG39" s="227">
        <f t="shared" si="10"/>
        <v>91.332208211141278</v>
      </c>
      <c r="AH39" s="229" t="str">
        <f t="shared" si="22"/>
        <v>0.40954019171259-8.63947461714173i</v>
      </c>
    </row>
    <row r="40" spans="1:34" x14ac:dyDescent="0.2">
      <c r="F40" s="220"/>
      <c r="I40" s="227">
        <v>36</v>
      </c>
      <c r="J40" s="227">
        <f t="shared" si="0"/>
        <v>1.3510044109642023</v>
      </c>
      <c r="K40" s="227">
        <f t="shared" si="23"/>
        <v>22.43904714155466</v>
      </c>
      <c r="L40" s="227">
        <f t="shared" si="11"/>
        <v>140.98869130692634</v>
      </c>
      <c r="M40" s="227">
        <f t="shared" si="1"/>
        <v>5797.2123057120816</v>
      </c>
      <c r="N40" s="227">
        <f>SQRT((ABS(AC40)-171.5+'Small Signal'!C$59)^2)</f>
        <v>100.08686555616481</v>
      </c>
      <c r="O40" s="227">
        <f t="shared" si="12"/>
        <v>91.322733579958253</v>
      </c>
      <c r="P40" s="227">
        <f t="shared" si="13"/>
        <v>44.033064361765454</v>
      </c>
      <c r="Q40" s="227">
        <f t="shared" si="14"/>
        <v>22.43904714155466</v>
      </c>
      <c r="R40" s="227" t="str">
        <f t="shared" si="2"/>
        <v>0.0945666666666667+0.000662646849142554i</v>
      </c>
      <c r="S40" s="227" t="str">
        <f t="shared" si="3"/>
        <v>0.0085-271.63790219921i</v>
      </c>
      <c r="T40" s="227" t="str">
        <f t="shared" si="24"/>
        <v>13.0605560792007-0.629419874489941i</v>
      </c>
      <c r="U40" s="227" t="str">
        <f t="shared" si="4"/>
        <v>79.3993505080419-0.618726774842343i</v>
      </c>
      <c r="V40" s="227">
        <f t="shared" si="16"/>
        <v>37.996602712807999</v>
      </c>
      <c r="W40" s="227">
        <f t="shared" si="17"/>
        <v>-0.44647361848215616</v>
      </c>
      <c r="X40" s="227" t="str">
        <f t="shared" si="5"/>
        <v>0.999999996419478-0.0000176209828402511i</v>
      </c>
      <c r="Y40" s="227" t="str">
        <f t="shared" si="6"/>
        <v>61.3855203200911+1.06924177946723i</v>
      </c>
      <c r="Z40" s="227" t="str">
        <f t="shared" si="7"/>
        <v>31.9669116218643+0.556251198270944i</v>
      </c>
      <c r="AA40" s="227" t="str">
        <f t="shared" si="8"/>
        <v>18.8054538927407-0.463908941695061i</v>
      </c>
      <c r="AB40" s="227">
        <f t="shared" si="18"/>
        <v>25.488318507156112</v>
      </c>
      <c r="AC40" s="227">
        <f t="shared" si="19"/>
        <v>-1.4131344438351954</v>
      </c>
      <c r="AD40" s="229">
        <f t="shared" si="20"/>
        <v>18.544745854609342</v>
      </c>
      <c r="AE40" s="229">
        <f t="shared" si="21"/>
        <v>92.735868023793444</v>
      </c>
      <c r="AF40" s="227">
        <f t="shared" si="9"/>
        <v>44.033064361765454</v>
      </c>
      <c r="AG40" s="227">
        <f t="shared" si="10"/>
        <v>91.322733579958253</v>
      </c>
      <c r="AH40" s="229" t="str">
        <f t="shared" si="22"/>
        <v>0.403686992140638-8.44776836536711i</v>
      </c>
    </row>
    <row r="41" spans="1:34" x14ac:dyDescent="0.2">
      <c r="F41" s="220"/>
      <c r="I41" s="227">
        <v>37</v>
      </c>
      <c r="J41" s="227">
        <f t="shared" si="0"/>
        <v>1.3607545334909859</v>
      </c>
      <c r="K41" s="227">
        <f t="shared" si="23"/>
        <v>22.948512143133257</v>
      </c>
      <c r="L41" s="227">
        <f t="shared" si="11"/>
        <v>144.18975431936721</v>
      </c>
      <c r="M41" s="227">
        <f t="shared" si="1"/>
        <v>5796.6912736156</v>
      </c>
      <c r="N41" s="227">
        <f>SQRT((ABS(AC41)-171.5+'Small Signal'!C$59)^2)</f>
        <v>100.05479289695981</v>
      </c>
      <c r="O41" s="227">
        <f t="shared" si="12"/>
        <v>91.31392362714854</v>
      </c>
      <c r="P41" s="227">
        <f t="shared" si="13"/>
        <v>43.838212852026444</v>
      </c>
      <c r="Q41" s="227">
        <f t="shared" si="14"/>
        <v>22.948512143133257</v>
      </c>
      <c r="R41" s="227" t="str">
        <f t="shared" si="2"/>
        <v>0.0945666666666667+0.000677691845301026i</v>
      </c>
      <c r="S41" s="227" t="str">
        <f t="shared" si="3"/>
        <v>0.0085-265.607445696864i</v>
      </c>
      <c r="T41" s="227" t="str">
        <f t="shared" si="24"/>
        <v>13.059165521272-0.64364189178972i</v>
      </c>
      <c r="U41" s="227" t="str">
        <f t="shared" si="4"/>
        <v>79.3993090706415-0.632775495497189i</v>
      </c>
      <c r="V41" s="227">
        <f t="shared" si="16"/>
        <v>37.996610291381934</v>
      </c>
      <c r="W41" s="227">
        <f t="shared" si="17"/>
        <v>-0.4566109977132406</v>
      </c>
      <c r="X41" s="227" t="str">
        <f t="shared" si="5"/>
        <v>0.999999996255046-0.0000180210566042524i</v>
      </c>
      <c r="Y41" s="227" t="str">
        <f t="shared" si="6"/>
        <v>61.3859648119352+1.09351727122792i</v>
      </c>
      <c r="Z41" s="227" t="str">
        <f t="shared" si="7"/>
        <v>31.9671435391571+0.568880022282647i</v>
      </c>
      <c r="AA41" s="227" t="str">
        <f t="shared" si="8"/>
        <v>18.8049525259366-0.474429640185618i</v>
      </c>
      <c r="AB41" s="227">
        <f t="shared" si="18"/>
        <v>25.488208236929772</v>
      </c>
      <c r="AC41" s="227">
        <f t="shared" si="19"/>
        <v>-1.4452071030401841</v>
      </c>
      <c r="AD41" s="229">
        <f t="shared" si="20"/>
        <v>18.350004615096669</v>
      </c>
      <c r="AE41" s="229">
        <f t="shared" si="21"/>
        <v>92.75913073018873</v>
      </c>
      <c r="AF41" s="227">
        <f t="shared" si="9"/>
        <v>43.838212852026444</v>
      </c>
      <c r="AG41" s="227">
        <f t="shared" si="10"/>
        <v>91.31392362714854</v>
      </c>
      <c r="AH41" s="229" t="str">
        <f t="shared" si="22"/>
        <v>0.398090679312816-8.26031241637639i</v>
      </c>
    </row>
    <row r="42" spans="1:34" x14ac:dyDescent="0.2">
      <c r="F42" s="220"/>
      <c r="I42" s="227">
        <v>38</v>
      </c>
      <c r="J42" s="227">
        <f t="shared" si="0"/>
        <v>1.3705046560177692</v>
      </c>
      <c r="K42" s="227">
        <f t="shared" si="23"/>
        <v>23.469544239615477</v>
      </c>
      <c r="L42" s="227">
        <f t="shared" si="11"/>
        <v>147.46349553255325</v>
      </c>
      <c r="M42" s="227">
        <f t="shared" si="1"/>
        <v>5796.1584118003157</v>
      </c>
      <c r="N42" s="227">
        <f>SQRT((ABS(AC42)-171.5+'Small Signal'!C$59)^2)</f>
        <v>100.02199286246704</v>
      </c>
      <c r="O42" s="227">
        <f t="shared" si="12"/>
        <v>91.305773805888492</v>
      </c>
      <c r="P42" s="227">
        <f t="shared" si="13"/>
        <v>43.643364365569518</v>
      </c>
      <c r="Q42" s="227">
        <f t="shared" si="14"/>
        <v>23.469544239615477</v>
      </c>
      <c r="R42" s="227" t="str">
        <f t="shared" si="2"/>
        <v>0.0945666666666667+0.000693078429003i</v>
      </c>
      <c r="S42" s="227" t="str">
        <f t="shared" si="3"/>
        <v>0.0085-259.710867439536i</v>
      </c>
      <c r="T42" s="227" t="str">
        <f t="shared" si="24"/>
        <v>13.0577114199571-0.658182049288242i</v>
      </c>
      <c r="U42" s="227" t="str">
        <f t="shared" si="4"/>
        <v>79.3992657295106-0.647143246790519i</v>
      </c>
      <c r="V42" s="227">
        <f t="shared" si="16"/>
        <v>37.996618217977002</v>
      </c>
      <c r="W42" s="227">
        <f t="shared" si="17"/>
        <v>-0.46697857245171009</v>
      </c>
      <c r="X42" s="227" t="str">
        <f t="shared" si="5"/>
        <v>0.999999996083061-0.0000184302138012321i</v>
      </c>
      <c r="Y42" s="227" t="str">
        <f t="shared" si="6"/>
        <v>61.3864297178908+1.1183438539145i</v>
      </c>
      <c r="Z42" s="227" t="str">
        <f t="shared" si="7"/>
        <v>31.9673861076791+0.581795539650926i</v>
      </c>
      <c r="AA42" s="227" t="str">
        <f t="shared" si="8"/>
        <v>18.8044281615243-0.485188364263455i</v>
      </c>
      <c r="AB42" s="227">
        <f t="shared" si="18"/>
        <v>25.488092905631817</v>
      </c>
      <c r="AC42" s="227">
        <f t="shared" si="19"/>
        <v>-1.4780071375329611</v>
      </c>
      <c r="AD42" s="229">
        <f t="shared" si="20"/>
        <v>18.155271459937701</v>
      </c>
      <c r="AE42" s="229">
        <f t="shared" si="21"/>
        <v>92.783780943421448</v>
      </c>
      <c r="AF42" s="227">
        <f t="shared" si="9"/>
        <v>43.643364365569518</v>
      </c>
      <c r="AG42" s="227">
        <f t="shared" si="10"/>
        <v>91.305773805888492</v>
      </c>
      <c r="AH42" s="229" t="str">
        <f t="shared" si="22"/>
        <v>0.392739983706002-8.07701278886425i</v>
      </c>
    </row>
    <row r="43" spans="1:34" x14ac:dyDescent="0.2">
      <c r="F43" s="220"/>
      <c r="I43" s="227">
        <v>39</v>
      </c>
      <c r="J43" s="227">
        <f t="shared" si="0"/>
        <v>1.3802547785445527</v>
      </c>
      <c r="K43" s="227">
        <f t="shared" si="23"/>
        <v>24.002406054899147</v>
      </c>
      <c r="L43" s="227">
        <f t="shared" si="11"/>
        <v>150.81156506110065</v>
      </c>
      <c r="M43" s="227">
        <f t="shared" si="1"/>
        <v>5795.6134516796164</v>
      </c>
      <c r="N43" s="227">
        <f>SQRT((ABS(AC43)-171.5+'Small Signal'!C$59)^2)</f>
        <v>99.98844899480963</v>
      </c>
      <c r="O43" s="227">
        <f t="shared" si="12"/>
        <v>91.298279892394433</v>
      </c>
      <c r="P43" s="227">
        <f t="shared" si="13"/>
        <v>43.448519211604406</v>
      </c>
      <c r="Q43" s="227">
        <f t="shared" si="14"/>
        <v>24.002406054899147</v>
      </c>
      <c r="R43" s="227" t="str">
        <f t="shared" si="2"/>
        <v>0.0945666666666667+0.000708814355787173i</v>
      </c>
      <c r="S43" s="227" t="str">
        <f t="shared" si="3"/>
        <v>0.0085-253.945195283328i</v>
      </c>
      <c r="T43" s="227" t="str">
        <f t="shared" si="24"/>
        <v>13.0561908867389-0.673047240277281i</v>
      </c>
      <c r="U43" s="227" t="str">
        <f t="shared" si="4"/>
        <v>79.3992203971501-0.661837276504226i</v>
      </c>
      <c r="V43" s="227">
        <f t="shared" si="16"/>
        <v>37.99662650857384</v>
      </c>
      <c r="W43" s="227">
        <f t="shared" si="17"/>
        <v>-0.47758157140758328</v>
      </c>
      <c r="X43" s="227" t="str">
        <f t="shared" si="5"/>
        <v>0.999999995903179-0.0000188486606650452i</v>
      </c>
      <c r="Y43" s="227" t="str">
        <f t="shared" si="6"/>
        <v>61.3869159755676+1.14373403487384i</v>
      </c>
      <c r="Z43" s="227" t="str">
        <f t="shared" si="7"/>
        <v>31.9676398166357+0.59500425703425i</v>
      </c>
      <c r="AA43" s="227" t="str">
        <f t="shared" si="8"/>
        <v>18.8038797459179-0.49619045967582i</v>
      </c>
      <c r="AB43" s="227">
        <f t="shared" si="18"/>
        <v>25.487972281118701</v>
      </c>
      <c r="AC43" s="227">
        <f t="shared" si="19"/>
        <v>-1.5115510051903835</v>
      </c>
      <c r="AD43" s="229">
        <f t="shared" si="20"/>
        <v>17.960546930485709</v>
      </c>
      <c r="AE43" s="229">
        <f t="shared" si="21"/>
        <v>92.809830897584817</v>
      </c>
      <c r="AF43" s="227">
        <f t="shared" si="9"/>
        <v>43.448519211604406</v>
      </c>
      <c r="AG43" s="227">
        <f t="shared" si="10"/>
        <v>91.298279892394433</v>
      </c>
      <c r="AH43" s="229" t="str">
        <f t="shared" si="22"/>
        <v>0.387624129773489-7.89777756362947i</v>
      </c>
    </row>
    <row r="44" spans="1:34" x14ac:dyDescent="0.2">
      <c r="F44" s="220"/>
      <c r="I44" s="227">
        <v>40</v>
      </c>
      <c r="J44" s="227">
        <f t="shared" si="0"/>
        <v>1.390004901071336</v>
      </c>
      <c r="K44" s="227">
        <f t="shared" si="23"/>
        <v>24.547366175598889</v>
      </c>
      <c r="L44" s="227">
        <f t="shared" si="11"/>
        <v>154.23565048448009</v>
      </c>
      <c r="M44" s="227">
        <f t="shared" si="1"/>
        <v>5795.0561185687893</v>
      </c>
      <c r="N44" s="227">
        <f>SQRT((ABS(AC44)-171.5+'Small Signal'!C$59)^2)</f>
        <v>99.954144466392165</v>
      </c>
      <c r="O44" s="227">
        <f t="shared" si="12"/>
        <v>91.291437983272559</v>
      </c>
      <c r="P44" s="227">
        <f t="shared" si="13"/>
        <v>43.253677705953315</v>
      </c>
      <c r="Q44" s="227">
        <f t="shared" si="14"/>
        <v>24.547366175598889</v>
      </c>
      <c r="R44" s="227" t="str">
        <f t="shared" si="2"/>
        <v>0.0945666666666667+0.000724907557277056i</v>
      </c>
      <c r="S44" s="227" t="str">
        <f t="shared" si="3"/>
        <v>0.0085-248.307523066979i</v>
      </c>
      <c r="T44" s="227" t="str">
        <f t="shared" si="24"/>
        <v>13.0546009032181-0.688244491796709i</v>
      </c>
      <c r="U44" s="227" t="str">
        <f t="shared" si="4"/>
        <v>79.3991729820383-0.676864997282151i</v>
      </c>
      <c r="V44" s="227">
        <f t="shared" si="16"/>
        <v>37.996635179887079</v>
      </c>
      <c r="W44" s="227">
        <f t="shared" si="17"/>
        <v>-0.48842534216305239</v>
      </c>
      <c r="X44" s="227" t="str">
        <f t="shared" si="5"/>
        <v>0.999999995715035-0.0000192766081119619i</v>
      </c>
      <c r="Y44" s="227" t="str">
        <f t="shared" si="6"/>
        <v>61.3874245656456+1.16970060508722i</v>
      </c>
      <c r="Z44" s="227" t="str">
        <f t="shared" si="7"/>
        <v>31.9679051777045+0.608512828643715i</v>
      </c>
      <c r="AA44" s="227" t="str">
        <f t="shared" si="8"/>
        <v>18.8033061773871-0.507441389477023i</v>
      </c>
      <c r="AB44" s="227">
        <f t="shared" si="18"/>
        <v>25.487846120612517</v>
      </c>
      <c r="AC44" s="227">
        <f t="shared" si="19"/>
        <v>-1.5458555336078292</v>
      </c>
      <c r="AD44" s="229">
        <f t="shared" si="20"/>
        <v>17.765831585340798</v>
      </c>
      <c r="AE44" s="229">
        <f t="shared" si="21"/>
        <v>92.837293516880393</v>
      </c>
      <c r="AF44" s="227">
        <f t="shared" si="9"/>
        <v>43.253677705953315</v>
      </c>
      <c r="AG44" s="227">
        <f t="shared" si="10"/>
        <v>91.291437983272559</v>
      </c>
      <c r="AH44" s="229" t="str">
        <f t="shared" si="22"/>
        <v>0.382732814327943-7.7225168393822i</v>
      </c>
    </row>
    <row r="45" spans="1:34" x14ac:dyDescent="0.2">
      <c r="A45" s="227"/>
      <c r="B45" s="235"/>
      <c r="C45" s="227"/>
      <c r="D45" s="227"/>
      <c r="E45" s="227"/>
      <c r="F45" s="227"/>
      <c r="I45" s="227">
        <v>41</v>
      </c>
      <c r="J45" s="227">
        <f t="shared" si="0"/>
        <v>1.3997550235981193</v>
      </c>
      <c r="K45" s="227">
        <f t="shared" si="23"/>
        <v>25.104699286426122</v>
      </c>
      <c r="L45" s="227">
        <f t="shared" si="11"/>
        <v>157.73747769763446</v>
      </c>
      <c r="M45" s="227">
        <f t="shared" si="1"/>
        <v>5794.4861315465723</v>
      </c>
      <c r="N45" s="227">
        <f>SQRT((ABS(AC45)-171.5+'Small Signal'!C$59)^2)</f>
        <v>99.9190620717809</v>
      </c>
      <c r="O45" s="227">
        <f t="shared" si="12"/>
        <v>91.285244492984219</v>
      </c>
      <c r="P45" s="227">
        <f t="shared" si="13"/>
        <v>43.058840171676181</v>
      </c>
      <c r="Q45" s="227">
        <f t="shared" si="14"/>
        <v>25.104699286426122</v>
      </c>
      <c r="R45" s="227" t="str">
        <f t="shared" si="2"/>
        <v>0.0945666666666667+0.000741366145178882i</v>
      </c>
      <c r="S45" s="227" t="str">
        <f t="shared" si="3"/>
        <v>0.0085-242.795009147024i</v>
      </c>
      <c r="T45" s="227" t="str">
        <f t="shared" si="24"/>
        <v>13.0529383154064-0.703780966111889i</v>
      </c>
      <c r="U45" s="227" t="str">
        <f t="shared" si="4"/>
        <v>79.399123388442-0.692233990394432i</v>
      </c>
      <c r="V45" s="227">
        <f t="shared" si="16"/>
        <v>37.996644249398642</v>
      </c>
      <c r="W45" s="227">
        <f t="shared" si="17"/>
        <v>-0.49951535388238355</v>
      </c>
      <c r="X45" s="227" t="str">
        <f t="shared" si="5"/>
        <v>0.999999995518251-0.0000197142718469787i</v>
      </c>
      <c r="Y45" s="227" t="str">
        <f t="shared" si="6"/>
        <v>61.3879565138542+1.19625664558658i</v>
      </c>
      <c r="Z45" s="227" t="str">
        <f t="shared" si="7"/>
        <v>31.9681827260678+0.622328059580811i</v>
      </c>
      <c r="AA45" s="227" t="str">
        <f t="shared" si="8"/>
        <v>18.8027063038676-0.518946736409728i</v>
      </c>
      <c r="AB45" s="227">
        <f t="shared" si="18"/>
        <v>25.487714170214591</v>
      </c>
      <c r="AC45" s="227">
        <f t="shared" si="19"/>
        <v>-1.5809379282191129</v>
      </c>
      <c r="AD45" s="229">
        <f t="shared" si="20"/>
        <v>17.571126001461586</v>
      </c>
      <c r="AE45" s="229">
        <f t="shared" si="21"/>
        <v>92.866182421203334</v>
      </c>
      <c r="AF45" s="227">
        <f t="shared" si="9"/>
        <v>43.058840171676181</v>
      </c>
      <c r="AG45" s="227">
        <f t="shared" si="10"/>
        <v>91.285244492984219</v>
      </c>
      <c r="AH45" s="229" t="str">
        <f t="shared" si="22"/>
        <v>0.3780561858673-7.551142689429i</v>
      </c>
    </row>
    <row r="46" spans="1:34" x14ac:dyDescent="0.2">
      <c r="A46" s="227"/>
      <c r="B46" s="235"/>
      <c r="C46" s="227"/>
      <c r="D46" s="227"/>
      <c r="E46" s="227"/>
      <c r="F46" s="227"/>
      <c r="I46" s="227">
        <v>42</v>
      </c>
      <c r="J46" s="227">
        <f t="shared" si="0"/>
        <v>1.4095051461249029</v>
      </c>
      <c r="K46" s="227">
        <f t="shared" si="23"/>
        <v>25.674686308642574</v>
      </c>
      <c r="L46" s="227">
        <f t="shared" si="11"/>
        <v>161.31881178090791</v>
      </c>
      <c r="M46" s="227">
        <f t="shared" si="1"/>
        <v>5793.9032033135582</v>
      </c>
      <c r="N46" s="227">
        <f>SQRT((ABS(AC46)-171.5+'Small Signal'!C$59)^2)</f>
        <v>99.883184219418382</v>
      </c>
      <c r="O46" s="227">
        <f t="shared" si="12"/>
        <v>91.279696151423494</v>
      </c>
      <c r="P46" s="227">
        <f t="shared" si="13"/>
        <v>42.864006939711345</v>
      </c>
      <c r="Q46" s="227">
        <f t="shared" si="14"/>
        <v>25.674686308642574</v>
      </c>
      <c r="R46" s="227" t="str">
        <f t="shared" si="2"/>
        <v>0.0945666666666667+0.000758198415370267i</v>
      </c>
      <c r="S46" s="227" t="str">
        <f t="shared" si="3"/>
        <v>0.0085-237.404874965475i</v>
      </c>
      <c r="T46" s="227" t="str">
        <f t="shared" si="24"/>
        <v>13.0511998277815-0.719663962119082i</v>
      </c>
      <c r="U46" s="227" t="str">
        <f t="shared" si="4"/>
        <v>79.3990715162226-0.707952009588789i</v>
      </c>
      <c r="V46" s="227">
        <f t="shared" si="16"/>
        <v>37.996653735392954</v>
      </c>
      <c r="W46" s="227">
        <f t="shared" si="17"/>
        <v>-0.51085720008407831</v>
      </c>
      <c r="X46" s="227" t="str">
        <f t="shared" si="5"/>
        <v>0.99999999531243-0.0000201618724725437i</v>
      </c>
      <c r="Y46" s="227" t="str">
        <f t="shared" si="6"/>
        <v>61.3885128930366+1.22341553401475i</v>
      </c>
      <c r="Z46" s="227" t="str">
        <f t="shared" si="7"/>
        <v>31.9684730214901+0.63645690925006i</v>
      </c>
      <c r="AA46" s="227" t="str">
        <f t="shared" si="8"/>
        <v>18.8020789206763-0.530712205320847i</v>
      </c>
      <c r="AB46" s="227">
        <f t="shared" si="18"/>
        <v>25.487576164398451</v>
      </c>
      <c r="AC46" s="227">
        <f t="shared" si="19"/>
        <v>-1.6168157805816286</v>
      </c>
      <c r="AD46" s="229">
        <f t="shared" si="20"/>
        <v>17.376430775312894</v>
      </c>
      <c r="AE46" s="229">
        <f t="shared" si="21"/>
        <v>92.896511932005126</v>
      </c>
      <c r="AF46" s="227">
        <f t="shared" si="9"/>
        <v>42.864006939711345</v>
      </c>
      <c r="AG46" s="227">
        <f t="shared" si="10"/>
        <v>91.279696151423494</v>
      </c>
      <c r="AH46" s="229" t="str">
        <f t="shared" si="22"/>
        <v>0.373584824802752-7.38356911922339i</v>
      </c>
    </row>
    <row r="47" spans="1:34" x14ac:dyDescent="0.2">
      <c r="A47" s="227"/>
      <c r="B47" s="235"/>
      <c r="C47" s="227"/>
      <c r="D47" s="227"/>
      <c r="E47" s="227"/>
      <c r="F47" s="227"/>
      <c r="I47" s="227">
        <v>43</v>
      </c>
      <c r="J47" s="227">
        <f t="shared" si="0"/>
        <v>1.4192552686516862</v>
      </c>
      <c r="K47" s="227">
        <f t="shared" si="23"/>
        <v>26.257614541657375</v>
      </c>
      <c r="L47" s="227">
        <f t="shared" si="11"/>
        <v>164.98145788972667</v>
      </c>
      <c r="M47" s="227">
        <f t="shared" si="1"/>
        <v>5793.3070400473762</v>
      </c>
      <c r="N47" s="227">
        <f>SQRT((ABS(AC47)-171.5+'Small Signal'!C$59)^2)</f>
        <v>99.846492923170786</v>
      </c>
      <c r="O47" s="227">
        <f t="shared" si="12"/>
        <v>91.274790001602398</v>
      </c>
      <c r="P47" s="227">
        <f t="shared" si="13"/>
        <v>42.669178349528899</v>
      </c>
      <c r="Q47" s="227">
        <f t="shared" si="14"/>
        <v>26.257614541657375</v>
      </c>
      <c r="R47" s="227" t="str">
        <f t="shared" si="2"/>
        <v>0.0945666666666667+0.000775412852081715i</v>
      </c>
      <c r="S47" s="227" t="str">
        <f t="shared" si="3"/>
        <v>0.0085-232.134403649311i</v>
      </c>
      <c r="T47" s="227" t="str">
        <f t="shared" si="24"/>
        <v>13.049381997095-0.735900916670201i</v>
      </c>
      <c r="U47" s="227" t="str">
        <f t="shared" si="4"/>
        <v>79.3990172606368-0.724026985030958i</v>
      </c>
      <c r="V47" s="227">
        <f t="shared" si="16"/>
        <v>37.996663656994237</v>
      </c>
      <c r="W47" s="227">
        <f t="shared" si="17"/>
        <v>-0.52245660147685691</v>
      </c>
      <c r="X47" s="227" t="str">
        <f t="shared" si="5"/>
        <v>0.999999995097157-0.0000206196355997501i</v>
      </c>
      <c r="Y47" s="227" t="str">
        <f t="shared" si="6"/>
        <v>61.3890948253237+1.25119095133286i</v>
      </c>
      <c r="Z47" s="227" t="str">
        <f t="shared" si="7"/>
        <v>31.968776649452+0.650906494848225i</v>
      </c>
      <c r="AA47" s="227" t="str">
        <f t="shared" si="8"/>
        <v>18.8014227681195-0.542743625611293i</v>
      </c>
      <c r="AB47" s="227">
        <f t="shared" si="18"/>
        <v>25.487431825477763</v>
      </c>
      <c r="AC47" s="227">
        <f t="shared" si="19"/>
        <v>-1.6535070768292115</v>
      </c>
      <c r="AD47" s="229">
        <f t="shared" si="20"/>
        <v>17.181746524051135</v>
      </c>
      <c r="AE47" s="229">
        <f t="shared" si="21"/>
        <v>92.928297078431612</v>
      </c>
      <c r="AF47" s="227">
        <f t="shared" si="9"/>
        <v>42.669178349528899</v>
      </c>
      <c r="AG47" s="227">
        <f t="shared" si="10"/>
        <v>91.274790001602398</v>
      </c>
      <c r="AH47" s="229" t="str">
        <f t="shared" si="22"/>
        <v>0.369309724549664-7.2197120247686i</v>
      </c>
    </row>
    <row r="48" spans="1:34" x14ac:dyDescent="0.2">
      <c r="A48" s="227"/>
      <c r="B48" s="235"/>
      <c r="C48" s="227" t="s">
        <v>176</v>
      </c>
      <c r="D48" s="227"/>
      <c r="E48" s="227"/>
      <c r="F48" s="235"/>
      <c r="I48" s="227">
        <v>44</v>
      </c>
      <c r="J48" s="227">
        <f t="shared" si="0"/>
        <v>1.4290053911784697</v>
      </c>
      <c r="K48" s="227">
        <f t="shared" si="23"/>
        <v>26.853777807839133</v>
      </c>
      <c r="L48" s="227">
        <f t="shared" si="11"/>
        <v>168.72726216448009</v>
      </c>
      <c r="M48" s="227">
        <f t="shared" si="1"/>
        <v>5792.6973412545995</v>
      </c>
      <c r="N48" s="227">
        <f>SQRT((ABS(AC48)-171.5+'Small Signal'!C$59)^2)</f>
        <v>99.808969793704648</v>
      </c>
      <c r="O48" s="227">
        <f t="shared" si="12"/>
        <v>91.270523397440087</v>
      </c>
      <c r="P48" s="227">
        <f t="shared" si="13"/>
        <v>42.474354749801734</v>
      </c>
      <c r="Q48" s="227">
        <f t="shared" si="14"/>
        <v>26.853777807839133</v>
      </c>
      <c r="R48" s="227" t="str">
        <f t="shared" si="2"/>
        <v>0.0945666666666667+0.000793018132173056i</v>
      </c>
      <c r="S48" s="227" t="str">
        <f t="shared" si="3"/>
        <v>0.0085-226.980938641034i</v>
      </c>
      <c r="T48" s="227" t="str">
        <f t="shared" si="24"/>
        <v>13.0474812259247-0.752499405807781i</v>
      </c>
      <c r="U48" s="227" t="str">
        <f t="shared" si="4"/>
        <v>79.3989605121193-0.740467027336106i</v>
      </c>
      <c r="V48" s="227">
        <f t="shared" si="16"/>
        <v>37.996674034204474</v>
      </c>
      <c r="W48" s="227">
        <f t="shared" si="17"/>
        <v>-0.5343194088608314</v>
      </c>
      <c r="X48" s="227" t="str">
        <f t="shared" si="5"/>
        <v>0.999999994871997-0.000021087791962055i</v>
      </c>
      <c r="Y48" s="227" t="str">
        <f t="shared" si="6"/>
        <v>61.3897034843906+1.27959688867828i</v>
      </c>
      <c r="Z48" s="227" t="str">
        <f t="shared" si="7"/>
        <v>31.9690942223277+0.665684094931802i</v>
      </c>
      <c r="AA48" s="227" t="str">
        <f t="shared" si="8"/>
        <v>18.8007365289974-0.555046953719218i</v>
      </c>
      <c r="AB48" s="227">
        <f t="shared" si="18"/>
        <v>25.487280863051783</v>
      </c>
      <c r="AC48" s="227">
        <f t="shared" si="19"/>
        <v>-1.6910302062953613</v>
      </c>
      <c r="AD48" s="229">
        <f t="shared" si="20"/>
        <v>16.987073886749954</v>
      </c>
      <c r="AE48" s="229">
        <f t="shared" si="21"/>
        <v>92.961553603735453</v>
      </c>
      <c r="AF48" s="227">
        <f t="shared" si="9"/>
        <v>42.474354749801734</v>
      </c>
      <c r="AG48" s="227">
        <f t="shared" si="10"/>
        <v>91.270523397440087</v>
      </c>
      <c r="AH48" s="229" t="str">
        <f t="shared" si="22"/>
        <v>0.365222273444013-7.0594891518596i</v>
      </c>
    </row>
    <row r="49" spans="1:34" x14ac:dyDescent="0.2">
      <c r="A49" s="227"/>
      <c r="B49" s="235"/>
      <c r="C49" s="236">
        <v>0</v>
      </c>
      <c r="D49" s="229"/>
      <c r="E49" s="227"/>
      <c r="F49" s="235"/>
      <c r="I49" s="227">
        <v>45</v>
      </c>
      <c r="J49" s="227">
        <f t="shared" si="0"/>
        <v>1.438755513705253</v>
      </c>
      <c r="K49" s="227">
        <f t="shared" si="23"/>
        <v>27.46347660061566</v>
      </c>
      <c r="L49" s="227">
        <f t="shared" si="11"/>
        <v>172.55811266105869</v>
      </c>
      <c r="M49" s="227">
        <f t="shared" si="1"/>
        <v>5792.0737996192784</v>
      </c>
      <c r="N49" s="227">
        <f>SQRT((ABS(AC49)-171.5+'Small Signal'!C$59)^2)</f>
        <v>99.770596029691291</v>
      </c>
      <c r="O49" s="227">
        <f t="shared" si="12"/>
        <v>91.26689400165175</v>
      </c>
      <c r="P49" s="227">
        <f t="shared" si="13"/>
        <v>42.279536499093311</v>
      </c>
      <c r="Q49" s="227">
        <f t="shared" si="14"/>
        <v>27.46347660061566</v>
      </c>
      <c r="R49" s="227" t="str">
        <f t="shared" si="2"/>
        <v>0.0945666666666667+0.000811023129506976i</v>
      </c>
      <c r="S49" s="227" t="str">
        <f t="shared" si="3"/>
        <v>0.0085-221.941882359659i</v>
      </c>
      <c r="T49" s="227" t="str">
        <f t="shared" si="24"/>
        <v>13.045493755962-0.76946714590006i</v>
      </c>
      <c r="U49" s="227" t="str">
        <f t="shared" si="4"/>
        <v>79.3989011560638-0.757280431693715i</v>
      </c>
      <c r="V49" s="227">
        <f t="shared" si="16"/>
        <v>37.996684887944078</v>
      </c>
      <c r="W49" s="227">
        <f t="shared" si="17"/>
        <v>-0.54645160609552235</v>
      </c>
      <c r="X49" s="227" t="str">
        <f t="shared" si="5"/>
        <v>0.999999994636497-0.0000215665775315786i</v>
      </c>
      <c r="Y49" s="227" t="str">
        <f t="shared" si="6"/>
        <v>61.3903400978298+1.30864765437615i</v>
      </c>
      <c r="Z49" s="227" t="str">
        <f t="shared" si="7"/>
        <v>31.9694263806232+0.680797153064413i</v>
      </c>
      <c r="AA49" s="227" t="str">
        <f t="shared" si="8"/>
        <v>18.8000188259951-0.567628275635669i</v>
      </c>
      <c r="AB49" s="227">
        <f t="shared" si="18"/>
        <v>25.487122973424832</v>
      </c>
      <c r="AC49" s="227">
        <f t="shared" si="19"/>
        <v>-1.7294039703087232</v>
      </c>
      <c r="AD49" s="229">
        <f t="shared" si="20"/>
        <v>16.792413525668476</v>
      </c>
      <c r="AE49" s="229">
        <f t="shared" si="21"/>
        <v>92.996297971960473</v>
      </c>
      <c r="AF49" s="227">
        <f t="shared" si="9"/>
        <v>42.279536499093311</v>
      </c>
      <c r="AG49" s="227">
        <f t="shared" si="10"/>
        <v>91.26689400165175</v>
      </c>
      <c r="AH49" s="229" t="str">
        <f t="shared" si="22"/>
        <v>0.3613142374485-6.90282005615133i</v>
      </c>
    </row>
    <row r="50" spans="1:34" x14ac:dyDescent="0.2">
      <c r="A50" s="227"/>
      <c r="B50" s="235" t="s">
        <v>177</v>
      </c>
      <c r="C50" s="229">
        <f>D52</f>
        <v>3.9000000000000001E-11</v>
      </c>
      <c r="D50" s="227"/>
      <c r="E50" s="227"/>
      <c r="F50" s="235"/>
      <c r="I50" s="227">
        <v>46</v>
      </c>
      <c r="J50" s="227">
        <f t="shared" si="0"/>
        <v>1.4485056362320363</v>
      </c>
      <c r="K50" s="227">
        <f t="shared" si="23"/>
        <v>28.08701823593649</v>
      </c>
      <c r="L50" s="227">
        <f t="shared" si="11"/>
        <v>176.47594030252125</v>
      </c>
      <c r="M50" s="227">
        <f t="shared" si="1"/>
        <v>5791.436100848041</v>
      </c>
      <c r="N50" s="227">
        <f>SQRT((ABS(AC50)-171.5+'Small Signal'!C$59)^2)</f>
        <v>99.7313524088365</v>
      </c>
      <c r="O50" s="227">
        <f t="shared" si="12"/>
        <v>91.263899783732441</v>
      </c>
      <c r="P50" s="227">
        <f t="shared" si="13"/>
        <v>42.0847239665638</v>
      </c>
      <c r="Q50" s="227">
        <f t="shared" si="14"/>
        <v>28.08701823593649</v>
      </c>
      <c r="R50" s="227" t="str">
        <f t="shared" si="2"/>
        <v>0.0945666666666667+0.00082943691942185i</v>
      </c>
      <c r="S50" s="227" t="str">
        <f t="shared" si="3"/>
        <v>0.0085-217.014694891406i</v>
      </c>
      <c r="T50" s="227" t="str">
        <f t="shared" si="24"/>
        <v>13.0434156610245-0.786811994665616i</v>
      </c>
      <c r="U50" s="227" t="str">
        <f t="shared" si="4"/>
        <v>79.3988390725887-0.774475682088012i</v>
      </c>
      <c r="V50" s="227">
        <f t="shared" si="16"/>
        <v>37.996696240093826</v>
      </c>
      <c r="W50" s="227">
        <f t="shared" si="17"/>
        <v>-0.55885931313626136</v>
      </c>
      <c r="X50" s="227" t="str">
        <f t="shared" si="5"/>
        <v>0.999999994390183-0.0000220562336380459i</v>
      </c>
      <c r="Y50" s="227" t="str">
        <f t="shared" si="6"/>
        <v>61.3910059496267+1.3383578811079i</v>
      </c>
      <c r="Z50" s="227" t="str">
        <f t="shared" si="7"/>
        <v>31.9697737942679+0.696253281545847i</v>
      </c>
      <c r="AA50" s="227" t="str">
        <f t="shared" si="8"/>
        <v>18.7992682189571-0.580493809451933i</v>
      </c>
      <c r="AB50" s="227">
        <f t="shared" si="18"/>
        <v>25.486957838999658</v>
      </c>
      <c r="AC50" s="227">
        <f t="shared" si="19"/>
        <v>-1.768647591163504</v>
      </c>
      <c r="AD50" s="229">
        <f t="shared" si="20"/>
        <v>16.597766127564142</v>
      </c>
      <c r="AE50" s="229">
        <f t="shared" si="21"/>
        <v>93.032547374895941</v>
      </c>
      <c r="AF50" s="227">
        <f t="shared" si="9"/>
        <v>42.0847239665638</v>
      </c>
      <c r="AG50" s="227">
        <f t="shared" si="10"/>
        <v>91.263899783732441</v>
      </c>
      <c r="AH50" s="229" t="str">
        <f t="shared" si="22"/>
        <v>0.357577743614016-6.74962606403961i</v>
      </c>
    </row>
    <row r="51" spans="1:34" x14ac:dyDescent="0.2">
      <c r="A51" s="227"/>
      <c r="B51" s="235" t="s">
        <v>178</v>
      </c>
      <c r="C51" s="227">
        <f>D53</f>
        <v>64900</v>
      </c>
      <c r="D51" s="227"/>
      <c r="E51" s="227"/>
      <c r="F51" s="235"/>
      <c r="I51" s="227">
        <v>47</v>
      </c>
      <c r="J51" s="227">
        <f t="shared" si="0"/>
        <v>1.4582557587588199</v>
      </c>
      <c r="K51" s="227">
        <f t="shared" si="23"/>
        <v>28.724717007173975</v>
      </c>
      <c r="L51" s="227">
        <f t="shared" si="11"/>
        <v>180.4827198523671</v>
      </c>
      <c r="M51" s="227">
        <f t="shared" si="1"/>
        <v>5790.7839235116735</v>
      </c>
      <c r="N51" s="227">
        <f>SQRT((ABS(AC51)-171.5+'Small Signal'!C$59)^2)</f>
        <v>99.691219278732945</v>
      </c>
      <c r="O51" s="227">
        <f t="shared" si="12"/>
        <v>91.261539018031243</v>
      </c>
      <c r="P51" s="227">
        <f t="shared" si="13"/>
        <v>41.889917532696352</v>
      </c>
      <c r="Q51" s="227">
        <f t="shared" si="14"/>
        <v>28.724717007173975</v>
      </c>
      <c r="R51" s="227" t="str">
        <f t="shared" si="2"/>
        <v>0.0945666666666667+0.000848268783306125i</v>
      </c>
      <c r="S51" s="227" t="str">
        <f t="shared" si="3"/>
        <v>0.0085-212.196892709467i</v>
      </c>
      <c r="T51" s="227" t="str">
        <f t="shared" si="24"/>
        <v>13.0412428397851-0.804541952076117i</v>
      </c>
      <c r="U51" s="227" t="str">
        <f t="shared" si="4"/>
        <v>79.3987741362952-0.792061455616348i</v>
      </c>
      <c r="V51" s="227">
        <f t="shared" si="16"/>
        <v>37.996708113539121</v>
      </c>
      <c r="W51" s="227">
        <f t="shared" si="17"/>
        <v>-0.57154878914061991</v>
      </c>
      <c r="X51" s="227" t="str">
        <f t="shared" si="5"/>
        <v>0.999999994132556-0.0000225570070904273i</v>
      </c>
      <c r="Y51" s="227" t="str">
        <f t="shared" si="6"/>
        <v>61.3917023827531+1.36874253324044i</v>
      </c>
      <c r="Z51" s="227" t="str">
        <f t="shared" si="7"/>
        <v>31.9701371639677+0.712060265224666i</v>
      </c>
      <c r="AA51" s="227" t="str">
        <f t="shared" si="8"/>
        <v>18.7984832020396-0.593649907937515i</v>
      </c>
      <c r="AB51" s="227">
        <f t="shared" si="18"/>
        <v>25.486785127643088</v>
      </c>
      <c r="AC51" s="227">
        <f t="shared" si="19"/>
        <v>-1.8087807212670519</v>
      </c>
      <c r="AD51" s="229">
        <f t="shared" si="20"/>
        <v>16.403132405053263</v>
      </c>
      <c r="AE51" s="229">
        <f t="shared" si="21"/>
        <v>93.070319739298299</v>
      </c>
      <c r="AF51" s="227">
        <f t="shared" si="9"/>
        <v>41.889917532696352</v>
      </c>
      <c r="AG51" s="227">
        <f t="shared" si="10"/>
        <v>91.261539018031243</v>
      </c>
      <c r="AH51" s="229" t="str">
        <f t="shared" si="22"/>
        <v>0.354005264263662-6.59983023434189i</v>
      </c>
    </row>
    <row r="52" spans="1:34" x14ac:dyDescent="0.2">
      <c r="A52" s="227"/>
      <c r="B52" s="235" t="s">
        <v>179</v>
      </c>
      <c r="C52" s="229">
        <f>1/(2*PI()*Rshss*3*'Small Signal'!C60)</f>
        <v>3.6805204746602672E-11</v>
      </c>
      <c r="D52" s="237">
        <f>IF(C52*10^12&lt;10000,IF((10^(LOG(C52*10^12)-INT(LOG(C52*10^12))))-VLOOKUP((10^(LOG(C52*10^12)-INT(LOG(C52*10^12)))),c_s1:C_f1,1)&lt;VLOOKUP((10^(LOG(C52*10^12)-INT(LOG(C52*10^12)))),c_s1:C_f1,2)-(10^(LOG(C52*10^12)-INT(LOG(C52*10^12)))),VLOOKUP((10^(LOG(C52*10^12)-INT(LOG(C52*10^12)))),c_s1:C_f1,1),VLOOKUP((10^(LOG(C52*10^12)-INT(LOG(C52*10^12)))),c_s1:C_f1,2))*10^INT(LOG(C52*10^12)),IF((10^(LOG(C52*10^12)-INT(LOG(C52*10^12))))-VLOOKUP((10^(LOG(C52*10^12)-INT(LOG(C52*10^12)))),C_s2:C_f2,1)&lt;VLOOKUP((10^(LOG(C52*10^12)-INT(LOG(C52*10^12)))),C_s2:C_f2,2)-(10^(LOG(C52*10^12)-INT(LOG(C52*10^12)))),VLOOKUP((10^(LOG(C52*10^12)-INT(LOG(C52*10^12)))),C_s2:C_f2,1),VLOOKUP((10^(LOG(C52*10^12)-INT(LOG(C52*10^12)))),C_s2:C_f2,2))*10^INT(LOG(C52*10^12)))*10^-12</f>
        <v>3.9000000000000001E-11</v>
      </c>
      <c r="E52" s="227"/>
      <c r="F52" s="235"/>
      <c r="I52" s="227">
        <v>48</v>
      </c>
      <c r="J52" s="227">
        <f t="shared" si="0"/>
        <v>1.4680058812856032</v>
      </c>
      <c r="K52" s="227">
        <f t="shared" si="23"/>
        <v>29.376894343541498</v>
      </c>
      <c r="L52" s="227">
        <f t="shared" si="11"/>
        <v>184.58047090990704</v>
      </c>
      <c r="M52" s="227">
        <f t="shared" si="1"/>
        <v>5790.1169388831067</v>
      </c>
      <c r="N52" s="227">
        <f>SQRT((ABS(AC52)-171.5+'Small Signal'!C$59)^2)</f>
        <v>99.650176547533505</v>
      </c>
      <c r="O52" s="227">
        <f t="shared" si="12"/>
        <v>91.259810281911172</v>
      </c>
      <c r="P52" s="227">
        <f t="shared" si="13"/>
        <v>41.695117590044958</v>
      </c>
      <c r="Q52" s="227">
        <f t="shared" si="14"/>
        <v>29.376894343541498</v>
      </c>
      <c r="R52" s="227" t="str">
        <f t="shared" si="2"/>
        <v>0.0945666666666667+0.000867528213276563i</v>
      </c>
      <c r="S52" s="227" t="str">
        <f t="shared" si="3"/>
        <v>0.0085-207.486047422203i</v>
      </c>
      <c r="T52" s="227" t="str">
        <f t="shared" si="24"/>
        <v>13.0389710082076-0.822665161124838i</v>
      </c>
      <c r="U52" s="227" t="str">
        <f t="shared" si="4"/>
        <v>79.3987062160121-0.810046626907752i</v>
      </c>
      <c r="V52" s="227">
        <f t="shared" si="16"/>
        <v>37.996720532215996</v>
      </c>
      <c r="W52" s="227">
        <f t="shared" si="17"/>
        <v>-0.58452643564646045</v>
      </c>
      <c r="X52" s="227" t="str">
        <f t="shared" si="5"/>
        <v>0.999999993863097-0.0000230691503013416i</v>
      </c>
      <c r="Y52" s="227" t="str">
        <f t="shared" si="6"/>
        <v>61.3924308018738+1.39981691431903i</v>
      </c>
      <c r="Z52" s="227" t="str">
        <f t="shared" si="7"/>
        <v>31.9705172226174+0.728226065395956i</v>
      </c>
      <c r="AA52" s="227" t="str">
        <f t="shared" si="8"/>
        <v>18.7976622007374-0.607103061147548i</v>
      </c>
      <c r="AB52" s="227">
        <f t="shared" si="18"/>
        <v>25.486604492023819</v>
      </c>
      <c r="AC52" s="227">
        <f t="shared" si="19"/>
        <v>-1.8498234524664994</v>
      </c>
      <c r="AD52" s="229">
        <f t="shared" si="20"/>
        <v>16.208513098021143</v>
      </c>
      <c r="AE52" s="229">
        <f t="shared" si="21"/>
        <v>93.109633734377667</v>
      </c>
      <c r="AF52" s="227">
        <f t="shared" si="9"/>
        <v>41.695117590044958</v>
      </c>
      <c r="AG52" s="227">
        <f t="shared" si="10"/>
        <v>91.259810281911172</v>
      </c>
      <c r="AH52" s="229" t="str">
        <f t="shared" si="22"/>
        <v>0.350589601867889-6.45335732076415i</v>
      </c>
    </row>
    <row r="53" spans="1:34" x14ac:dyDescent="0.2">
      <c r="A53" s="227"/>
      <c r="B53" s="235" t="s">
        <v>180</v>
      </c>
      <c r="C53" s="229">
        <f>1/(2*PI()*'Small Signal'!C60*9*Cffss)</f>
        <v>64487.751906440601</v>
      </c>
      <c r="D53" s="238">
        <f>(IF((10^(LOG(C53)-INT(LOG(C53)))*100)-VLOOKUP((10^(LOG(C53)-INT(LOG(C53)))*100),E96_s:E96_f,1)&lt;VLOOKUP((10^(LOG(C53)-INT(LOG(C53)))*100),E96_s:E96_f,2)-(10^(LOG(C53)-INT(LOG(C53)))*100),VLOOKUP((10^(LOG(C53)-INT(LOG(C53)))*100),E96_s:E96_f,1),VLOOKUP((10^(LOG(C53)-INT(LOG(C53)))*100),E96_s:E96_f,2)))*10^INT(LOG(C53))/100</f>
        <v>64900</v>
      </c>
      <c r="E53" s="227"/>
      <c r="F53" s="235"/>
      <c r="I53" s="227">
        <v>49</v>
      </c>
      <c r="J53" s="227">
        <f t="shared" si="0"/>
        <v>1.4777560038123867</v>
      </c>
      <c r="K53" s="227">
        <f t="shared" si="23"/>
        <v>30.04387897210847</v>
      </c>
      <c r="L53" s="227">
        <f t="shared" si="11"/>
        <v>188.77125892823366</v>
      </c>
      <c r="M53" s="227">
        <f t="shared" si="1"/>
        <v>5789.4348107717215</v>
      </c>
      <c r="N53" s="227">
        <f>SQRT((ABS(AC53)-171.5+'Small Signal'!C$59)^2)</f>
        <v>99.608203674443075</v>
      </c>
      <c r="O53" s="227">
        <f t="shared" si="12"/>
        <v>91.258712453989048</v>
      </c>
      <c r="P53" s="227">
        <f t="shared" si="13"/>
        <v>41.500324544003263</v>
      </c>
      <c r="Q53" s="227">
        <f t="shared" si="14"/>
        <v>30.04387897210847</v>
      </c>
      <c r="R53" s="227" t="str">
        <f t="shared" si="2"/>
        <v>0.0945666666666667+0.000887224916962698i</v>
      </c>
      <c r="S53" s="227" t="str">
        <f t="shared" si="3"/>
        <v>0.0085-202.879784549117i</v>
      </c>
      <c r="T53" s="227" t="str">
        <f t="shared" si="24"/>
        <v>13.0365956916792-0.84118990844797i</v>
      </c>
      <c r="U53" s="227" t="str">
        <f t="shared" si="4"/>
        <v>79.3986351745281-0.82844027264422i</v>
      </c>
      <c r="V53" s="227">
        <f t="shared" si="16"/>
        <v>37.996733521159193</v>
      </c>
      <c r="W53" s="227">
        <f t="shared" si="17"/>
        <v>-0.597798799823406</v>
      </c>
      <c r="X53" s="227" t="str">
        <f t="shared" si="5"/>
        <v>0.999999993581265-0.0000235929214142836i</v>
      </c>
      <c r="Y53" s="227" t="str">
        <f t="shared" si="6"/>
        <v>61.3931926761873+1.43159667472785i</v>
      </c>
      <c r="Z53" s="227" t="str">
        <f t="shared" si="7"/>
        <v>31.9709147367826+0.744758823786294i</v>
      </c>
      <c r="AA53" s="227" t="str">
        <f t="shared" si="8"/>
        <v>18.7968035687742-0.620859899058237i</v>
      </c>
      <c r="AB53" s="227">
        <f t="shared" si="18"/>
        <v>25.486415568918321</v>
      </c>
      <c r="AC53" s="227">
        <f t="shared" si="19"/>
        <v>-1.891796325556915</v>
      </c>
      <c r="AD53" s="229">
        <f t="shared" si="20"/>
        <v>16.013908975084941</v>
      </c>
      <c r="AE53" s="229">
        <f t="shared" si="21"/>
        <v>93.150508779545959</v>
      </c>
      <c r="AF53" s="227">
        <f t="shared" si="9"/>
        <v>41.500324544003263</v>
      </c>
      <c r="AG53" s="227">
        <f t="shared" si="10"/>
        <v>91.258712453989048</v>
      </c>
      <c r="AH53" s="229" t="str">
        <f t="shared" si="22"/>
        <v>0.347323874580719-6.31013373514096i</v>
      </c>
    </row>
    <row r="54" spans="1:34" x14ac:dyDescent="0.2">
      <c r="A54" s="227"/>
      <c r="B54" s="235" t="s">
        <v>141</v>
      </c>
      <c r="C54" s="229">
        <v>9.9999999999999998E-13</v>
      </c>
      <c r="D54" s="227"/>
      <c r="E54" s="227"/>
      <c r="F54" s="235"/>
      <c r="I54" s="227">
        <v>50</v>
      </c>
      <c r="J54" s="227">
        <f t="shared" si="0"/>
        <v>1.48750612633917</v>
      </c>
      <c r="K54" s="227">
        <f t="shared" si="23"/>
        <v>30.726007083493656</v>
      </c>
      <c r="L54" s="227">
        <f t="shared" si="11"/>
        <v>193.05719625530324</v>
      </c>
      <c r="M54" s="227">
        <f t="shared" si="1"/>
        <v>5788.7371953538941</v>
      </c>
      <c r="N54" s="227">
        <f>SQRT((ABS(AC54)-171.5+'Small Signal'!C$59)^2)</f>
        <v>99.565279660027215</v>
      </c>
      <c r="O54" s="227">
        <f t="shared" si="12"/>
        <v>91.258244712450207</v>
      </c>
      <c r="P54" s="227">
        <f t="shared" si="13"/>
        <v>41.305538813599689</v>
      </c>
      <c r="Q54" s="227">
        <f t="shared" si="14"/>
        <v>30.726007083493656</v>
      </c>
      <c r="R54" s="227" t="str">
        <f t="shared" si="2"/>
        <v>0.0945666666666667+0.000907368822399925i</v>
      </c>
      <c r="S54" s="227" t="str">
        <f t="shared" si="3"/>
        <v>0.0085-198.375782324009i</v>
      </c>
      <c r="T54" s="227" t="str">
        <f t="shared" si="24"/>
        <v>13.0341122168289-0.860124624784575i</v>
      </c>
      <c r="U54" s="227" t="str">
        <f t="shared" si="4"/>
        <v>79.3985608683168-0.847251676187327i</v>
      </c>
      <c r="V54" s="227">
        <f t="shared" si="16"/>
        <v>37.996747106553023</v>
      </c>
      <c r="W54" s="227">
        <f t="shared" si="17"/>
        <v>-0.61137257779949461</v>
      </c>
      <c r="X54" s="227" t="str">
        <f t="shared" si="5"/>
        <v>0.999999993286489-0.0000241285844337401i</v>
      </c>
      <c r="Y54" s="227" t="str">
        <f t="shared" si="6"/>
        <v>61.3939895423867+1.46409781952155i</v>
      </c>
      <c r="Z54" s="227" t="str">
        <f t="shared" si="7"/>
        <v>31.9713305082449+0.761666866627642i</v>
      </c>
      <c r="AA54" s="227" t="str">
        <f t="shared" si="8"/>
        <v>18.79590558486-0.634927194229084i</v>
      </c>
      <c r="AB54" s="227">
        <f t="shared" si="18"/>
        <v>25.486217978487975</v>
      </c>
      <c r="AC54" s="227">
        <f t="shared" si="19"/>
        <v>-1.9347203399727968</v>
      </c>
      <c r="AD54" s="229">
        <f t="shared" si="20"/>
        <v>15.819320835111712</v>
      </c>
      <c r="AE54" s="229">
        <f t="shared" si="21"/>
        <v>93.192965052423006</v>
      </c>
      <c r="AF54" s="227">
        <f t="shared" si="9"/>
        <v>41.305538813599689</v>
      </c>
      <c r="AG54" s="227">
        <f t="shared" si="10"/>
        <v>91.258244712450207</v>
      </c>
      <c r="AH54" s="229" t="str">
        <f t="shared" si="22"/>
        <v>0.344201502408243-6.17008751143536i</v>
      </c>
    </row>
    <row r="55" spans="1:34" x14ac:dyDescent="0.2">
      <c r="A55" s="227"/>
      <c r="B55" s="235" t="s">
        <v>142</v>
      </c>
      <c r="C55" s="239">
        <v>1000000</v>
      </c>
      <c r="D55" s="227"/>
      <c r="E55" s="227"/>
      <c r="F55" s="235"/>
      <c r="I55" s="227">
        <v>51</v>
      </c>
      <c r="J55" s="227">
        <f t="shared" si="0"/>
        <v>1.4972562488659533</v>
      </c>
      <c r="K55" s="227">
        <f t="shared" si="23"/>
        <v>31.423622501320672</v>
      </c>
      <c r="L55" s="227">
        <f t="shared" si="11"/>
        <v>197.44044319865588</v>
      </c>
      <c r="M55" s="227">
        <f t="shared" si="1"/>
        <v>5788.0237409996944</v>
      </c>
      <c r="N55" s="227">
        <f>SQRT((ABS(AC55)-171.5+'Small Signal'!C$59)^2)</f>
        <v>99.52138303633518</v>
      </c>
      <c r="O55" s="227">
        <f t="shared" si="12"/>
        <v>91.258406533432591</v>
      </c>
      <c r="P55" s="227">
        <f t="shared" si="13"/>
        <v>41.110760832315457</v>
      </c>
      <c r="Q55" s="227">
        <f t="shared" si="14"/>
        <v>31.423622501320672</v>
      </c>
      <c r="R55" s="227" t="str">
        <f t="shared" si="2"/>
        <v>0.0945666666666667+0.000927970083033683i</v>
      </c>
      <c r="S55" s="227" t="str">
        <f t="shared" si="3"/>
        <v>0.0085-193.971770524704i</v>
      </c>
      <c r="T55" s="227" t="str">
        <f t="shared" si="24"/>
        <v>13.0315157030245-0.879477885260241i</v>
      </c>
      <c r="U55" s="227" t="str">
        <f t="shared" si="4"/>
        <v>79.3984831472412-0.866490332312335i</v>
      </c>
      <c r="V55" s="227">
        <f t="shared" si="16"/>
        <v>37.996761315783644</v>
      </c>
      <c r="W55" s="227">
        <f t="shared" si="17"/>
        <v>-0.62525461806463511</v>
      </c>
      <c r="X55" s="227" t="str">
        <f t="shared" si="5"/>
        <v>0.999999992978176-0.0000246764093582601i</v>
      </c>
      <c r="Y55" s="227" t="str">
        <f t="shared" si="6"/>
        <v>61.3948230077658+1.49733671643165i</v>
      </c>
      <c r="Z55" s="227" t="str">
        <f t="shared" si="7"/>
        <v>31.9717653756219+0.778958708822191i</v>
      </c>
      <c r="AA55" s="227" t="str">
        <f t="shared" si="8"/>
        <v>18.7949664492987-0.649311864489867i</v>
      </c>
      <c r="AB55" s="227">
        <f t="shared" si="18"/>
        <v>25.486011323520938</v>
      </c>
      <c r="AC55" s="227">
        <f t="shared" si="19"/>
        <v>-1.9786169636648219</v>
      </c>
      <c r="AD55" s="229">
        <f t="shared" si="20"/>
        <v>15.624749508794519</v>
      </c>
      <c r="AE55" s="229">
        <f t="shared" si="21"/>
        <v>93.237023497097411</v>
      </c>
      <c r="AF55" s="227">
        <f t="shared" si="9"/>
        <v>41.110760832315457</v>
      </c>
      <c r="AG55" s="227">
        <f t="shared" si="10"/>
        <v>91.258406533432591</v>
      </c>
      <c r="AH55" s="229" t="str">
        <f t="shared" si="22"/>
        <v>0.341216193981922-6.03314827048532i</v>
      </c>
    </row>
    <row r="56" spans="1:34" x14ac:dyDescent="0.2">
      <c r="A56" s="227"/>
      <c r="B56" s="235" t="s">
        <v>146</v>
      </c>
      <c r="C56" s="227">
        <v>1</v>
      </c>
      <c r="D56" s="227"/>
      <c r="E56" s="227"/>
      <c r="F56" s="235"/>
      <c r="I56" s="227">
        <v>52</v>
      </c>
      <c r="J56" s="227">
        <f t="shared" si="0"/>
        <v>1.5070063713927369</v>
      </c>
      <c r="K56" s="227">
        <f t="shared" si="23"/>
        <v>32.13707685552064</v>
      </c>
      <c r="L56" s="227">
        <f t="shared" si="11"/>
        <v>201.92320911430843</v>
      </c>
      <c r="M56" s="227">
        <f t="shared" si="1"/>
        <v>5787.2940880956457</v>
      </c>
      <c r="N56" s="227">
        <f>SQRT((ABS(AC56)-171.5+'Small Signal'!C$59)^2)</f>
        <v>99.476491856836219</v>
      </c>
      <c r="O56" s="227">
        <f t="shared" si="12"/>
        <v>91.259197689473368</v>
      </c>
      <c r="P56" s="227">
        <f t="shared" si="13"/>
        <v>40.915991048931325</v>
      </c>
      <c r="Q56" s="227">
        <f t="shared" si="14"/>
        <v>32.13707685552064</v>
      </c>
      <c r="R56" s="227" t="str">
        <f t="shared" si="2"/>
        <v>0.0945666666666667+0.00094903908283725i</v>
      </c>
      <c r="S56" s="227" t="str">
        <f t="shared" si="3"/>
        <v>0.0085-189.665529328752i</v>
      </c>
      <c r="T56" s="227" t="str">
        <f t="shared" si="24"/>
        <v>13.0288010535347-0.899258409478362i</v>
      </c>
      <c r="U56" s="227" t="str">
        <f t="shared" si="4"/>
        <v>79.3984018542488-0.886165952052859i</v>
      </c>
      <c r="V56" s="227">
        <f t="shared" si="16"/>
        <v>37.996776177494283</v>
      </c>
      <c r="W56" s="227">
        <f t="shared" si="17"/>
        <v>-0.63945192495292336</v>
      </c>
      <c r="X56" s="227" t="str">
        <f t="shared" si="5"/>
        <v>0.999999992655703-0.0000252366723165467i</v>
      </c>
      <c r="Y56" s="227" t="str">
        <f t="shared" si="6"/>
        <v>61.3956947534588+1.53133010405151i</v>
      </c>
      <c r="Z56" s="227" t="str">
        <f t="shared" si="7"/>
        <v>31.9722202160584+0.796643058200069i</v>
      </c>
      <c r="AA56" s="227" t="str">
        <f t="shared" si="8"/>
        <v>18.7939842804495-0.664020975650871i</v>
      </c>
      <c r="AB56" s="227">
        <f t="shared" si="18"/>
        <v>25.485795188641823</v>
      </c>
      <c r="AC56" s="227">
        <f t="shared" si="19"/>
        <v>-2.0235081431637951</v>
      </c>
      <c r="AD56" s="229">
        <f t="shared" si="20"/>
        <v>15.430195860289501</v>
      </c>
      <c r="AE56" s="229">
        <f t="shared" si="21"/>
        <v>93.282705832637163</v>
      </c>
      <c r="AF56" s="227">
        <f t="shared" si="9"/>
        <v>40.915991048931325</v>
      </c>
      <c r="AG56" s="227">
        <f t="shared" si="10"/>
        <v>91.259197689473368</v>
      </c>
      <c r="AH56" s="229" t="str">
        <f t="shared" si="22"/>
        <v>0.338361933910306-5.89924718548368i</v>
      </c>
    </row>
    <row r="57" spans="1:34" x14ac:dyDescent="0.2">
      <c r="A57" s="227"/>
      <c r="B57" s="235" t="s">
        <v>147</v>
      </c>
      <c r="C57" s="227">
        <v>20</v>
      </c>
      <c r="D57" s="227"/>
      <c r="E57" s="227"/>
      <c r="F57" s="235"/>
      <c r="I57" s="227">
        <v>53</v>
      </c>
      <c r="J57" s="227">
        <f t="shared" si="0"/>
        <v>1.5167564939195202</v>
      </c>
      <c r="K57" s="227">
        <f t="shared" si="23"/>
        <v>32.866729759569694</v>
      </c>
      <c r="L57" s="227">
        <f t="shared" si="11"/>
        <v>206.50775352037036</v>
      </c>
      <c r="M57" s="227">
        <f t="shared" si="1"/>
        <v>5786.5478688634648</v>
      </c>
      <c r="N57" s="227">
        <f>SQRT((ABS(AC57)-171.5+'Small Signal'!C$59)^2)</f>
        <v>99.430583686166614</v>
      </c>
      <c r="O57" s="227">
        <f t="shared" si="12"/>
        <v>91.26061824801242</v>
      </c>
      <c r="P57" s="227">
        <f t="shared" si="13"/>
        <v>40.721229928400994</v>
      </c>
      <c r="Q57" s="227">
        <f t="shared" si="14"/>
        <v>32.866729759569694</v>
      </c>
      <c r="R57" s="227" t="str">
        <f t="shared" si="2"/>
        <v>0.0945666666666667+0.000970586441545741i</v>
      </c>
      <c r="S57" s="227" t="str">
        <f t="shared" si="3"/>
        <v>0.0085-185.454888194538i</v>
      </c>
      <c r="T57" s="227" t="str">
        <f t="shared" si="24"/>
        <v>13.0259629463483-0.919475061401964i</v>
      </c>
      <c r="U57" s="227" t="str">
        <f t="shared" si="4"/>
        <v>79.398316825056-0.906288467658772i</v>
      </c>
      <c r="V57" s="227">
        <f t="shared" si="16"/>
        <v>37.996791721643326</v>
      </c>
      <c r="W57" s="227">
        <f t="shared" si="17"/>
        <v>-0.65397166220569725</v>
      </c>
      <c r="X57" s="227" t="str">
        <f t="shared" si="5"/>
        <v>0.999999992318422-0.0000258096557066381i</v>
      </c>
      <c r="Y57" s="227" t="str">
        <f t="shared" si="6"/>
        <v>61.3966065378407+1.56609510020362i</v>
      </c>
      <c r="Z57" s="227" t="str">
        <f t="shared" si="7"/>
        <v>31.9726959469997+0.814728819871883i</v>
      </c>
      <c r="AA57" s="227" t="str">
        <f t="shared" si="8"/>
        <v>18.7929571110282-0.67906174423402i</v>
      </c>
      <c r="AB57" s="227">
        <f t="shared" si="18"/>
        <v>25.48556913948417</v>
      </c>
      <c r="AC57" s="227">
        <f t="shared" si="19"/>
        <v>-2.0694163138333801</v>
      </c>
      <c r="AD57" s="229">
        <f t="shared" si="20"/>
        <v>15.235660788916825</v>
      </c>
      <c r="AE57" s="229">
        <f t="shared" si="21"/>
        <v>93.330034561845807</v>
      </c>
      <c r="AF57" s="227">
        <f t="shared" si="9"/>
        <v>40.721229928400994</v>
      </c>
      <c r="AG57" s="227">
        <f t="shared" si="10"/>
        <v>91.26061824801242</v>
      </c>
      <c r="AH57" s="229" t="str">
        <f t="shared" si="22"/>
        <v>0.335632970684-5.76831694817839i</v>
      </c>
    </row>
    <row r="58" spans="1:34" x14ac:dyDescent="0.2">
      <c r="A58" s="227"/>
      <c r="B58" s="235" t="s">
        <v>181</v>
      </c>
      <c r="C58" s="227">
        <f>10^(80/20)</f>
        <v>10000</v>
      </c>
      <c r="D58" s="227"/>
      <c r="E58" s="227"/>
      <c r="F58" s="235"/>
      <c r="I58" s="227">
        <v>54</v>
      </c>
      <c r="J58" s="227">
        <f t="shared" si="0"/>
        <v>1.5265066164463037</v>
      </c>
      <c r="K58" s="227">
        <f t="shared" si="23"/>
        <v>33.612948991750621</v>
      </c>
      <c r="L58" s="227">
        <f t="shared" si="11"/>
        <v>211.1963872359444</v>
      </c>
      <c r="M58" s="227">
        <f t="shared" si="1"/>
        <v>5785.7847071746855</v>
      </c>
      <c r="N58" s="227">
        <f>SQRT((ABS(AC58)-171.5+'Small Signal'!C$59)^2)</f>
        <v>99.383635589686946</v>
      </c>
      <c r="O58" s="227">
        <f t="shared" si="12"/>
        <v>91.262668569945689</v>
      </c>
      <c r="P58" s="227">
        <f t="shared" si="13"/>
        <v>40.526477952755698</v>
      </c>
      <c r="Q58" s="227">
        <f t="shared" si="14"/>
        <v>33.612948991750621</v>
      </c>
      <c r="R58" s="227" t="str">
        <f t="shared" si="2"/>
        <v>0.0945666666666667+0.000992623020008939i</v>
      </c>
      <c r="S58" s="227" t="str">
        <f t="shared" si="3"/>
        <v>0.0085-181.337724767233i</v>
      </c>
      <c r="T58" s="227" t="str">
        <f t="shared" si="24"/>
        <v>13.0229958246409-0.940136849007739i</v>
      </c>
      <c r="U58" s="227" t="str">
        <f t="shared" si="4"/>
        <v>79.3982278878089-0.926868037669607i</v>
      </c>
      <c r="V58" s="227">
        <f t="shared" si="16"/>
        <v>37.996807979564089</v>
      </c>
      <c r="W58" s="227">
        <f t="shared" si="17"/>
        <v>-0.66882115661698982</v>
      </c>
      <c r="X58" s="227" t="str">
        <f t="shared" si="5"/>
        <v>0.999999991965651-0.0000263956483382492i</v>
      </c>
      <c r="Y58" s="227" t="str">
        <f t="shared" si="6"/>
        <v>61.3975602000708+1.60164921049324i</v>
      </c>
      <c r="Z58" s="227" t="str">
        <f t="shared" si="7"/>
        <v>31.9731935280413+0.833225100678166i</v>
      </c>
      <c r="AA58" s="227" t="str">
        <f t="shared" si="8"/>
        <v>18.7918828842474-0.694441540222775i</v>
      </c>
      <c r="AB58" s="227">
        <f t="shared" si="18"/>
        <v>25.48533272182685</v>
      </c>
      <c r="AC58" s="227">
        <f t="shared" si="19"/>
        <v>-2.1163644103130665</v>
      </c>
      <c r="AD58" s="229">
        <f t="shared" si="20"/>
        <v>15.041145230928844</v>
      </c>
      <c r="AE58" s="229">
        <f t="shared" si="21"/>
        <v>93.379032980258756</v>
      </c>
      <c r="AF58" s="227">
        <f t="shared" si="9"/>
        <v>40.526477952755698</v>
      </c>
      <c r="AG58" s="227">
        <f t="shared" si="10"/>
        <v>91.262668569945689</v>
      </c>
      <c r="AH58" s="229" t="str">
        <f t="shared" si="22"/>
        <v>0.333023805109759-5.64029173578025i</v>
      </c>
    </row>
    <row r="59" spans="1:34" x14ac:dyDescent="0.2">
      <c r="A59" s="227"/>
      <c r="B59" s="240" t="s">
        <v>168</v>
      </c>
      <c r="C59" s="241">
        <v>70</v>
      </c>
      <c r="D59" s="227"/>
      <c r="E59" s="227"/>
      <c r="F59" s="235"/>
      <c r="I59" s="227">
        <v>55</v>
      </c>
      <c r="J59" s="227">
        <f t="shared" si="0"/>
        <v>1.536256738973087</v>
      </c>
      <c r="K59" s="227">
        <f t="shared" si="23"/>
        <v>34.376110680529727</v>
      </c>
      <c r="L59" s="227">
        <f t="shared" si="11"/>
        <v>215.99147354588362</v>
      </c>
      <c r="M59" s="227">
        <f t="shared" si="1"/>
        <v>5785.0042183610722</v>
      </c>
      <c r="N59" s="227">
        <f>SQRT((ABS(AC59)-171.5+'Small Signal'!C$59)^2)</f>
        <v>99.335624122846838</v>
      </c>
      <c r="O59" s="227">
        <f t="shared" si="12"/>
        <v>91.265349308221005</v>
      </c>
      <c r="P59" s="227">
        <f t="shared" si="13"/>
        <v>40.33173562203902</v>
      </c>
      <c r="Q59" s="227">
        <f t="shared" si="14"/>
        <v>34.376110680529727</v>
      </c>
      <c r="R59" s="227" t="str">
        <f t="shared" si="2"/>
        <v>0.0945666666666667+0.00101515992566565i</v>
      </c>
      <c r="S59" s="227" t="str">
        <f t="shared" si="3"/>
        <v>0.0085-177.311963809024i</v>
      </c>
      <c r="T59" s="227" t="str">
        <f t="shared" si="24"/>
        <v>13.0198938868767-0.961252923692887i</v>
      </c>
      <c r="U59" s="227" t="str">
        <f t="shared" si="4"/>
        <v>79.3981348627381-0.947915052107141i</v>
      </c>
      <c r="V59" s="227">
        <f t="shared" si="16"/>
        <v>37.996824984028436</v>
      </c>
      <c r="W59" s="227">
        <f t="shared" si="17"/>
        <v>-0.68400790176382509</v>
      </c>
      <c r="X59" s="227" t="str">
        <f t="shared" si="5"/>
        <v>0.999999991596679-0.000026994945578345i</v>
      </c>
      <c r="Y59" s="227" t="str">
        <f t="shared" si="6"/>
        <v>61.398557663812+1.63801033705232i</v>
      </c>
      <c r="Z59" s="227" t="str">
        <f t="shared" si="7"/>
        <v>31.9737139628685+0.8521412137378i</v>
      </c>
      <c r="AA59" s="227" t="str">
        <f t="shared" si="8"/>
        <v>18.7907594497841-0.710167889828245i</v>
      </c>
      <c r="AB59" s="227">
        <f t="shared" si="18"/>
        <v>25.485085460690602</v>
      </c>
      <c r="AC59" s="227">
        <f t="shared" si="19"/>
        <v>-2.1643758771531743</v>
      </c>
      <c r="AD59" s="229">
        <f t="shared" si="20"/>
        <v>14.846650161348418</v>
      </c>
      <c r="AE59" s="229">
        <f t="shared" si="21"/>
        <v>93.429725185374181</v>
      </c>
      <c r="AF59" s="227">
        <f t="shared" si="9"/>
        <v>40.33173562203902</v>
      </c>
      <c r="AG59" s="227">
        <f t="shared" si="10"/>
        <v>91.265349308221005</v>
      </c>
      <c r="AH59" s="229" t="str">
        <f t="shared" si="22"/>
        <v>0.330529179250654-5.51510717856503i</v>
      </c>
    </row>
    <row r="60" spans="1:34" x14ac:dyDescent="0.2">
      <c r="A60" s="227"/>
      <c r="B60" s="240" t="s">
        <v>19</v>
      </c>
      <c r="C60" s="242">
        <f>VLOOKUP(MIN('Small Signal'!N4:N504),'Small Signal'!N4:'Small Signal'!Q504,4,FALSE)</f>
        <v>7031.3024240562863</v>
      </c>
      <c r="D60" s="227"/>
      <c r="E60" s="227"/>
      <c r="F60" s="235"/>
      <c r="I60" s="227">
        <v>56</v>
      </c>
      <c r="J60" s="227">
        <f t="shared" si="0"/>
        <v>1.5460068614998703</v>
      </c>
      <c r="K60" s="227">
        <f t="shared" si="23"/>
        <v>35.156599494142888</v>
      </c>
      <c r="L60" s="227">
        <f t="shared" si="11"/>
        <v>220.89542939199586</v>
      </c>
      <c r="M60" s="227">
        <f t="shared" si="1"/>
        <v>5784.2060090207297</v>
      </c>
      <c r="N60" s="227">
        <f>SQRT((ABS(AC60)-171.5+'Small Signal'!C$59)^2)</f>
        <v>99.286525320357498</v>
      </c>
      <c r="O60" s="227">
        <f t="shared" si="12"/>
        <v>91.268661406469064</v>
      </c>
      <c r="P60" s="227">
        <f t="shared" si="13"/>
        <v>40.137003455274943</v>
      </c>
      <c r="Q60" s="227">
        <f t="shared" si="14"/>
        <v>35.156599494142888</v>
      </c>
      <c r="R60" s="227" t="str">
        <f t="shared" si="2"/>
        <v>0.0945666666666667+0.00103820851814238i</v>
      </c>
      <c r="S60" s="227" t="str">
        <f t="shared" si="3"/>
        <v>0.0085-173.375576153108i</v>
      </c>
      <c r="T60" s="227" t="str">
        <f t="shared" si="24"/>
        <v>13.0166510765377-0.982832579413827i</v>
      </c>
      <c r="U60" s="227" t="str">
        <f t="shared" si="4"/>
        <v>79.3980375617887-0.969440137789355i</v>
      </c>
      <c r="V60" s="227">
        <f t="shared" si="16"/>
        <v>37.996842769312309</v>
      </c>
      <c r="W60" s="227">
        <f t="shared" si="17"/>
        <v>-0.69953956182300914</v>
      </c>
      <c r="X60" s="227" t="str">
        <f t="shared" si="5"/>
        <v>0.999999991210763-0.000027607849500019i</v>
      </c>
      <c r="Y60" s="227" t="str">
        <f t="shared" si="6"/>
        <v>61.3996009411106+1.6751967874775i</v>
      </c>
      <c r="Z60" s="227" t="str">
        <f t="shared" si="7"/>
        <v>31.9742583012818+0.871486683097369i</v>
      </c>
      <c r="AA60" s="227" t="str">
        <f t="shared" si="8"/>
        <v>18.7895845595703-0.726248478268612i</v>
      </c>
      <c r="AB60" s="227">
        <f t="shared" si="18"/>
        <v>25.484826859394207</v>
      </c>
      <c r="AC60" s="227">
        <f t="shared" si="19"/>
        <v>-2.2134746796425042</v>
      </c>
      <c r="AD60" s="229">
        <f t="shared" si="20"/>
        <v>14.652176595880738</v>
      </c>
      <c r="AE60" s="229">
        <f t="shared" si="21"/>
        <v>93.482136086111566</v>
      </c>
      <c r="AF60" s="227">
        <f t="shared" si="9"/>
        <v>40.137003455274943</v>
      </c>
      <c r="AG60" s="227">
        <f t="shared" si="10"/>
        <v>91.268661406469064</v>
      </c>
      <c r="AH60" s="229" t="str">
        <f t="shared" si="22"/>
        <v>0.328144065850208-5.39270032815722i</v>
      </c>
    </row>
    <row r="61" spans="1:34" x14ac:dyDescent="0.2">
      <c r="A61" s="227"/>
      <c r="B61" s="235"/>
      <c r="C61" s="227"/>
      <c r="D61" s="227"/>
      <c r="E61" s="227"/>
      <c r="F61" s="235"/>
      <c r="I61" s="227">
        <v>57</v>
      </c>
      <c r="J61" s="227">
        <f t="shared" si="0"/>
        <v>1.5557569840266536</v>
      </c>
      <c r="K61" s="227">
        <f t="shared" si="23"/>
        <v>35.954808834485682</v>
      </c>
      <c r="L61" s="227">
        <f t="shared" si="11"/>
        <v>225.91072659129122</v>
      </c>
      <c r="M61" s="227">
        <f t="shared" si="1"/>
        <v>5783.3896768198092</v>
      </c>
      <c r="N61" s="227">
        <f>SQRT((ABS(AC61)-171.5+'Small Signal'!C$59)^2)</f>
        <v>99.236314685169674</v>
      </c>
      <c r="O61" s="227">
        <f t="shared" si="12"/>
        <v>91.272606097661452</v>
      </c>
      <c r="P61" s="227">
        <f t="shared" si="13"/>
        <v>39.94228199147112</v>
      </c>
      <c r="Q61" s="227">
        <f t="shared" si="14"/>
        <v>35.954808834485682</v>
      </c>
      <c r="R61" s="227" t="str">
        <f t="shared" si="2"/>
        <v>0.0945666666666667+0.00106178041497907i</v>
      </c>
      <c r="S61" s="227" t="str">
        <f t="shared" si="3"/>
        <v>0.0085-169.526577680893i</v>
      </c>
      <c r="T61" s="227" t="str">
        <f t="shared" si="24"/>
        <v>13.0132610714696-1.00488525153487i</v>
      </c>
      <c r="U61" s="227" t="str">
        <f t="shared" si="4"/>
        <v>79.3979357882402-0.991454163769265i</v>
      </c>
      <c r="V61" s="227">
        <f t="shared" si="16"/>
        <v>37.996861371265098</v>
      </c>
      <c r="W61" s="227">
        <f t="shared" si="17"/>
        <v>-0.71542397547673042</v>
      </c>
      <c r="X61" s="227" t="str">
        <f t="shared" si="5"/>
        <v>0.999999990807123-0.0000282346690347514i</v>
      </c>
      <c r="Y61" s="227" t="str">
        <f t="shared" si="6"/>
        <v>61.4006921364618+1.71322728396689i</v>
      </c>
      <c r="Z61" s="227" t="str">
        <f t="shared" si="7"/>
        <v>31.9748276413169+0.891271248483883i</v>
      </c>
      <c r="AA61" s="227" t="str">
        <f t="shared" si="8"/>
        <v>18.7883558633992-0.742691152559032i</v>
      </c>
      <c r="AB61" s="227">
        <f t="shared" si="18"/>
        <v>25.484556398568692</v>
      </c>
      <c r="AC61" s="227">
        <f t="shared" si="19"/>
        <v>-2.2636853148303362</v>
      </c>
      <c r="AD61" s="229">
        <f t="shared" si="20"/>
        <v>14.457725592902424</v>
      </c>
      <c r="AE61" s="229">
        <f t="shared" si="21"/>
        <v>93.536291412491792</v>
      </c>
      <c r="AF61" s="227">
        <f t="shared" si="9"/>
        <v>39.94228199147112</v>
      </c>
      <c r="AG61" s="227">
        <f t="shared" si="10"/>
        <v>91.272606097661452</v>
      </c>
      <c r="AH61" s="229" t="str">
        <f t="shared" si="22"/>
        <v>0.325863658219445-5.27300962648293i</v>
      </c>
    </row>
    <row r="62" spans="1:34" x14ac:dyDescent="0.2">
      <c r="A62" s="227"/>
      <c r="B62" s="235"/>
      <c r="C62" s="227"/>
      <c r="D62" s="227"/>
      <c r="E62" s="227"/>
      <c r="F62" s="235"/>
      <c r="I62" s="227">
        <v>58</v>
      </c>
      <c r="J62" s="227">
        <f t="shared" si="0"/>
        <v>1.5655071065534372</v>
      </c>
      <c r="K62" s="227">
        <f t="shared" si="23"/>
        <v>36.771141035405968</v>
      </c>
      <c r="L62" s="227">
        <f t="shared" si="11"/>
        <v>231.03989308189114</v>
      </c>
      <c r="M62" s="227">
        <f t="shared" si="1"/>
        <v>5782.5548102897164</v>
      </c>
      <c r="N62" s="227">
        <f>SQRT((ABS(AC62)-171.5+'Small Signal'!C$59)^2)</f>
        <v>99.184967177256823</v>
      </c>
      <c r="O62" s="227">
        <f t="shared" si="12"/>
        <v>91.277184902787212</v>
      </c>
      <c r="P62" s="227">
        <f t="shared" si="13"/>
        <v>39.747571790657041</v>
      </c>
      <c r="Q62" s="227">
        <f t="shared" si="14"/>
        <v>36.771141035405968</v>
      </c>
      <c r="R62" s="227" t="str">
        <f t="shared" si="2"/>
        <v>0.0945666666666667+0.00108588749748489i</v>
      </c>
      <c r="S62" s="227" t="str">
        <f t="shared" si="3"/>
        <v>0.0085-165.763028321914i</v>
      </c>
      <c r="T62" s="227" t="str">
        <f t="shared" si="24"/>
        <v>13.0097172728338-1.02742051536306i</v>
      </c>
      <c r="U62" s="227" t="str">
        <f t="shared" si="4"/>
        <v>79.3978293363047-1.01396824690161i</v>
      </c>
      <c r="V62" s="227">
        <f t="shared" si="16"/>
        <v>37.99688082738168</v>
      </c>
      <c r="W62" s="227">
        <f t="shared" si="17"/>
        <v>-0.73166915990912917</v>
      </c>
      <c r="X62" s="227" t="str">
        <f t="shared" si="5"/>
        <v>0.999999990384947-0.0000288757201281253i</v>
      </c>
      <c r="Y62" s="227" t="str">
        <f t="shared" si="6"/>
        <v>61.4018334510594+1.75212097265913i</v>
      </c>
      <c r="Z62" s="227" t="str">
        <f t="shared" si="7"/>
        <v>31.9754231314632+0.911504870162718i</v>
      </c>
      <c r="AA62" s="227" t="str">
        <f t="shared" si="8"/>
        <v>18.7870709043364-0.759503924308393i</v>
      </c>
      <c r="AB62" s="227">
        <f t="shared" si="18"/>
        <v>25.484273535126274</v>
      </c>
      <c r="AC62" s="227">
        <f t="shared" si="19"/>
        <v>-2.3150328227431656</v>
      </c>
      <c r="AD62" s="229">
        <f t="shared" si="20"/>
        <v>14.263298255530765</v>
      </c>
      <c r="AE62" s="229">
        <f t="shared" si="21"/>
        <v>93.592217725530375</v>
      </c>
      <c r="AF62" s="227">
        <f t="shared" si="9"/>
        <v>39.747571790657041</v>
      </c>
      <c r="AG62" s="227">
        <f t="shared" si="10"/>
        <v>91.277184902787212</v>
      </c>
      <c r="AH62" s="229" t="str">
        <f t="shared" si="22"/>
        <v>0.323683360566603-5.15597487537895i</v>
      </c>
    </row>
    <row r="63" spans="1:34" x14ac:dyDescent="0.2">
      <c r="I63" s="227">
        <v>59</v>
      </c>
      <c r="J63" s="227">
        <f t="shared" si="0"/>
        <v>1.5752572290802207</v>
      </c>
      <c r="K63" s="227">
        <f t="shared" si="23"/>
        <v>37.606007565498388</v>
      </c>
      <c r="L63" s="227">
        <f t="shared" si="11"/>
        <v>236.28551419722382</v>
      </c>
      <c r="M63" s="227">
        <f t="shared" si="1"/>
        <v>5781.700988619712</v>
      </c>
      <c r="N63" s="227">
        <f>SQRT((ABS(AC63)-171.5+'Small Signal'!C$59)^2)</f>
        <v>99.132457202203057</v>
      </c>
      <c r="O63" s="227">
        <f t="shared" si="12"/>
        <v>91.282399629538688</v>
      </c>
      <c r="P63" s="227">
        <f t="shared" si="13"/>
        <v>39.552873434961612</v>
      </c>
      <c r="Q63" s="227">
        <f t="shared" si="14"/>
        <v>37.606007565498388</v>
      </c>
      <c r="R63" s="227" t="str">
        <f t="shared" si="2"/>
        <v>0.0945666666666667+0.00111054191672695i</v>
      </c>
      <c r="S63" s="227" t="str">
        <f t="shared" si="3"/>
        <v>0.0085-162.08303107595i</v>
      </c>
      <c r="T63" s="227" t="str">
        <f t="shared" si="24"/>
        <v>13.006012793658-1.05044808434431i</v>
      </c>
      <c r="U63" s="227" t="str">
        <f t="shared" si="4"/>
        <v>79.3977179907061-1.03699375754046i</v>
      </c>
      <c r="V63" s="227">
        <f t="shared" si="16"/>
        <v>37.996901176877792</v>
      </c>
      <c r="W63" s="227">
        <f t="shared" si="17"/>
        <v>-0.74828331489592392</v>
      </c>
      <c r="X63" s="227" t="str">
        <f t="shared" si="5"/>
        <v>0.999999989943383-0.0000295313258990769i</v>
      </c>
      <c r="Y63" s="227" t="str">
        <f t="shared" si="6"/>
        <v>61.4030271872398+1.79189743317941i</v>
      </c>
      <c r="Z63" s="227" t="str">
        <f t="shared" si="7"/>
        <v>31.9760459729815+0.932197733903169i</v>
      </c>
      <c r="AA63" s="227" t="str">
        <f t="shared" si="8"/>
        <v>18.7857271139322-0.776694972519465i</v>
      </c>
      <c r="AB63" s="227">
        <f t="shared" si="18"/>
        <v>25.483977701184017</v>
      </c>
      <c r="AC63" s="227">
        <f t="shared" si="19"/>
        <v>-2.3675427977969425</v>
      </c>
      <c r="AD63" s="229">
        <f t="shared" si="20"/>
        <v>14.068895733777591</v>
      </c>
      <c r="AE63" s="229">
        <f t="shared" si="21"/>
        <v>93.649942427335631</v>
      </c>
      <c r="AF63" s="227">
        <f t="shared" si="9"/>
        <v>39.552873434961612</v>
      </c>
      <c r="AG63" s="227">
        <f t="shared" si="10"/>
        <v>91.282399629538688</v>
      </c>
      <c r="AH63" s="229" t="str">
        <f t="shared" si="22"/>
        <v>0.321598778750214-5.04153720684607i</v>
      </c>
    </row>
    <row r="64" spans="1:34" x14ac:dyDescent="0.2">
      <c r="I64" s="227">
        <v>60</v>
      </c>
      <c r="J64" s="227">
        <f t="shared" si="0"/>
        <v>1.585007351607004</v>
      </c>
      <c r="K64" s="227">
        <f t="shared" si="23"/>
        <v>38.459829235503271</v>
      </c>
      <c r="L64" s="227">
        <f t="shared" si="11"/>
        <v>241.65023396915007</v>
      </c>
      <c r="M64" s="227">
        <f t="shared" si="1"/>
        <v>5780.8277814448002</v>
      </c>
      <c r="N64" s="227">
        <f>SQRT((ABS(AC64)-171.5+'Small Signal'!C$59)^2)</f>
        <v>99.07875859959475</v>
      </c>
      <c r="O64" s="227">
        <f t="shared" si="12"/>
        <v>91.288252370997455</v>
      </c>
      <c r="P64" s="227">
        <f t="shared" si="13"/>
        <v>39.358187529729186</v>
      </c>
      <c r="Q64" s="227">
        <f t="shared" si="14"/>
        <v>38.459829235503271</v>
      </c>
      <c r="R64" s="227" t="str">
        <f t="shared" si="2"/>
        <v>0.0945666666666667+0.00113575609965501i</v>
      </c>
      <c r="S64" s="227" t="str">
        <f t="shared" si="3"/>
        <v>0.0085-158.48473105685i</v>
      </c>
      <c r="T64" s="227" t="str">
        <f t="shared" si="24"/>
        <v>13.0021404469751-1.07397780789402i</v>
      </c>
      <c r="U64" s="227" t="str">
        <f t="shared" si="4"/>
        <v>79.3976015262422-1.06054232537123i</v>
      </c>
      <c r="V64" s="227">
        <f t="shared" si="16"/>
        <v>37.996922460769078</v>
      </c>
      <c r="W64" s="227">
        <f t="shared" si="17"/>
        <v>-0.76527482698948823</v>
      </c>
      <c r="X64" s="227" t="str">
        <f t="shared" si="5"/>
        <v>0.99999998948154-0.0000302018168027627i</v>
      </c>
      <c r="Y64" s="227" t="str">
        <f t="shared" si="6"/>
        <v>61.4042757531341+1.83257668839678i</v>
      </c>
      <c r="Z64" s="227" t="str">
        <f t="shared" si="7"/>
        <v>31.9766974223318+0.953360256053889i</v>
      </c>
      <c r="AA64" s="227" t="str">
        <f t="shared" si="8"/>
        <v>18.7843218072226-0.794272646388285i</v>
      </c>
      <c r="AB64" s="227">
        <f t="shared" si="18"/>
        <v>25.483668302938401</v>
      </c>
      <c r="AC64" s="227">
        <f t="shared" si="19"/>
        <v>-2.4212414004052438</v>
      </c>
      <c r="AD64" s="229">
        <f t="shared" si="20"/>
        <v>13.874519226790785</v>
      </c>
      <c r="AE64" s="229">
        <f t="shared" si="21"/>
        <v>93.709493771402705</v>
      </c>
      <c r="AF64" s="227">
        <f t="shared" si="9"/>
        <v>39.358187529729186</v>
      </c>
      <c r="AG64" s="227">
        <f t="shared" si="10"/>
        <v>91.288252370997455</v>
      </c>
      <c r="AH64" s="229" t="str">
        <f t="shared" si="22"/>
        <v>0.319605711437072-4.92963905393386i</v>
      </c>
    </row>
    <row r="65" spans="9:34" x14ac:dyDescent="0.2">
      <c r="I65" s="227">
        <v>61</v>
      </c>
      <c r="J65" s="227">
        <f t="shared" si="0"/>
        <v>1.5947574741337873</v>
      </c>
      <c r="K65" s="227">
        <f t="shared" si="23"/>
        <v>39.33303641041455</v>
      </c>
      <c r="L65" s="227">
        <f t="shared" si="11"/>
        <v>247.13675646067639</v>
      </c>
      <c r="M65" s="227">
        <f t="shared" si="1"/>
        <v>5779.9347486288116</v>
      </c>
      <c r="N65" s="227">
        <f>SQRT((ABS(AC65)-171.5+'Small Signal'!C$59)^2)</f>
        <v>99.023844631216463</v>
      </c>
      <c r="O65" s="227">
        <f t="shared" si="12"/>
        <v>91.294745504309674</v>
      </c>
      <c r="P65" s="227">
        <f t="shared" si="13"/>
        <v>39.163514704678107</v>
      </c>
      <c r="Q65" s="227">
        <f t="shared" si="14"/>
        <v>39.33303641041455</v>
      </c>
      <c r="R65" s="227" t="str">
        <f t="shared" si="2"/>
        <v>0.0945666666666667+0.00116154275536518i</v>
      </c>
      <c r="S65" s="227" t="str">
        <f t="shared" si="3"/>
        <v>0.0085-154.966314557581i</v>
      </c>
      <c r="T65" s="227" t="str">
        <f t="shared" si="24"/>
        <v>12.9980927335415-1.09801966883413i</v>
      </c>
      <c r="U65" s="227" t="str">
        <f t="shared" si="4"/>
        <v>79.3974797073275-1.08462584538058i</v>
      </c>
      <c r="V65" s="227">
        <f t="shared" si="16"/>
        <v>37.996944721953987</v>
      </c>
      <c r="W65" s="227">
        <f t="shared" si="17"/>
        <v>-0.78265227380178926</v>
      </c>
      <c r="X65" s="227" t="str">
        <f t="shared" si="5"/>
        <v>0.999999988998487-0.000030887530797124i</v>
      </c>
      <c r="Y65" s="227" t="str">
        <f t="shared" si="6"/>
        <v>61.4055816675325+1.87417921439698i</v>
      </c>
      <c r="Z65" s="227" t="str">
        <f t="shared" si="7"/>
        <v>31.9773787937112+0.97500308873041i</v>
      </c>
      <c r="AA65" s="227" t="str">
        <f t="shared" si="8"/>
        <v>18.7828521775136-0.812245468098546i</v>
      </c>
      <c r="AB65" s="227">
        <f t="shared" si="18"/>
        <v>25.483344719490066</v>
      </c>
      <c r="AC65" s="227">
        <f t="shared" si="19"/>
        <v>-2.4761553687835427</v>
      </c>
      <c r="AD65" s="229">
        <f t="shared" si="20"/>
        <v>13.680169985188044</v>
      </c>
      <c r="AE65" s="229">
        <f t="shared" si="21"/>
        <v>93.770900873093211</v>
      </c>
      <c r="AF65" s="227">
        <f t="shared" si="9"/>
        <v>39.163514704678107</v>
      </c>
      <c r="AG65" s="227">
        <f t="shared" si="10"/>
        <v>91.294745504309674</v>
      </c>
      <c r="AH65" s="229" t="str">
        <f t="shared" si="22"/>
        <v>0.317700141647397-4.8202241222452i</v>
      </c>
    </row>
    <row r="66" spans="9:34" x14ac:dyDescent="0.2">
      <c r="I66" s="227">
        <v>62</v>
      </c>
      <c r="J66" s="227">
        <f t="shared" si="0"/>
        <v>1.6045075966605709</v>
      </c>
      <c r="K66" s="227">
        <f t="shared" si="23"/>
        <v>40.226069226403119</v>
      </c>
      <c r="L66" s="227">
        <f t="shared" si="11"/>
        <v>252.74784712892497</v>
      </c>
      <c r="M66" s="227">
        <f t="shared" si="1"/>
        <v>5779.0214400425493</v>
      </c>
      <c r="N66" s="227">
        <f>SQRT((ABS(AC66)-171.5+'Small Signal'!C$59)^2)</f>
        <v>98.967687969050928</v>
      </c>
      <c r="O66" s="227">
        <f t="shared" si="12"/>
        <v>91.301881689340377</v>
      </c>
      <c r="P66" s="227">
        <f t="shared" si="13"/>
        <v>38.968855615101653</v>
      </c>
      <c r="Q66" s="227">
        <f t="shared" si="14"/>
        <v>40.226069226403119</v>
      </c>
      <c r="R66" s="227" t="str">
        <f t="shared" si="2"/>
        <v>0.0945666666666667+0.00118791488150595i</v>
      </c>
      <c r="S66" s="227" t="str">
        <f t="shared" si="3"/>
        <v>0.0085-151.526008136046i</v>
      </c>
      <c r="T66" s="227" t="str">
        <f t="shared" si="24"/>
        <v>12.9938618291271-1.12258378040612i</v>
      </c>
      <c r="U66" s="227" t="str">
        <f t="shared" si="4"/>
        <v>79.3973522875059-1.10925648396716i</v>
      </c>
      <c r="V66" s="227">
        <f t="shared" si="16"/>
        <v>37.99696800529933</v>
      </c>
      <c r="W66" s="227">
        <f t="shared" si="17"/>
        <v>-0.80042442838731231</v>
      </c>
      <c r="X66" s="227" t="str">
        <f t="shared" si="5"/>
        <v>0.999999988493251-0.0000315888135132325i</v>
      </c>
      <c r="Y66" s="227" t="str">
        <f t="shared" si="6"/>
        <v>61.406947564969+1.91672595067527i</v>
      </c>
      <c r="Z66" s="227" t="str">
        <f t="shared" si="7"/>
        <v>31.9780914617068+0.997137125117065i</v>
      </c>
      <c r="AA66" s="227" t="str">
        <f t="shared" si="8"/>
        <v>18.7813152909379-0.830622135606042i</v>
      </c>
      <c r="AB66" s="227">
        <f t="shared" si="18"/>
        <v>25.483006301615735</v>
      </c>
      <c r="AC66" s="227">
        <f t="shared" si="19"/>
        <v>-2.5323120309490728</v>
      </c>
      <c r="AD66" s="229">
        <f t="shared" si="20"/>
        <v>13.48584931348592</v>
      </c>
      <c r="AE66" s="229">
        <f t="shared" si="21"/>
        <v>93.834193720289448</v>
      </c>
      <c r="AF66" s="227">
        <f t="shared" si="9"/>
        <v>38.968855615101653</v>
      </c>
      <c r="AG66" s="227">
        <f t="shared" si="10"/>
        <v>91.301881689340377</v>
      </c>
      <c r="AH66" s="229" t="str">
        <f t="shared" si="22"/>
        <v>0.315878228670269-4.71323736204796i</v>
      </c>
    </row>
    <row r="67" spans="9:34" x14ac:dyDescent="0.2">
      <c r="I67" s="227">
        <v>63</v>
      </c>
      <c r="J67" s="227">
        <f t="shared" si="0"/>
        <v>1.6142577191873544</v>
      </c>
      <c r="K67" s="227">
        <f t="shared" si="23"/>
        <v>41.139377812665586</v>
      </c>
      <c r="L67" s="227">
        <f t="shared" si="11"/>
        <v>258.48633421905026</v>
      </c>
      <c r="M67" s="227">
        <f t="shared" si="1"/>
        <v>5778.0873953369055</v>
      </c>
      <c r="N67" s="227">
        <f>SQRT((ABS(AC67)-171.5+'Small Signal'!C$59)^2)</f>
        <v>98.910260683083777</v>
      </c>
      <c r="O67" s="227">
        <f t="shared" si="12"/>
        <v>91.309663867295001</v>
      </c>
      <c r="P67" s="227">
        <f t="shared" si="13"/>
        <v>38.774210943115136</v>
      </c>
      <c r="Q67" s="227">
        <f t="shared" si="14"/>
        <v>41.139377812665586</v>
      </c>
      <c r="R67" s="227" t="str">
        <f t="shared" si="2"/>
        <v>0.0945666666666667+0.00121488577082954i</v>
      </c>
      <c r="S67" s="227" t="str">
        <f t="shared" si="3"/>
        <v>0.0085-148.162077721179i</v>
      </c>
      <c r="T67" s="227" t="str">
        <f t="shared" si="24"/>
        <v>12.98943957137-1.14768038282875i</v>
      </c>
      <c r="U67" s="227" t="str">
        <f t="shared" si="4"/>
        <v>79.3972190089531-1.13444668519767i</v>
      </c>
      <c r="V67" s="227">
        <f t="shared" si="16"/>
        <v>37.996992357731315</v>
      </c>
      <c r="W67" s="227">
        <f t="shared" si="17"/>
        <v>-0.81860026372886951</v>
      </c>
      <c r="X67" s="227" t="str">
        <f t="shared" si="5"/>
        <v>0.999999987964811-0.0000323060184295046i</v>
      </c>
      <c r="Y67" s="227" t="str">
        <f t="shared" si="6"/>
        <v>61.4083762010486+1.96023831055409i</v>
      </c>
      <c r="Z67" s="227" t="str">
        <f t="shared" si="7"/>
        <v>31.9788368640752+1.01977350488582i</v>
      </c>
      <c r="AA67" s="227" t="str">
        <f t="shared" si="8"/>
        <v>18.779708080775-0.849411525408135i</v>
      </c>
      <c r="AB67" s="227">
        <f t="shared" si="18"/>
        <v>25.482652370485074</v>
      </c>
      <c r="AC67" s="227">
        <f t="shared" si="19"/>
        <v>-2.5897393169162335</v>
      </c>
      <c r="AD67" s="229">
        <f t="shared" si="20"/>
        <v>13.291558572630066</v>
      </c>
      <c r="AE67" s="229">
        <f t="shared" si="21"/>
        <v>93.899403184211238</v>
      </c>
      <c r="AF67" s="227">
        <f t="shared" si="9"/>
        <v>38.774210943115136</v>
      </c>
      <c r="AG67" s="227">
        <f t="shared" si="10"/>
        <v>91.309663867295001</v>
      </c>
      <c r="AH67" s="229" t="str">
        <f t="shared" si="22"/>
        <v>0.31413630033321-4.60862494098297i</v>
      </c>
    </row>
    <row r="68" spans="9:34" x14ac:dyDescent="0.2">
      <c r="I68" s="227">
        <v>64</v>
      </c>
      <c r="J68" s="227">
        <f t="shared" ref="J68:J131" si="25">1+I68*(LOG(fsw)-1)/500</f>
        <v>1.6240078417141377</v>
      </c>
      <c r="K68" s="227">
        <f t="shared" si="23"/>
        <v>42.073422518309876</v>
      </c>
      <c r="L68" s="227">
        <f t="shared" si="11"/>
        <v>264.35511018980338</v>
      </c>
      <c r="M68" s="227">
        <f t="shared" ref="M68:M131" si="26">SQRT((Fco_target-K69)^2)</f>
        <v>5777.1321437108227</v>
      </c>
      <c r="N68" s="227">
        <f>SQRT((ABS(AC68)-171.5+'Small Signal'!C$59)^2)</f>
        <v>98.85153422891355</v>
      </c>
      <c r="O68" s="227">
        <f t="shared" si="12"/>
        <v>91.318095259295802</v>
      </c>
      <c r="P68" s="227">
        <f t="shared" si="13"/>
        <v>38.579581398949543</v>
      </c>
      <c r="Q68" s="227">
        <f t="shared" si="14"/>
        <v>42.073422518309876</v>
      </c>
      <c r="R68" s="227" t="str">
        <f t="shared" ref="R68:R131" si="27">IMSUM(COMPLEX(DCRss,Lss*L68),COMPLEX(Rdsonss,0),COMPLEX(40/3*Risense,0))</f>
        <v>0.0945666666666667+0.00124246901789208i</v>
      </c>
      <c r="S68" s="227" t="str">
        <f t="shared" ref="S68:S131" si="28">IMSUM(COMPLEX(ESRss,0),IMDIV(COMPLEX(1,0),COMPLEX(0,L68*Cbulkss)))</f>
        <v>0.0085-144.872827738901i</v>
      </c>
      <c r="T68" s="227" t="str">
        <f t="shared" ref="T68:T131" si="29">IMDIV(IMPRODUCT(S68,COMPLEX(Ross,0)),IMSUM(S68,COMPLEX(Ross,0)))</f>
        <v>12.9848174461872-1.17331983936601i</v>
      </c>
      <c r="U68" s="227" t="str">
        <f t="shared" ref="U68:U131" si="30">IMPRODUCT(COMPLEX(Vinss,0),COMPLEX(M^2,0),IMDIV(IMSUB(COMPLEX(1,0),IMDIV(IMPRODUCT(R68,COMPLEX(M^2,0)),COMPLEX(Ross,0))),IMSUM(COMPLEX(1,0),IMDIV(IMPRODUCT(R68,COMPLEX(M^2,0)),T68))))</f>
        <v>79.397079601948-1.16020917721114i</v>
      </c>
      <c r="V68" s="227">
        <f t="shared" si="16"/>
        <v>37.997017828329774</v>
      </c>
      <c r="W68" s="227">
        <f t="shared" si="17"/>
        <v>-0.83718895732845378</v>
      </c>
      <c r="X68" s="227" t="str">
        <f t="shared" ref="X68:X131" si="31">IMSUM(COMPLEX(1,L68/(wn*q0)),IMPOWER(COMPLEX(0,L68/wn),2))</f>
        <v>0.999999987412104-0.0000330395070498705i</v>
      </c>
      <c r="Y68" s="227" t="str">
        <f t="shared" ref="Y68:Y131" si="32">IMPRODUCT(COMPLEX(2*Ioutss*M^2,0),IMDIV(IMSUM(COMPLEX(1,0),IMDIV(COMPLEX(Ross,0),IMPRODUCT(COMPLEX(2,0),S68))),IMSUM(COMPLEX(1,0),IMDIV(IMPRODUCT(R68,COMPLEX(M^2,0)),T68))))</f>
        <v>61.4098704580116+2.00473819182986i</v>
      </c>
      <c r="Z68" s="227" t="str">
        <f t="shared" ref="Z68:Z131" si="33">IMPRODUCT(COMPLEX(Fm*40/3*Risense,0),Y68,X68)</f>
        <v>31.9796165046457+1.04292361973429i</v>
      </c>
      <c r="AA68" s="227" t="str">
        <f t="shared" ref="AA68:AA131" si="34">IMDIV(IMPRODUCT(COMPLEX(Fm,0),U68),IMSUM(COMPLEX(1,0),Z68))</f>
        <v>18.7780273415267-0.868622695292611i</v>
      </c>
      <c r="AB68" s="227">
        <f t="shared" si="18"/>
        <v>25.482282216320897</v>
      </c>
      <c r="AC68" s="227">
        <f t="shared" si="19"/>
        <v>-2.6484657710864488</v>
      </c>
      <c r="AD68" s="229">
        <f t="shared" si="20"/>
        <v>13.097299182628648</v>
      </c>
      <c r="AE68" s="229">
        <f t="shared" si="21"/>
        <v>93.966561030382252</v>
      </c>
      <c r="AF68" s="227">
        <f t="shared" ref="AF68:AF131" si="35">AD68+AB68</f>
        <v>38.579581398949543</v>
      </c>
      <c r="AG68" s="227">
        <f t="shared" ref="AG68:AG131" si="36">AE68+AC68</f>
        <v>91.318095259295802</v>
      </c>
      <c r="AH68" s="229" t="str">
        <f t="shared" ref="AH68:AH131" si="37">IMDIV(IMPRODUCT(COMPLEX(gea*Rea*Rslss/(Rslss+Rshss),0),COMPLEX(1,L68*Ccompss*Rcompss),COMPLEX(1,k_3*L68*Cffss*Rshss)),IMPRODUCT(COMPLEX(1,L68*Rea*Ccompss),COMPLEX(1,L68*Rcompss*Chfss),COMPLEX(1,k_3*L68*Rffss*Cffss)))</f>
        <v>0.312470845610365-4.50633421735529i</v>
      </c>
    </row>
    <row r="69" spans="9:34" x14ac:dyDescent="0.2">
      <c r="I69" s="227">
        <v>65</v>
      </c>
      <c r="J69" s="227">
        <f t="shared" si="25"/>
        <v>1.633757964240921</v>
      </c>
      <c r="K69" s="227">
        <f t="shared" si="23"/>
        <v>43.02867414439217</v>
      </c>
      <c r="L69" s="227">
        <f t="shared" ref="L69:L132" si="38">2*PI()*K69</f>
        <v>270.35713317146303</v>
      </c>
      <c r="M69" s="227">
        <f t="shared" si="26"/>
        <v>5776.1552036739931</v>
      </c>
      <c r="N69" s="227">
        <f>SQRT((ABS(AC69)-171.5+'Small Signal'!C$59)^2)</f>
        <v>98.791479435168867</v>
      </c>
      <c r="O69" s="227">
        <f t="shared" ref="O69:O132" si="39">ABS(AG69)</f>
        <v>91.327179364900445</v>
      </c>
      <c r="P69" s="227">
        <f t="shared" ref="P69:P132" si="40">ABS(AF69)</f>
        <v>38.384967722294647</v>
      </c>
      <c r="Q69" s="227">
        <f t="shared" ref="Q69:Q132" si="41">K69</f>
        <v>43.02867414439217</v>
      </c>
      <c r="R69" s="227" t="str">
        <f t="shared" si="27"/>
        <v>0.0945666666666667+0.00127067852590588i</v>
      </c>
      <c r="S69" s="227" t="str">
        <f t="shared" si="28"/>
        <v>0.0085-141.65660025747i</v>
      </c>
      <c r="T69" s="227" t="str">
        <f t="shared" si="29"/>
        <v>12.9799865737371-1.19951263187016i</v>
      </c>
      <c r="U69" s="227" t="str">
        <f t="shared" si="30"/>
        <v>79.3969337843182-1.18655697877571i</v>
      </c>
      <c r="V69" s="227">
        <f t="shared" ref="V69:V132" si="42">20*LOG(IMABS(U69))</f>
        <v>37.997044468426651</v>
      </c>
      <c r="W69" s="227">
        <f t="shared" ref="W69:W132" si="43">IF(DEGREES(IMARGUMENT(U69))&gt;0,DEGREES(IMARGUMENT(U69))-360, DEGREES(IMARGUMENT(U69)))</f>
        <v>-0.85619989590602952</v>
      </c>
      <c r="X69" s="227" t="str">
        <f t="shared" si="31"/>
        <v>0.999999986834014-0.0000337896490859887i</v>
      </c>
      <c r="Y69" s="227" t="str">
        <f t="shared" si="32"/>
        <v>61.4114333505573+2.05024798765365i</v>
      </c>
      <c r="Z69" s="227" t="str">
        <f t="shared" si="33"/>
        <v>31.9804319563588+1.06659911904529i</v>
      </c>
      <c r="AA69" s="227" t="str">
        <f t="shared" si="34"/>
        <v>18.7762697227352-0.888264887059645i</v>
      </c>
      <c r="AB69" s="227">
        <f t="shared" ref="AB69:AB132" si="44">20*LOG(IMABS(AA69))</f>
        <v>25.481895096998883</v>
      </c>
      <c r="AC69" s="227">
        <f t="shared" ref="AC69:AC132" si="45">IF(DEGREES(IMARGUMENT(AA69))&gt;0,DEGREES(IMARGUMENT(AA69))-360, DEGREES(IMARGUMENT(AA69)))</f>
        <v>-2.7085205648311392</v>
      </c>
      <c r="AD69" s="229">
        <f t="shared" ref="AD69:AD132" si="46">20*LOG(IMABS(AH69))</f>
        <v>12.903072625295763</v>
      </c>
      <c r="AE69" s="229">
        <f t="shared" ref="AE69:AE132" si="47">180+DEGREES(IMARGUMENT(AH69))</f>
        <v>94.035699929731578</v>
      </c>
      <c r="AF69" s="227">
        <f t="shared" si="35"/>
        <v>38.384967722294647</v>
      </c>
      <c r="AG69" s="227">
        <f t="shared" si="36"/>
        <v>91.327179364900445</v>
      </c>
      <c r="AH69" s="229" t="str">
        <f t="shared" si="37"/>
        <v>0.310878507554538-4.40631371399854i</v>
      </c>
    </row>
    <row r="70" spans="9:34" x14ac:dyDescent="0.2">
      <c r="I70" s="227">
        <v>66</v>
      </c>
      <c r="J70" s="227">
        <f t="shared" si="25"/>
        <v>1.6435080867677043</v>
      </c>
      <c r="K70" s="227">
        <f t="shared" si="23"/>
        <v>44.005614181222008</v>
      </c>
      <c r="L70" s="227">
        <f t="shared" si="38"/>
        <v>276.49542845686773</v>
      </c>
      <c r="M70" s="227">
        <f t="shared" si="26"/>
        <v>5775.1560828041593</v>
      </c>
      <c r="N70" s="227">
        <f>SQRT((ABS(AC70)-171.5+'Small Signal'!C$59)^2)</f>
        <v>98.73006649073352</v>
      </c>
      <c r="O70" s="227">
        <f t="shared" si="39"/>
        <v>91.336919960548485</v>
      </c>
      <c r="P70" s="227">
        <f t="shared" si="40"/>
        <v>38.190370683692564</v>
      </c>
      <c r="Q70" s="227">
        <f t="shared" si="41"/>
        <v>44.005614181222008</v>
      </c>
      <c r="R70" s="227" t="str">
        <f t="shared" si="27"/>
        <v>0.0945666666666667+0.00129952851374728i</v>
      </c>
      <c r="S70" s="227" t="str">
        <f t="shared" si="28"/>
        <v>0.0085-138.51177415181i</v>
      </c>
      <c r="T70" s="227" t="str">
        <f t="shared" si="29"/>
        <v>12.9749376939276-1.22626935576164i</v>
      </c>
      <c r="U70" s="227" t="str">
        <f t="shared" si="30"/>
        <v>79.3967812608662-1.21350340600167i</v>
      </c>
      <c r="V70" s="227">
        <f t="shared" si="42"/>
        <v>37.99707233170966</v>
      </c>
      <c r="W70" s="227">
        <f t="shared" si="43"/>
        <v>-0.87564268020874425</v>
      </c>
      <c r="X70" s="227" t="str">
        <f t="shared" si="31"/>
        <v>0.999999986229375-0.0000345568226435973i</v>
      </c>
      <c r="Y70" s="227" t="str">
        <f t="shared" si="32"/>
        <v>61.4130680319396+2.09679059765076i</v>
      </c>
      <c r="Z70" s="227" t="str">
        <f t="shared" si="33"/>
        <v>31.9812848644469+1.09081191567074i</v>
      </c>
      <c r="AA70" s="227" t="str">
        <f t="shared" si="34"/>
        <v>18.7744317225357-0.908347529210449i</v>
      </c>
      <c r="AB70" s="227">
        <f t="shared" si="44"/>
        <v>25.481490236585202</v>
      </c>
      <c r="AC70" s="227">
        <f t="shared" si="45"/>
        <v>-2.7699335092664739</v>
      </c>
      <c r="AD70" s="229">
        <f t="shared" si="46"/>
        <v>12.708880447107362</v>
      </c>
      <c r="AE70" s="229">
        <f t="shared" si="47"/>
        <v>94.106853469814965</v>
      </c>
      <c r="AF70" s="227">
        <f t="shared" si="35"/>
        <v>38.190370683692564</v>
      </c>
      <c r="AG70" s="227">
        <f t="shared" si="36"/>
        <v>91.336919960548485</v>
      </c>
      <c r="AH70" s="229" t="str">
        <f t="shared" si="37"/>
        <v>0.309356076538899-4.30851309269981i</v>
      </c>
    </row>
    <row r="71" spans="9:34" x14ac:dyDescent="0.2">
      <c r="I71" s="227">
        <v>67</v>
      </c>
      <c r="J71" s="227">
        <f t="shared" si="25"/>
        <v>1.6532582092944879</v>
      </c>
      <c r="K71" s="227">
        <f t="shared" si="23"/>
        <v>45.004735051055434</v>
      </c>
      <c r="L71" s="227">
        <f t="shared" si="38"/>
        <v>282.77309002630165</v>
      </c>
      <c r="M71" s="227">
        <f t="shared" si="26"/>
        <v>5774.1342774989171</v>
      </c>
      <c r="N71" s="227">
        <f>SQRT((ABS(AC71)-171.5+'Small Signal'!C$59)^2)</f>
        <v>98.667264931782285</v>
      </c>
      <c r="O71" s="227">
        <f t="shared" si="39"/>
        <v>91.347321097921352</v>
      </c>
      <c r="P71" s="227">
        <f t="shared" si="40"/>
        <v>37.995791085985758</v>
      </c>
      <c r="Q71" s="227">
        <f t="shared" si="41"/>
        <v>45.004735051055434</v>
      </c>
      <c r="R71" s="227" t="str">
        <f t="shared" si="27"/>
        <v>0.0945666666666667+0.00132903352312362i</v>
      </c>
      <c r="S71" s="227" t="str">
        <f t="shared" si="28"/>
        <v>0.0085-135.436764286387i</v>
      </c>
      <c r="T71" s="227" t="str">
        <f t="shared" si="29"/>
        <v>12.9696611514653-1.25360071440593i</v>
      </c>
      <c r="U71" s="227" t="str">
        <f t="shared" si="30"/>
        <v>79.3966217227625-1.241062079215i</v>
      </c>
      <c r="V71" s="227">
        <f t="shared" si="42"/>
        <v>37.99710147433008</v>
      </c>
      <c r="W71" s="227">
        <f t="shared" si="43"/>
        <v>-0.89552712993359407</v>
      </c>
      <c r="X71" s="227" t="str">
        <f t="shared" si="31"/>
        <v>0.999999985596969-0.0000353414144130966i</v>
      </c>
      <c r="Y71" s="227" t="str">
        <f t="shared" si="32"/>
        <v>61.4147778003355+2.14438943928378i</v>
      </c>
      <c r="Z71" s="227" t="str">
        <f t="shared" si="33"/>
        <v>31.9821769497565+1.11557419184203i</v>
      </c>
      <c r="AA71" s="227" t="str">
        <f t="shared" si="34"/>
        <v>18.7725096809341-0.928880239595469i</v>
      </c>
      <c r="AB71" s="227">
        <f t="shared" si="44"/>
        <v>25.481066823809936</v>
      </c>
      <c r="AC71" s="227">
        <f t="shared" si="45"/>
        <v>-2.8327350682177284</v>
      </c>
      <c r="AD71" s="229">
        <f t="shared" si="46"/>
        <v>12.514724262175822</v>
      </c>
      <c r="AE71" s="229">
        <f t="shared" si="47"/>
        <v>94.180056166139082</v>
      </c>
      <c r="AF71" s="227">
        <f t="shared" si="35"/>
        <v>37.995791085985758</v>
      </c>
      <c r="AG71" s="227">
        <f t="shared" si="36"/>
        <v>91.347321097921352</v>
      </c>
      <c r="AH71" s="229" t="str">
        <f t="shared" si="37"/>
        <v>0.307900483794819-4.21288312917469i</v>
      </c>
    </row>
    <row r="72" spans="9:34" x14ac:dyDescent="0.2">
      <c r="I72" s="227">
        <v>68</v>
      </c>
      <c r="J72" s="227">
        <f t="shared" si="25"/>
        <v>1.6630083318212712</v>
      </c>
      <c r="K72" s="227">
        <f t="shared" ref="K72:K135" si="48">10^(J72)</f>
        <v>46.026540356298057</v>
      </c>
      <c r="L72" s="227">
        <f t="shared" si="38"/>
        <v>289.19328210700024</v>
      </c>
      <c r="M72" s="227">
        <f t="shared" si="26"/>
        <v>5773.0892727218716</v>
      </c>
      <c r="N72" s="227">
        <f>SQRT((ABS(AC72)-171.5+'Small Signal'!C$59)^2)</f>
        <v>98.603043628629393</v>
      </c>
      <c r="O72" s="227">
        <f t="shared" si="39"/>
        <v>91.358387102199686</v>
      </c>
      <c r="P72" s="227">
        <f t="shared" si="40"/>
        <v>37.801229765819443</v>
      </c>
      <c r="Q72" s="227">
        <f t="shared" si="41"/>
        <v>46.026540356298057</v>
      </c>
      <c r="R72" s="227" t="str">
        <f t="shared" si="27"/>
        <v>0.0945666666666667+0.0013592084259029i</v>
      </c>
      <c r="S72" s="227" t="str">
        <f t="shared" si="28"/>
        <v>0.0085-132.430020716233i</v>
      </c>
      <c r="T72" s="227" t="str">
        <f t="shared" si="29"/>
        <v>12.9641468804441-1.28151751284514i</v>
      </c>
      <c r="U72" s="227" t="str">
        <f t="shared" si="30"/>
        <v>79.3964548469124-1.26924692999538i</v>
      </c>
      <c r="V72" s="227">
        <f t="shared" si="42"/>
        <v>37.997131955015703</v>
      </c>
      <c r="W72" s="227">
        <f t="shared" si="43"/>
        <v>-0.91586328876615364</v>
      </c>
      <c r="X72" s="227" t="str">
        <f t="shared" si="31"/>
        <v>0.999999984935521-0.0000361438198644589i</v>
      </c>
      <c r="Y72" s="227" t="str">
        <f t="shared" si="32"/>
        <v>61.4165661055118+2.19306845946396i</v>
      </c>
      <c r="Z72" s="227" t="str">
        <f t="shared" si="33"/>
        <v>31.9831100122271+1.14089840520962i</v>
      </c>
      <c r="AA72" s="227" t="str">
        <f t="shared" si="34"/>
        <v>18.7704997727949-0.949872828014165i</v>
      </c>
      <c r="AB72" s="227">
        <f t="shared" si="44"/>
        <v>25.480624010471644</v>
      </c>
      <c r="AC72" s="227">
        <f t="shared" si="45"/>
        <v>-2.8969563713706168</v>
      </c>
      <c r="AD72" s="229">
        <f t="shared" si="46"/>
        <v>12.320605755347799</v>
      </c>
      <c r="AE72" s="229">
        <f t="shared" si="47"/>
        <v>94.255343473570306</v>
      </c>
      <c r="AF72" s="227">
        <f t="shared" si="35"/>
        <v>37.801229765819443</v>
      </c>
      <c r="AG72" s="227">
        <f t="shared" si="36"/>
        <v>91.358387102199686</v>
      </c>
      <c r="AH72" s="229" t="str">
        <f t="shared" si="37"/>
        <v>0.30650879523292-4.11937568858126i</v>
      </c>
    </row>
    <row r="73" spans="9:34" x14ac:dyDescent="0.2">
      <c r="I73" s="227">
        <v>69</v>
      </c>
      <c r="J73" s="227">
        <f t="shared" si="25"/>
        <v>1.6727584543480547</v>
      </c>
      <c r="K73" s="227">
        <f t="shared" si="48"/>
        <v>47.071545133343776</v>
      </c>
      <c r="L73" s="227">
        <f t="shared" si="38"/>
        <v>295.75924076806638</v>
      </c>
      <c r="M73" s="227">
        <f t="shared" si="26"/>
        <v>5772.0205417430388</v>
      </c>
      <c r="N73" s="227">
        <f>SQRT((ABS(AC73)-171.5+'Small Signal'!C$59)^2)</f>
        <v>98.53737077239353</v>
      </c>
      <c r="O73" s="227">
        <f t="shared" si="39"/>
        <v>91.370122570201985</v>
      </c>
      <c r="P73" s="227">
        <f t="shared" si="40"/>
        <v>37.606687595201379</v>
      </c>
      <c r="Q73" s="227">
        <f t="shared" si="41"/>
        <v>47.071545133343776</v>
      </c>
      <c r="R73" s="227" t="str">
        <f t="shared" si="27"/>
        <v>0.0945666666666667+0.00139006843160991i</v>
      </c>
      <c r="S73" s="227" t="str">
        <f t="shared" si="28"/>
        <v>0.0085-129.4900279057i</v>
      </c>
      <c r="T73" s="227" t="str">
        <f t="shared" si="29"/>
        <v>12.9583843884704-1.31003065083967i</v>
      </c>
      <c r="U73" s="227" t="str">
        <f t="shared" si="30"/>
        <v>79.3962802952951-1.29807220838323i</v>
      </c>
      <c r="V73" s="227">
        <f t="shared" si="42"/>
        <v>37.997163835189141</v>
      </c>
      <c r="W73" s="227">
        <f t="shared" si="43"/>
        <v>-0.93666142953848386</v>
      </c>
      <c r="X73" s="227" t="str">
        <f t="shared" si="31"/>
        <v>0.999999984243695-0.0000369644434465629i</v>
      </c>
      <c r="Y73" s="227" t="str">
        <f t="shared" si="32"/>
        <v>61.4184365558017+2.24285214641627i</v>
      </c>
      <c r="Z73" s="227" t="str">
        <f t="shared" si="33"/>
        <v>31.984085934531+1.16679729501445i</v>
      </c>
      <c r="AA73" s="227" t="str">
        <f t="shared" si="34"/>
        <v>18.7683980005317-0.971335298758161i</v>
      </c>
      <c r="AB73" s="227">
        <f t="shared" si="44"/>
        <v>25.48016090977185</v>
      </c>
      <c r="AC73" s="227">
        <f t="shared" si="45"/>
        <v>-2.9626292276064565</v>
      </c>
      <c r="AD73" s="229">
        <f t="shared" si="46"/>
        <v>12.126526685429532</v>
      </c>
      <c r="AE73" s="229">
        <f t="shared" si="47"/>
        <v>94.332751797808442</v>
      </c>
      <c r="AF73" s="227">
        <f t="shared" si="35"/>
        <v>37.606687595201379</v>
      </c>
      <c r="AG73" s="227">
        <f t="shared" si="36"/>
        <v>91.370122570201985</v>
      </c>
      <c r="AH73" s="229" t="str">
        <f t="shared" si="37"/>
        <v>0.305178205534884-4.02794370156172i</v>
      </c>
    </row>
    <row r="74" spans="9:34" x14ac:dyDescent="0.2">
      <c r="I74" s="227">
        <v>70</v>
      </c>
      <c r="J74" s="227">
        <f t="shared" si="25"/>
        <v>1.682508576874838</v>
      </c>
      <c r="K74" s="227">
        <f t="shared" si="48"/>
        <v>48.140276112176416</v>
      </c>
      <c r="L74" s="227">
        <f t="shared" si="38"/>
        <v>302.47427555159527</v>
      </c>
      <c r="M74" s="227">
        <f t="shared" si="26"/>
        <v>5770.9275458733491</v>
      </c>
      <c r="N74" s="227">
        <f>SQRT((ABS(AC74)-171.5+'Small Signal'!C$59)^2)</f>
        <v>98.470213861482108</v>
      </c>
      <c r="O74" s="227">
        <f t="shared" si="39"/>
        <v>91.38253236838608</v>
      </c>
      <c r="P74" s="227">
        <f t="shared" si="40"/>
        <v>37.412165483121321</v>
      </c>
      <c r="Q74" s="227">
        <f t="shared" si="41"/>
        <v>48.140276112176416</v>
      </c>
      <c r="R74" s="227" t="str">
        <f t="shared" si="27"/>
        <v>0.0945666666666667+0.0014216290950925i</v>
      </c>
      <c r="S74" s="227" t="str">
        <f t="shared" si="28"/>
        <v>0.0085-126.615303964561i</v>
      </c>
      <c r="T74" s="227" t="str">
        <f t="shared" si="29"/>
        <v>12.9523627403265-1.33915111517302i</v>
      </c>
      <c r="U74" s="227" t="str">
        <f t="shared" si="30"/>
        <v>79.3960977142679-1.32755249025996i</v>
      </c>
      <c r="V74" s="227">
        <f t="shared" si="42"/>
        <v>37.99719717909116</v>
      </c>
      <c r="W74" s="227">
        <f t="shared" si="43"/>
        <v>-0.95793205950910054</v>
      </c>
      <c r="X74" s="227" t="str">
        <f t="shared" si="31"/>
        <v>0.999999983520098-0.0000378036987910547i</v>
      </c>
      <c r="Y74" s="227" t="str">
        <f t="shared" si="32"/>
        <v>61.4203929253975+2.29376554180281i</v>
      </c>
      <c r="Z74" s="227" t="str">
        <f t="shared" si="33"/>
        <v>31.9851066858783+1.19328388839374i</v>
      </c>
      <c r="AA74" s="227" t="str">
        <f t="shared" si="34"/>
        <v>18.7662001864871-0.993277853088772i</v>
      </c>
      <c r="AB74" s="227">
        <f t="shared" si="44"/>
        <v>25.479676594575725</v>
      </c>
      <c r="AC74" s="227">
        <f t="shared" si="45"/>
        <v>-3.0297861385179035</v>
      </c>
      <c r="AD74" s="229">
        <f t="shared" si="46"/>
        <v>11.932488888545594</v>
      </c>
      <c r="AE74" s="229">
        <f t="shared" si="47"/>
        <v>94.412318506903986</v>
      </c>
      <c r="AF74" s="227">
        <f t="shared" si="35"/>
        <v>37.412165483121321</v>
      </c>
      <c r="AG74" s="227">
        <f t="shared" si="36"/>
        <v>91.38253236838608</v>
      </c>
      <c r="AH74" s="229" t="str">
        <f t="shared" si="37"/>
        <v>0.303906032504236-3.93854114080142i</v>
      </c>
    </row>
    <row r="75" spans="9:34" x14ac:dyDescent="0.2">
      <c r="I75" s="227">
        <v>71</v>
      </c>
      <c r="J75" s="227">
        <f t="shared" si="25"/>
        <v>1.6922586994016213</v>
      </c>
      <c r="K75" s="227">
        <f t="shared" si="48"/>
        <v>49.233271981865734</v>
      </c>
      <c r="L75" s="227">
        <f t="shared" si="38"/>
        <v>309.34177114083519</v>
      </c>
      <c r="M75" s="227">
        <f t="shared" si="26"/>
        <v>5769.8097341931243</v>
      </c>
      <c r="N75" s="227">
        <f>SQRT((ABS(AC75)-171.5+'Small Signal'!C$59)^2)</f>
        <v>98.401539687899202</v>
      </c>
      <c r="O75" s="227">
        <f t="shared" si="39"/>
        <v>91.395621630694919</v>
      </c>
      <c r="P75" s="227">
        <f t="shared" si="40"/>
        <v>37.21766437723285</v>
      </c>
      <c r="Q75" s="227">
        <f t="shared" si="41"/>
        <v>49.233271981865734</v>
      </c>
      <c r="R75" s="227" t="str">
        <f t="shared" si="27"/>
        <v>0.0945666666666667+0.00145390632436193i</v>
      </c>
      <c r="S75" s="227" t="str">
        <f t="shared" si="28"/>
        <v>0.0085-123.804399901071i</v>
      </c>
      <c r="T75" s="227" t="str">
        <f t="shared" si="29"/>
        <v>12.9460705411716-1.36888997117004i</v>
      </c>
      <c r="U75" s="227" t="str">
        <f t="shared" si="30"/>
        <v>79.3959067338412-1.35770268490654i</v>
      </c>
      <c r="V75" s="227">
        <f t="shared" si="42"/>
        <v>37.997232053910047</v>
      </c>
      <c r="W75" s="227">
        <f t="shared" si="43"/>
        <v>-0.9796859257684073</v>
      </c>
      <c r="X75" s="227" t="str">
        <f t="shared" si="31"/>
        <v>0.999999982763271-0.0000386620089208371i</v>
      </c>
      <c r="Y75" s="227" t="str">
        <f t="shared" si="32"/>
        <v>61.4224391619812+2.34583425310971i</v>
      </c>
      <c r="Z75" s="227" t="str">
        <f t="shared" si="33"/>
        <v>31.9861743259983+1.22037150682375i</v>
      </c>
      <c r="AA75" s="227" t="str">
        <f t="shared" si="34"/>
        <v>18.7639019649907-1.01571089163913i</v>
      </c>
      <c r="AB75" s="227">
        <f t="shared" si="44"/>
        <v>25.479170095596089</v>
      </c>
      <c r="AC75" s="227">
        <f t="shared" si="45"/>
        <v>-3.0984603121007916</v>
      </c>
      <c r="AD75" s="229">
        <f t="shared" si="46"/>
        <v>11.738494281636758</v>
      </c>
      <c r="AE75" s="229">
        <f t="shared" si="47"/>
        <v>94.494081942795717</v>
      </c>
      <c r="AF75" s="227">
        <f t="shared" si="35"/>
        <v>37.21766437723285</v>
      </c>
      <c r="AG75" s="227">
        <f t="shared" si="36"/>
        <v>91.395621630694919</v>
      </c>
      <c r="AH75" s="229" t="str">
        <f t="shared" si="37"/>
        <v>0.302689711664766-3.85112299809489i</v>
      </c>
    </row>
    <row r="76" spans="9:34" x14ac:dyDescent="0.2">
      <c r="I76" s="227">
        <v>72</v>
      </c>
      <c r="J76" s="227">
        <f t="shared" si="25"/>
        <v>1.7020088219284049</v>
      </c>
      <c r="K76" s="227">
        <f t="shared" si="48"/>
        <v>50.351083662091241</v>
      </c>
      <c r="L76" s="227">
        <f t="shared" si="38"/>
        <v>316.36518906622183</v>
      </c>
      <c r="M76" s="227">
        <f t="shared" si="26"/>
        <v>5768.6665432743848</v>
      </c>
      <c r="N76" s="227">
        <f>SQRT((ABS(AC76)-171.5+'Small Signal'!C$59)^2)</f>
        <v>98.331314323383111</v>
      </c>
      <c r="O76" s="227">
        <f t="shared" si="39"/>
        <v>91.409395756226587</v>
      </c>
      <c r="P76" s="227">
        <f t="shared" si="40"/>
        <v>37.0231852655984</v>
      </c>
      <c r="Q76" s="227">
        <f t="shared" si="41"/>
        <v>50.351083662091241</v>
      </c>
      <c r="R76" s="227" t="str">
        <f t="shared" si="27"/>
        <v>0.0945666666666667+0.00148691638861124i</v>
      </c>
      <c r="S76" s="227" t="str">
        <f t="shared" si="28"/>
        <v>0.0085-121.05589889161i</v>
      </c>
      <c r="T76" s="227" t="str">
        <f t="shared" si="29"/>
        <v>12.9394959192869-1.39925835337674i</v>
      </c>
      <c r="U76" s="227" t="str">
        <f t="shared" si="30"/>
        <v>79.3957069669147-1.38853804274434i</v>
      </c>
      <c r="V76" s="227">
        <f t="shared" si="42"/>
        <v>37.997268529916383</v>
      </c>
      <c r="W76" s="227">
        <f t="shared" si="43"/>
        <v>-1.0019340207723204</v>
      </c>
      <c r="X76" s="227" t="str">
        <f t="shared" si="31"/>
        <v>0.999999981971686-0.000039539806463292i</v>
      </c>
      <c r="Y76" s="227" t="str">
        <f t="shared" si="32"/>
        <v>61.424579394706+2.39908446630282i</v>
      </c>
      <c r="Z76" s="227" t="str">
        <f t="shared" si="33"/>
        <v>31.9872910093036+1.24807377270229i</v>
      </c>
      <c r="AA76" s="227" t="str">
        <f t="shared" si="34"/>
        <v>18.7614987740831-1.03864501673033i</v>
      </c>
      <c r="AB76" s="227">
        <f t="shared" si="44"/>
        <v>25.478640399497582</v>
      </c>
      <c r="AC76" s="227">
        <f t="shared" si="45"/>
        <v>-3.1686856766168963</v>
      </c>
      <c r="AD76" s="229">
        <f t="shared" si="46"/>
        <v>11.544544866100818</v>
      </c>
      <c r="AE76" s="229">
        <f t="shared" si="47"/>
        <v>94.57808143284349</v>
      </c>
      <c r="AF76" s="227">
        <f t="shared" si="35"/>
        <v>37.0231852655984</v>
      </c>
      <c r="AG76" s="227">
        <f t="shared" si="36"/>
        <v>91.409395756226587</v>
      </c>
      <c r="AH76" s="229" t="str">
        <f t="shared" si="37"/>
        <v>0.301526791095687-3.76564526190777i</v>
      </c>
    </row>
    <row r="77" spans="9:34" x14ac:dyDescent="0.2">
      <c r="I77" s="227">
        <v>73</v>
      </c>
      <c r="J77" s="227">
        <f t="shared" si="25"/>
        <v>1.7117589444551882</v>
      </c>
      <c r="K77" s="227">
        <f t="shared" si="48"/>
        <v>51.494274580830655</v>
      </c>
      <c r="L77" s="227">
        <f t="shared" si="38"/>
        <v>323.54806945014644</v>
      </c>
      <c r="M77" s="227">
        <f t="shared" si="26"/>
        <v>5767.4973968968616</v>
      </c>
      <c r="N77" s="227">
        <f>SQRT((ABS(AC77)-171.5+'Small Signal'!C$59)^2)</f>
        <v>98.259503105377149</v>
      </c>
      <c r="O77" s="227">
        <f t="shared" si="39"/>
        <v>91.423860406706723</v>
      </c>
      <c r="P77" s="227">
        <f t="shared" si="40"/>
        <v>36.828729178500453</v>
      </c>
      <c r="Q77" s="227">
        <f t="shared" si="41"/>
        <v>51.494274580830655</v>
      </c>
      <c r="R77" s="227" t="str">
        <f t="shared" si="27"/>
        <v>0.0945666666666667+0.00152067592641569i</v>
      </c>
      <c r="S77" s="227" t="str">
        <f t="shared" si="28"/>
        <v>0.0085-118.368415566536i</v>
      </c>
      <c r="T77" s="227" t="str">
        <f t="shared" si="29"/>
        <v>12.9326265083694-1.4302674553469i</v>
      </c>
      <c r="U77" s="227" t="str">
        <f t="shared" si="30"/>
        <v>79.3954980084852-1.42007416326428i</v>
      </c>
      <c r="V77" s="227">
        <f t="shared" si="42"/>
        <v>37.997306680604808</v>
      </c>
      <c r="W77" s="227">
        <f t="shared" si="43"/>
        <v>-1.0246875880080537</v>
      </c>
      <c r="X77" s="227" t="str">
        <f t="shared" si="31"/>
        <v>0.999999981143749-0.0000404375338683445i</v>
      </c>
      <c r="Y77" s="227" t="str">
        <f t="shared" si="32"/>
        <v>61.4268179425514+2.45354295875755i</v>
      </c>
      <c r="Z77" s="227" t="str">
        <f t="shared" si="33"/>
        <v>31.9884589892498+1.27640461607378i</v>
      </c>
      <c r="AA77" s="227" t="str">
        <f t="shared" si="34"/>
        <v>18.7589858468916-1.06209103459047i</v>
      </c>
      <c r="AB77" s="227">
        <f t="shared" si="44"/>
        <v>25.478086446916798</v>
      </c>
      <c r="AC77" s="227">
        <f t="shared" si="45"/>
        <v>-3.2404968946228427</v>
      </c>
      <c r="AD77" s="229">
        <f t="shared" si="46"/>
        <v>11.350642731583651</v>
      </c>
      <c r="AE77" s="229">
        <f t="shared" si="47"/>
        <v>94.664357301329559</v>
      </c>
      <c r="AF77" s="227">
        <f t="shared" si="35"/>
        <v>36.828729178500453</v>
      </c>
      <c r="AG77" s="227">
        <f t="shared" si="36"/>
        <v>91.423860406706723</v>
      </c>
      <c r="AH77" s="229" t="str">
        <f t="shared" si="37"/>
        <v>0.300414926493255-3.68206489542524i</v>
      </c>
    </row>
    <row r="78" spans="9:34" x14ac:dyDescent="0.2">
      <c r="I78" s="227">
        <v>74</v>
      </c>
      <c r="J78" s="227">
        <f t="shared" si="25"/>
        <v>1.7215090669819717</v>
      </c>
      <c r="K78" s="227">
        <f t="shared" si="48"/>
        <v>52.663420958353441</v>
      </c>
      <c r="L78" s="227">
        <f t="shared" si="38"/>
        <v>330.89403279133984</v>
      </c>
      <c r="M78" s="227">
        <f t="shared" si="26"/>
        <v>5766.3017057575535</v>
      </c>
      <c r="N78" s="227">
        <f>SQRT((ABS(AC78)-171.5+'Small Signal'!C$59)^2)</f>
        <v>98.186070622842266</v>
      </c>
      <c r="O78" s="227">
        <f t="shared" si="39"/>
        <v>91.439021503741344</v>
      </c>
      <c r="P78" s="227">
        <f t="shared" si="40"/>
        <v>36.634297190321973</v>
      </c>
      <c r="Q78" s="227">
        <f t="shared" si="41"/>
        <v>52.663420958353441</v>
      </c>
      <c r="R78" s="227" t="str">
        <f t="shared" si="27"/>
        <v>0.0945666666666667+0.0015552019541193i</v>
      </c>
      <c r="S78" s="227" t="str">
        <f t="shared" si="28"/>
        <v>0.0085-115.740595311901i</v>
      </c>
      <c r="T78" s="227" t="str">
        <f t="shared" si="29"/>
        <v>12.9254494293824-1.46192851847779i</v>
      </c>
      <c r="U78" s="227" t="str">
        <f t="shared" si="30"/>
        <v>79.3952794348088-1.45232700314822i</v>
      </c>
      <c r="V78" s="227">
        <f t="shared" si="42"/>
        <v>37.997346582841345</v>
      </c>
      <c r="W78" s="227">
        <f t="shared" si="43"/>
        <v>-1.0479581277948482</v>
      </c>
      <c r="X78" s="227" t="str">
        <f t="shared" si="31"/>
        <v>0.999999980277789-0.0000413556436314778i</v>
      </c>
      <c r="Y78" s="227" t="str">
        <f t="shared" si="32"/>
        <v>61.4291593230559+2.50923711246753i</v>
      </c>
      <c r="Z78" s="227" t="str">
        <f t="shared" si="33"/>
        <v>31.9896806228913+1.30537828149918i</v>
      </c>
      <c r="AA78" s="227" t="str">
        <f t="shared" si="34"/>
        <v>18.7563582026474-1.08605995746423i</v>
      </c>
      <c r="AB78" s="227">
        <f t="shared" si="44"/>
        <v>25.477507130396173</v>
      </c>
      <c r="AC78" s="227">
        <f t="shared" si="45"/>
        <v>-3.313929377157744</v>
      </c>
      <c r="AD78" s="229">
        <f t="shared" si="46"/>
        <v>11.1567900599258</v>
      </c>
      <c r="AE78" s="229">
        <f t="shared" si="47"/>
        <v>94.752950880899093</v>
      </c>
      <c r="AF78" s="227">
        <f t="shared" si="35"/>
        <v>36.634297190321973</v>
      </c>
      <c r="AG78" s="227">
        <f t="shared" si="36"/>
        <v>91.439021503741344</v>
      </c>
      <c r="AH78" s="229" t="str">
        <f t="shared" si="37"/>
        <v>0.299351876448891-3.60033981507673i</v>
      </c>
    </row>
    <row r="79" spans="9:34" x14ac:dyDescent="0.2">
      <c r="I79" s="227">
        <v>75</v>
      </c>
      <c r="J79" s="227">
        <f t="shared" si="25"/>
        <v>1.731259189508755</v>
      </c>
      <c r="K79" s="227">
        <f t="shared" si="48"/>
        <v>53.859112097661878</v>
      </c>
      <c r="L79" s="227">
        <f t="shared" si="38"/>
        <v>338.40678178976742</v>
      </c>
      <c r="M79" s="227">
        <f t="shared" si="26"/>
        <v>5765.0788671736882</v>
      </c>
      <c r="N79" s="227">
        <f>SQRT((ABS(AC79)-171.5+'Small Signal'!C$59)^2)</f>
        <v>98.110980701916134</v>
      </c>
      <c r="O79" s="227">
        <f t="shared" si="39"/>
        <v>91.454885225824782</v>
      </c>
      <c r="P79" s="227">
        <f t="shared" si="40"/>
        <v>36.439890421497168</v>
      </c>
      <c r="Q79" s="227">
        <f t="shared" si="41"/>
        <v>53.859112097661878</v>
      </c>
      <c r="R79" s="227" t="str">
        <f t="shared" si="27"/>
        <v>0.0945666666666667+0.00159051187441191i</v>
      </c>
      <c r="S79" s="227" t="str">
        <f t="shared" si="28"/>
        <v>0.0085-113.171113586659i</v>
      </c>
      <c r="T79" s="227" t="str">
        <f t="shared" si="29"/>
        <v>12.9179512719752-1.49425281983525i</v>
      </c>
      <c r="U79" s="227" t="str">
        <f t="shared" si="30"/>
        <v>79.3950508025285-1.4853128845888i</v>
      </c>
      <c r="V79" s="227">
        <f t="shared" si="42"/>
        <v>37.997388317018121</v>
      </c>
      <c r="W79" s="227">
        <f t="shared" si="43"/>
        <v>-1.0717574032236934</v>
      </c>
      <c r="X79" s="227" t="str">
        <f t="shared" si="31"/>
        <v>0.999999979372061-0.0000422945985218117i</v>
      </c>
      <c r="Y79" s="227" t="str">
        <f t="shared" si="32"/>
        <v>61.4316082614545+2.56619492753825i</v>
      </c>
      <c r="Z79" s="227" t="str">
        <f t="shared" si="33"/>
        <v>31.9909583756493+1.3350093350742i</v>
      </c>
      <c r="AA79" s="227" t="str">
        <f t="shared" si="34"/>
        <v>18.75361063733-1.11056300560035i</v>
      </c>
      <c r="AB79" s="227">
        <f t="shared" si="44"/>
        <v>25.476901292227527</v>
      </c>
      <c r="AC79" s="227">
        <f t="shared" si="45"/>
        <v>-3.3890192980838583</v>
      </c>
      <c r="AD79" s="229">
        <f t="shared" si="46"/>
        <v>10.962989129269642</v>
      </c>
      <c r="AE79" s="229">
        <f t="shared" si="47"/>
        <v>94.843904523908634</v>
      </c>
      <c r="AF79" s="227">
        <f t="shared" si="35"/>
        <v>36.439890421497168</v>
      </c>
      <c r="AG79" s="227">
        <f t="shared" si="36"/>
        <v>91.454885225824782</v>
      </c>
      <c r="AH79" s="229" t="str">
        <f t="shared" si="37"/>
        <v>0.298335497934319-3.52042886952667i</v>
      </c>
    </row>
    <row r="80" spans="9:34" x14ac:dyDescent="0.2">
      <c r="I80" s="227">
        <v>76</v>
      </c>
      <c r="J80" s="227">
        <f t="shared" si="25"/>
        <v>1.7410093120355383</v>
      </c>
      <c r="K80" s="227">
        <f t="shared" si="48"/>
        <v>55.081950681526784</v>
      </c>
      <c r="L80" s="227">
        <f t="shared" si="38"/>
        <v>346.09010321295966</v>
      </c>
      <c r="M80" s="227">
        <f t="shared" si="26"/>
        <v>5763.8282647789483</v>
      </c>
      <c r="N80" s="227">
        <f>SQRT((ABS(AC80)-171.5+'Small Signal'!C$59)^2)</f>
        <v>98.034196391429532</v>
      </c>
      <c r="O80" s="227">
        <f t="shared" si="39"/>
        <v>91.471458005078247</v>
      </c>
      <c r="P80" s="227">
        <f t="shared" si="40"/>
        <v>36.245510040534967</v>
      </c>
      <c r="Q80" s="227">
        <f t="shared" si="41"/>
        <v>55.081950681526784</v>
      </c>
      <c r="R80" s="227" t="str">
        <f t="shared" si="27"/>
        <v>0.0945666666666667+0.00162662348510091i</v>
      </c>
      <c r="S80" s="227" t="str">
        <f t="shared" si="28"/>
        <v>0.0085-110.658675255038i</v>
      </c>
      <c r="T80" s="227" t="str">
        <f t="shared" si="29"/>
        <v>12.9101180754857-1.52725165890471i</v>
      </c>
      <c r="U80" s="227" t="str">
        <f t="shared" si="30"/>
        <v>79.3948116477583-1.51904850381249i</v>
      </c>
      <c r="V80" s="227">
        <f t="shared" si="42"/>
        <v>37.99743196721473</v>
      </c>
      <c r="W80" s="227">
        <f t="shared" si="43"/>
        <v>-1.0960974462392798</v>
      </c>
      <c r="X80" s="227" t="str">
        <f t="shared" si="31"/>
        <v>0.999999978424738-0.0000432548718153588i</v>
      </c>
      <c r="Y80" s="227" t="str">
        <f t="shared" si="32"/>
        <v>61.4341697002421+2.62444503597044i</v>
      </c>
      <c r="Z80" s="227" t="str">
        <f t="shared" si="33"/>
        <v>31.992294826301+1.365312671598i</v>
      </c>
      <c r="AA80" s="227" t="str">
        <f t="shared" si="34"/>
        <v>18.7507377139237-1.1356116091023i</v>
      </c>
      <c r="AB80" s="227">
        <f t="shared" si="44"/>
        <v>25.476267722200653</v>
      </c>
      <c r="AC80" s="227">
        <f t="shared" si="45"/>
        <v>-3.4658036085704538</v>
      </c>
      <c r="AD80" s="229">
        <f t="shared" si="46"/>
        <v>10.76924231833431</v>
      </c>
      <c r="AE80" s="229">
        <f t="shared" si="47"/>
        <v>94.937261613648701</v>
      </c>
      <c r="AF80" s="227">
        <f t="shared" si="35"/>
        <v>36.245510040534967</v>
      </c>
      <c r="AG80" s="227">
        <f t="shared" si="36"/>
        <v>91.471458005078247</v>
      </c>
      <c r="AH80" s="229" t="str">
        <f t="shared" si="37"/>
        <v>0.297363741984683-3.44229181912216i</v>
      </c>
    </row>
    <row r="81" spans="9:34" x14ac:dyDescent="0.2">
      <c r="I81" s="227">
        <v>77</v>
      </c>
      <c r="J81" s="227">
        <f t="shared" si="25"/>
        <v>1.7507594345623216</v>
      </c>
      <c r="K81" s="227">
        <f t="shared" si="48"/>
        <v>56.332553076266926</v>
      </c>
      <c r="L81" s="227">
        <f t="shared" si="38"/>
        <v>353.94786980471457</v>
      </c>
      <c r="M81" s="227">
        <f t="shared" si="26"/>
        <v>5762.5492682127897</v>
      </c>
      <c r="N81" s="227">
        <f>SQRT((ABS(AC81)-171.5+'Small Signal'!C$59)^2)</f>
        <v>97.955679948286502</v>
      </c>
      <c r="O81" s="227">
        <f t="shared" si="39"/>
        <v>91.488746523690608</v>
      </c>
      <c r="P81" s="227">
        <f t="shared" si="40"/>
        <v>36.051157266117926</v>
      </c>
      <c r="Q81" s="227">
        <f t="shared" si="41"/>
        <v>56.332553076266926</v>
      </c>
      <c r="R81" s="227" t="str">
        <f t="shared" si="27"/>
        <v>0.0945666666666667+0.00166355498808216i</v>
      </c>
      <c r="S81" s="227" t="str">
        <f t="shared" si="28"/>
        <v>0.0085-108.202013933735i</v>
      </c>
      <c r="T81" s="227" t="str">
        <f t="shared" si="29"/>
        <v>12.901935309543-1.56093634320256i</v>
      </c>
      <c r="U81" s="227" t="str">
        <f t="shared" si="30"/>
        <v>79.394561485126-1.55355093981202i</v>
      </c>
      <c r="V81" s="227">
        <f t="shared" si="42"/>
        <v>37.997477621367409</v>
      </c>
      <c r="W81" s="227">
        <f t="shared" si="43"/>
        <v>-1.1209905638682682</v>
      </c>
      <c r="X81" s="227" t="str">
        <f t="shared" si="31"/>
        <v>0.999999977433909-0.0000442369475335779i</v>
      </c>
      <c r="Y81" s="227" t="str">
        <f t="shared" si="32"/>
        <v>61.4368488091747+2.68401671573879i</v>
      </c>
      <c r="Z81" s="227" t="str">
        <f t="shared" si="33"/>
        <v>31.9936926721981+1.39630352189548i</v>
      </c>
      <c r="AA81" s="227" t="str">
        <f t="shared" si="34"/>
        <v>18.7477337522747-1.16121740962773i</v>
      </c>
      <c r="AB81" s="227">
        <f t="shared" si="44"/>
        <v>25.475605155254307</v>
      </c>
      <c r="AC81" s="227">
        <f t="shared" si="45"/>
        <v>-3.5443200517134925</v>
      </c>
      <c r="AD81" s="229">
        <f t="shared" si="46"/>
        <v>10.575552110863615</v>
      </c>
      <c r="AE81" s="229">
        <f t="shared" si="47"/>
        <v>95.033066575404106</v>
      </c>
      <c r="AF81" s="227">
        <f t="shared" si="35"/>
        <v>36.051157266117926</v>
      </c>
      <c r="AG81" s="227">
        <f t="shared" si="36"/>
        <v>91.488746523690608</v>
      </c>
      <c r="AH81" s="229" t="str">
        <f t="shared" si="37"/>
        <v>0.296434649570942-3.36588931578763i</v>
      </c>
    </row>
    <row r="82" spans="9:34" x14ac:dyDescent="0.2">
      <c r="I82" s="227">
        <v>78</v>
      </c>
      <c r="J82" s="227">
        <f t="shared" si="25"/>
        <v>1.7605095570891052</v>
      </c>
      <c r="K82" s="227">
        <f t="shared" si="48"/>
        <v>57.611549642425857</v>
      </c>
      <c r="L82" s="227">
        <f t="shared" si="38"/>
        <v>361.98404223713749</v>
      </c>
      <c r="M82" s="227">
        <f t="shared" si="26"/>
        <v>5761.2412328027131</v>
      </c>
      <c r="N82" s="227">
        <f>SQRT((ABS(AC82)-171.5+'Small Signal'!C$59)^2)</f>
        <v>97.875392822719476</v>
      </c>
      <c r="O82" s="227">
        <f t="shared" si="39"/>
        <v>91.506757710033014</v>
      </c>
      <c r="P82" s="227">
        <f t="shared" si="40"/>
        <v>35.856833369279386</v>
      </c>
      <c r="Q82" s="227">
        <f t="shared" si="41"/>
        <v>57.611549642425857</v>
      </c>
      <c r="R82" s="227" t="str">
        <f t="shared" si="27"/>
        <v>0.0945666666666667+0.00170132499851455i</v>
      </c>
      <c r="S82" s="227" t="str">
        <f t="shared" si="28"/>
        <v>0.0085-105.799891353598i</v>
      </c>
      <c r="T82" s="227" t="str">
        <f t="shared" si="29"/>
        <v>12.8933878542923-1.59531817267902i</v>
      </c>
      <c r="U82" s="227" t="str">
        <f t="shared" si="30"/>
        <v>79.3942998067667-1.58883766329356i</v>
      </c>
      <c r="V82" s="227">
        <f t="shared" si="42"/>
        <v>37.997525371445384</v>
      </c>
      <c r="W82" s="227">
        <f t="shared" si="43"/>
        <v>-1.1464493445975092</v>
      </c>
      <c r="X82" s="227" t="str">
        <f t="shared" si="31"/>
        <v>0.999999976397578-0.000045241320687342i</v>
      </c>
      <c r="Y82" s="227" t="str">
        <f t="shared" si="32"/>
        <v>61.4396509957285+2.74493990517165i</v>
      </c>
      <c r="Z82" s="227" t="str">
        <f t="shared" si="33"/>
        <v>31.9951547347237+1.42799746029599i</v>
      </c>
      <c r="AA82" s="227" t="str">
        <f t="shared" si="34"/>
        <v>18.7445928185344-1.18739226192033i</v>
      </c>
      <c r="AB82" s="227">
        <f t="shared" si="44"/>
        <v>25.474912269025261</v>
      </c>
      <c r="AC82" s="227">
        <f t="shared" si="45"/>
        <v>-3.6246071772805322</v>
      </c>
      <c r="AD82" s="229">
        <f t="shared" si="46"/>
        <v>10.381921100254122</v>
      </c>
      <c r="AE82" s="229">
        <f t="shared" si="47"/>
        <v>95.131364887313552</v>
      </c>
      <c r="AF82" s="227">
        <f t="shared" si="35"/>
        <v>35.856833369279386</v>
      </c>
      <c r="AG82" s="227">
        <f t="shared" si="36"/>
        <v>91.506757710033014</v>
      </c>
      <c r="AH82" s="229" t="str">
        <f t="shared" si="37"/>
        <v>0.295546347653301-3.29118288335756i</v>
      </c>
    </row>
    <row r="83" spans="9:34" x14ac:dyDescent="0.2">
      <c r="I83" s="227">
        <v>79</v>
      </c>
      <c r="J83" s="227">
        <f t="shared" si="25"/>
        <v>1.7702596796158887</v>
      </c>
      <c r="K83" s="227">
        <f t="shared" si="48"/>
        <v>58.919585052502107</v>
      </c>
      <c r="L83" s="227">
        <f t="shared" si="38"/>
        <v>370.20267110699922</v>
      </c>
      <c r="M83" s="227">
        <f t="shared" si="26"/>
        <v>5759.9034992393217</v>
      </c>
      <c r="N83" s="227">
        <f>SQRT((ABS(AC83)-171.5+'Small Signal'!C$59)^2)</f>
        <v>97.793295643430611</v>
      </c>
      <c r="O83" s="227">
        <f t="shared" si="39"/>
        <v>91.525498734416189</v>
      </c>
      <c r="P83" s="227">
        <f t="shared" si="40"/>
        <v>35.662539675659907</v>
      </c>
      <c r="Q83" s="227">
        <f t="shared" si="41"/>
        <v>58.919585052502107</v>
      </c>
      <c r="R83" s="227" t="str">
        <f t="shared" si="27"/>
        <v>0.0945666666666667+0.0017399525542029i</v>
      </c>
      <c r="S83" s="227" t="str">
        <f t="shared" si="28"/>
        <v>0.0085-103.451096735486i</v>
      </c>
      <c r="T83" s="227" t="str">
        <f t="shared" si="29"/>
        <v>12.8844599802663-1.63040842284107i</v>
      </c>
      <c r="U83" s="227" t="str">
        <f t="shared" si="30"/>
        <v>79.3940260812752-1.62492654584518i</v>
      </c>
      <c r="V83" s="227">
        <f t="shared" si="42"/>
        <v>37.997575313636048</v>
      </c>
      <c r="W83" s="227">
        <f t="shared" si="43"/>
        <v>-1.1724866649064201</v>
      </c>
      <c r="X83" s="227" t="str">
        <f t="shared" si="31"/>
        <v>0.999999975313653-0.0000462684975264472i</v>
      </c>
      <c r="Y83" s="227" t="str">
        <f t="shared" si="32"/>
        <v>61.4425819160511+2.80724521763692i</v>
      </c>
      <c r="Z83" s="227" t="str">
        <f t="shared" si="33"/>
        <v>31.9966839650059+1.46041041227121i</v>
      </c>
      <c r="AA83" s="227" t="str">
        <f t="shared" si="34"/>
        <v>18.7413087141733-1.21414823515658i</v>
      </c>
      <c r="AB83" s="227">
        <f t="shared" si="44"/>
        <v>25.47418768129079</v>
      </c>
      <c r="AC83" s="227">
        <f t="shared" si="45"/>
        <v>-3.7067043565693876</v>
      </c>
      <c r="AD83" s="229">
        <f t="shared" si="46"/>
        <v>10.188351994369116</v>
      </c>
      <c r="AE83" s="229">
        <f t="shared" si="47"/>
        <v>95.232203090985578</v>
      </c>
      <c r="AF83" s="227">
        <f t="shared" si="35"/>
        <v>35.662539675659907</v>
      </c>
      <c r="AG83" s="227">
        <f t="shared" si="36"/>
        <v>91.525498734416189</v>
      </c>
      <c r="AH83" s="229" t="str">
        <f t="shared" si="37"/>
        <v>0.294697045407692-3.21813489833777i</v>
      </c>
    </row>
    <row r="84" spans="9:34" x14ac:dyDescent="0.2">
      <c r="I84" s="227">
        <v>80</v>
      </c>
      <c r="J84" s="227">
        <f t="shared" si="25"/>
        <v>1.780009802142672</v>
      </c>
      <c r="K84" s="227">
        <f t="shared" si="48"/>
        <v>60.257318615893624</v>
      </c>
      <c r="L84" s="227">
        <f t="shared" si="38"/>
        <v>378.60789897742177</v>
      </c>
      <c r="M84" s="227">
        <f t="shared" si="26"/>
        <v>5758.5353932439957</v>
      </c>
      <c r="N84" s="227">
        <f>SQRT((ABS(AC84)-171.5+'Small Signal'!C$59)^2)</f>
        <v>97.709348202630878</v>
      </c>
      <c r="O84" s="227">
        <f t="shared" si="39"/>
        <v>91.544977004457806</v>
      </c>
      <c r="P84" s="227">
        <f t="shared" si="40"/>
        <v>35.468277567845213</v>
      </c>
      <c r="Q84" s="227">
        <f t="shared" si="41"/>
        <v>60.257318615893624</v>
      </c>
      <c r="R84" s="227" t="str">
        <f t="shared" si="27"/>
        <v>0.0945666666666667+0.00177945712519388i</v>
      </c>
      <c r="S84" s="227" t="str">
        <f t="shared" si="28"/>
        <v>0.0085-101.154446179976i</v>
      </c>
      <c r="T84" s="227" t="str">
        <f t="shared" si="29"/>
        <v>12.8751353279344-1.66621832652098i</v>
      </c>
      <c r="U84" s="227" t="str">
        <f t="shared" si="30"/>
        <v>79.3937397525988-1.66183586933224i</v>
      </c>
      <c r="V84" s="227">
        <f t="shared" si="42"/>
        <v>37.997627548537551</v>
      </c>
      <c r="W84" s="227">
        <f t="shared" si="43"/>
        <v>-1.1991156959574609</v>
      </c>
      <c r="X84" s="227" t="str">
        <f t="shared" si="31"/>
        <v>0.999999974179951-0.0000473189957947849i</v>
      </c>
      <c r="Y84" s="227" t="str">
        <f t="shared" si="32"/>
        <v>61.4456474864083+2.87096395653997i</v>
      </c>
      <c r="Z84" s="227" t="str">
        <f t="shared" si="33"/>
        <v>31.9982834498908+1.49355866223515i</v>
      </c>
      <c r="AA84" s="227" t="str">
        <f t="shared" si="34"/>
        <v>18.7378749645511-1.24149761408909i</v>
      </c>
      <c r="AB84" s="227">
        <f t="shared" si="44"/>
        <v>25.473429947300296</v>
      </c>
      <c r="AC84" s="227">
        <f t="shared" si="45"/>
        <v>-3.7906517973691112</v>
      </c>
      <c r="AD84" s="229">
        <f t="shared" si="46"/>
        <v>9.9948476205449168</v>
      </c>
      <c r="AE84" s="229">
        <f t="shared" si="47"/>
        <v>95.335628801826914</v>
      </c>
      <c r="AF84" s="227">
        <f t="shared" si="35"/>
        <v>35.468277567845213</v>
      </c>
      <c r="AG84" s="227">
        <f t="shared" si="36"/>
        <v>91.544977004457806</v>
      </c>
      <c r="AH84" s="229" t="str">
        <f t="shared" si="37"/>
        <v>0.293885030617751-3.14670857108631i</v>
      </c>
    </row>
    <row r="85" spans="9:34" x14ac:dyDescent="0.2">
      <c r="I85" s="227">
        <v>81</v>
      </c>
      <c r="J85" s="227">
        <f t="shared" si="25"/>
        <v>1.7897599246694553</v>
      </c>
      <c r="K85" s="227">
        <f t="shared" si="48"/>
        <v>61.625424611219827</v>
      </c>
      <c r="L85" s="227">
        <f t="shared" si="38"/>
        <v>387.20396246591969</v>
      </c>
      <c r="M85" s="227">
        <f t="shared" si="26"/>
        <v>5757.1362252290264</v>
      </c>
      <c r="N85" s="227">
        <f>SQRT((ABS(AC85)-171.5+'Small Signal'!C$59)^2)</f>
        <v>97.623509440990432</v>
      </c>
      <c r="O85" s="227">
        <f t="shared" si="39"/>
        <v>91.565200160025043</v>
      </c>
      <c r="P85" s="227">
        <f t="shared" si="40"/>
        <v>35.274048487789202</v>
      </c>
      <c r="Q85" s="227">
        <f t="shared" si="41"/>
        <v>61.625424611219827</v>
      </c>
      <c r="R85" s="227" t="str">
        <f t="shared" si="27"/>
        <v>0.0945666666666667+0.00181985862358982i</v>
      </c>
      <c r="S85" s="227" t="str">
        <f t="shared" si="28"/>
        <v>0.0085-98.9087820706289i</v>
      </c>
      <c r="T85" s="227" t="str">
        <f t="shared" si="29"/>
        <v>12.8653968869628-1.70275905421318i</v>
      </c>
      <c r="U85" s="227" t="str">
        <f t="shared" si="30"/>
        <v>79.3934402388883-1.69958433552692i</v>
      </c>
      <c r="V85" s="227">
        <f t="shared" si="42"/>
        <v>37.997682181361377</v>
      </c>
      <c r="W85" s="227">
        <f t="shared" si="43"/>
        <v>-1.2263499104492117</v>
      </c>
      <c r="X85" s="227" t="str">
        <f t="shared" si="31"/>
        <v>0.999999972994183-0.0000483933449913086i</v>
      </c>
      <c r="Y85" s="227" t="str">
        <f t="shared" si="32"/>
        <v>61.4488538951691+2.93612813063887i</v>
      </c>
      <c r="Z85" s="227" t="str">
        <f t="shared" si="33"/>
        <v>31.9999564181945+1.52745886150918i</v>
      </c>
      <c r="AA85" s="227" t="str">
        <f t="shared" si="34"/>
        <v>18.7342848070301-1.26945289996671i</v>
      </c>
      <c r="AB85" s="227">
        <f t="shared" si="44"/>
        <v>25.472637556992485</v>
      </c>
      <c r="AC85" s="227">
        <f t="shared" si="45"/>
        <v>-3.8764905590095582</v>
      </c>
      <c r="AD85" s="229">
        <f t="shared" si="46"/>
        <v>9.8014109307967185</v>
      </c>
      <c r="AE85" s="229">
        <f t="shared" si="47"/>
        <v>95.441690719034597</v>
      </c>
      <c r="AF85" s="227">
        <f t="shared" si="35"/>
        <v>35.274048487789202</v>
      </c>
      <c r="AG85" s="227">
        <f t="shared" si="36"/>
        <v>91.565200160025043</v>
      </c>
      <c r="AH85" s="229" t="str">
        <f t="shared" si="37"/>
        <v>0.293108666225054-3.07686792740533i</v>
      </c>
    </row>
    <row r="86" spans="9:34" x14ac:dyDescent="0.2">
      <c r="I86" s="227">
        <v>82</v>
      </c>
      <c r="J86" s="227">
        <f t="shared" si="25"/>
        <v>1.7995100471962389</v>
      </c>
      <c r="K86" s="227">
        <f t="shared" si="48"/>
        <v>63.024592626188472</v>
      </c>
      <c r="L86" s="227">
        <f t="shared" si="38"/>
        <v>395.99519437984628</v>
      </c>
      <c r="M86" s="227">
        <f t="shared" si="26"/>
        <v>5755.7052899500359</v>
      </c>
      <c r="N86" s="227">
        <f>SQRT((ABS(AC86)-171.5+'Small Signal'!C$59)^2)</f>
        <v>97.535737432515646</v>
      </c>
      <c r="O86" s="227">
        <f t="shared" si="39"/>
        <v>91.586176067715641</v>
      </c>
      <c r="P86" s="227">
        <f t="shared" si="40"/>
        <v>35.079853939323158</v>
      </c>
      <c r="Q86" s="227">
        <f t="shared" si="41"/>
        <v>63.024592626188472</v>
      </c>
      <c r="R86" s="227" t="str">
        <f t="shared" si="27"/>
        <v>0.0945666666666667+0.00186117741358528i</v>
      </c>
      <c r="S86" s="227" t="str">
        <f t="shared" si="28"/>
        <v>0.0085-96.7129724904932i</v>
      </c>
      <c r="T86" s="227" t="str">
        <f t="shared" si="29"/>
        <v>12.8552269752263-1.74004169289957i</v>
      </c>
      <c r="U86" s="227" t="str">
        <f t="shared" si="30"/>
        <v>79.3931269312851-1.73819107597798i</v>
      </c>
      <c r="V86" s="227">
        <f t="shared" si="42"/>
        <v>37.997739322143161</v>
      </c>
      <c r="W86" s="227">
        <f t="shared" si="43"/>
        <v>-1.2542030896363039</v>
      </c>
      <c r="X86" s="227" t="str">
        <f t="shared" si="31"/>
        <v>0.999999971753961-0.0000494920866369257i</v>
      </c>
      <c r="Y86" s="227" t="str">
        <f t="shared" si="32"/>
        <v>61.4522076153355+3.00277046968279i</v>
      </c>
      <c r="Z86" s="227" t="str">
        <f t="shared" si="33"/>
        <v>32.0017062472418+1.56212803645485i</v>
      </c>
      <c r="AA86" s="227" t="str">
        <f t="shared" si="34"/>
        <v>18.7305311786149-1.2980268112099i</v>
      </c>
      <c r="AB86" s="227">
        <f t="shared" si="44"/>
        <v>25.471808932092614</v>
      </c>
      <c r="AC86" s="227">
        <f t="shared" si="45"/>
        <v>-3.9642625674843592</v>
      </c>
      <c r="AD86" s="229">
        <f t="shared" si="46"/>
        <v>9.6080450072305457</v>
      </c>
      <c r="AE86" s="229">
        <f t="shared" si="47"/>
        <v>95.550438635199995</v>
      </c>
      <c r="AF86" s="227">
        <f t="shared" si="35"/>
        <v>35.079853939323158</v>
      </c>
      <c r="AG86" s="227">
        <f t="shared" si="36"/>
        <v>91.586176067715641</v>
      </c>
      <c r="AH86" s="229" t="str">
        <f t="shared" si="37"/>
        <v>0.292366387030657-3.00857779053519i</v>
      </c>
    </row>
    <row r="87" spans="9:34" x14ac:dyDescent="0.2">
      <c r="I87" s="227">
        <v>83</v>
      </c>
      <c r="J87" s="227">
        <f t="shared" si="25"/>
        <v>1.8092601697230224</v>
      </c>
      <c r="K87" s="227">
        <f t="shared" si="48"/>
        <v>64.455527905179423</v>
      </c>
      <c r="L87" s="227">
        <f t="shared" si="38"/>
        <v>404.98602590032715</v>
      </c>
      <c r="M87" s="227">
        <f t="shared" si="26"/>
        <v>5754.2418661504953</v>
      </c>
      <c r="N87" s="227">
        <f>SQRT((ABS(AC87)-171.5+'Small Signal'!C$59)^2)</f>
        <v>97.445989369368363</v>
      </c>
      <c r="O87" s="227">
        <f t="shared" si="39"/>
        <v>91.607912814838173</v>
      </c>
      <c r="P87" s="227">
        <f t="shared" si="40"/>
        <v>34.885695490753463</v>
      </c>
      <c r="Q87" s="227">
        <f t="shared" si="41"/>
        <v>64.455527905179423</v>
      </c>
      <c r="R87" s="227" t="str">
        <f t="shared" si="27"/>
        <v>0.0945666666666667+0.00190343432173154i</v>
      </c>
      <c r="S87" s="227" t="str">
        <f t="shared" si="28"/>
        <v>0.0085-94.5659106515716i</v>
      </c>
      <c r="T87" s="227" t="str">
        <f t="shared" si="29"/>
        <v>12.8446072176178-1.77807722328059i</v>
      </c>
      <c r="U87" s="227" t="str">
        <f t="shared" si="30"/>
        <v>79.3927991926536-1.77767566212803i</v>
      </c>
      <c r="V87" s="227">
        <f t="shared" si="42"/>
        <v>37.997799085963536</v>
      </c>
      <c r="W87" s="227">
        <f t="shared" si="43"/>
        <v>-1.2826893305208316</v>
      </c>
      <c r="X87" s="227" t="str">
        <f t="shared" si="31"/>
        <v>0.999999970456782-0.0000506157745474482i</v>
      </c>
      <c r="Y87" s="227" t="str">
        <f t="shared" si="32"/>
        <v>61.455715417655+3.07092444037865i</v>
      </c>
      <c r="Z87" s="227" t="str">
        <f t="shared" si="33"/>
        <v>32.0035364697064+1.59758359677743i</v>
      </c>
      <c r="AA87" s="227" t="str">
        <f t="shared" si="34"/>
        <v>18.7266067031051-1.32723228381894i</v>
      </c>
      <c r="AB87" s="227">
        <f t="shared" si="44"/>
        <v>25.47094242308582</v>
      </c>
      <c r="AC87" s="227">
        <f t="shared" si="45"/>
        <v>-4.0540106306316313</v>
      </c>
      <c r="AD87" s="229">
        <f t="shared" si="46"/>
        <v>9.4147530676676396</v>
      </c>
      <c r="AE87" s="229">
        <f t="shared" si="47"/>
        <v>95.66192344546981</v>
      </c>
      <c r="AF87" s="227">
        <f t="shared" si="35"/>
        <v>34.885695490753463</v>
      </c>
      <c r="AG87" s="227">
        <f t="shared" si="36"/>
        <v>91.607912814838173</v>
      </c>
      <c r="AH87" s="229" t="str">
        <f t="shared" si="37"/>
        <v>0.291656696541308-2.94180376354215i</v>
      </c>
    </row>
    <row r="88" spans="9:34" x14ac:dyDescent="0.2">
      <c r="I88" s="227">
        <v>84</v>
      </c>
      <c r="J88" s="227">
        <f t="shared" si="25"/>
        <v>1.8190102922498057</v>
      </c>
      <c r="K88" s="227">
        <f t="shared" si="48"/>
        <v>65.918951704719817</v>
      </c>
      <c r="L88" s="227">
        <f t="shared" si="38"/>
        <v>414.18098881577629</v>
      </c>
      <c r="M88" s="227">
        <f t="shared" si="26"/>
        <v>5752.7452161981846</v>
      </c>
      <c r="N88" s="227">
        <f>SQRT((ABS(AC88)-171.5+'Small Signal'!C$59)^2)</f>
        <v>97.354221546645476</v>
      </c>
      <c r="O88" s="227">
        <f t="shared" si="39"/>
        <v>91.630418702850349</v>
      </c>
      <c r="P88" s="227">
        <f t="shared" si="40"/>
        <v>34.691574777548908</v>
      </c>
      <c r="Q88" s="227">
        <f t="shared" si="41"/>
        <v>65.918951704719817</v>
      </c>
      <c r="R88" s="227" t="str">
        <f t="shared" si="27"/>
        <v>0.0945666666666667+0.00194665064743415i</v>
      </c>
      <c r="S88" s="227" t="str">
        <f t="shared" si="28"/>
        <v>0.0085-92.4665143369486i</v>
      </c>
      <c r="T88" s="227" t="str">
        <f t="shared" si="29"/>
        <v>12.8335185247068-1.81687649532703i</v>
      </c>
      <c r="U88" s="227" t="str">
        <f t="shared" si="30"/>
        <v>79.3924563562554-1.81805811568567i</v>
      </c>
      <c r="V88" s="227">
        <f t="shared" si="42"/>
        <v>37.997861593179266</v>
      </c>
      <c r="W88" s="227">
        <f t="shared" si="43"/>
        <v>-1.3118230532200645</v>
      </c>
      <c r="X88" s="227" t="str">
        <f t="shared" si="31"/>
        <v>0.999999969100031-0.0000517649751127414i</v>
      </c>
      <c r="Y88" s="227" t="str">
        <f t="shared" si="32"/>
        <v>61.4593843843416+3.14062426269246i</v>
      </c>
      <c r="Z88" s="227" t="str">
        <f t="shared" si="33"/>
        <v>32.0054507807709+1.63384334400328i</v>
      </c>
      <c r="AA88" s="227" t="str">
        <f t="shared" si="34"/>
        <v>18.7225036777427-1.35708247149043i</v>
      </c>
      <c r="AB88" s="227">
        <f t="shared" si="44"/>
        <v>25.470036306060223</v>
      </c>
      <c r="AC88" s="227">
        <f t="shared" si="45"/>
        <v>-4.1457784533545228</v>
      </c>
      <c r="AD88" s="229">
        <f t="shared" si="46"/>
        <v>9.221538471488687</v>
      </c>
      <c r="AE88" s="229">
        <f t="shared" si="47"/>
        <v>95.776197156204873</v>
      </c>
      <c r="AF88" s="227">
        <f t="shared" si="35"/>
        <v>34.691574777548908</v>
      </c>
      <c r="AG88" s="227">
        <f t="shared" si="36"/>
        <v>91.630418702850349</v>
      </c>
      <c r="AH88" s="229" t="str">
        <f t="shared" si="37"/>
        <v>0.290978163954012-2.87651221209149i</v>
      </c>
    </row>
    <row r="89" spans="9:34" x14ac:dyDescent="0.2">
      <c r="I89" s="227">
        <v>85</v>
      </c>
      <c r="J89" s="227">
        <f t="shared" si="25"/>
        <v>1.828760414776589</v>
      </c>
      <c r="K89" s="227">
        <f t="shared" si="48"/>
        <v>67.415601657030422</v>
      </c>
      <c r="L89" s="227">
        <f t="shared" si="38"/>
        <v>423.5847178061253</v>
      </c>
      <c r="M89" s="227">
        <f t="shared" si="26"/>
        <v>5751.2145857133892</v>
      </c>
      <c r="N89" s="227">
        <f>SQRT((ABS(AC89)-171.5+'Small Signal'!C$59)^2)</f>
        <v>97.260389347137874</v>
      </c>
      <c r="O89" s="227">
        <f t="shared" si="39"/>
        <v>91.653702240211231</v>
      </c>
      <c r="P89" s="227">
        <f t="shared" si="40"/>
        <v>34.497493505121071</v>
      </c>
      <c r="Q89" s="227">
        <f t="shared" si="41"/>
        <v>67.415601657030422</v>
      </c>
      <c r="R89" s="227" t="str">
        <f t="shared" si="27"/>
        <v>0.0945666666666667+0.00199084817368879i</v>
      </c>
      <c r="S89" s="227" t="str">
        <f t="shared" si="28"/>
        <v>0.0085-90.4137253553005i</v>
      </c>
      <c r="T89" s="227" t="str">
        <f t="shared" si="29"/>
        <v>12.821941071306-1.85645020206497i</v>
      </c>
      <c r="U89" s="227" t="str">
        <f t="shared" si="30"/>
        <v>79.3920977243552-1.85935891925975i</v>
      </c>
      <c r="V89" s="227">
        <f t="shared" si="42"/>
        <v>37.997926969664519</v>
      </c>
      <c r="W89" s="227">
        <f t="shared" si="43"/>
        <v>-1.3416190085152848</v>
      </c>
      <c r="X89" s="227" t="str">
        <f t="shared" si="31"/>
        <v>0.999999967680972-0.0000529402675822104i</v>
      </c>
      <c r="Y89" s="227" t="str">
        <f t="shared" si="32"/>
        <v>61.4632219234279+3.21190492649003i</v>
      </c>
      <c r="Z89" s="227" t="str">
        <f t="shared" si="33"/>
        <v>32.0074530456141+1.67092548013359i</v>
      </c>
      <c r="AA89" s="227" t="str">
        <f t="shared" si="34"/>
        <v>18.7182140593434-1.38759074541643i</v>
      </c>
      <c r="AB89" s="227">
        <f t="shared" si="44"/>
        <v>25.469088779416815</v>
      </c>
      <c r="AC89" s="227">
        <f t="shared" si="45"/>
        <v>-4.2396106528621145</v>
      </c>
      <c r="AD89" s="229">
        <f t="shared" si="46"/>
        <v>9.0284047257042541</v>
      </c>
      <c r="AE89" s="229">
        <f t="shared" si="47"/>
        <v>95.893312893073343</v>
      </c>
      <c r="AF89" s="227">
        <f t="shared" si="35"/>
        <v>34.497493505121071</v>
      </c>
      <c r="AG89" s="227">
        <f t="shared" si="36"/>
        <v>91.653702240211231</v>
      </c>
      <c r="AH89" s="229" t="str">
        <f t="shared" si="37"/>
        <v>0.290329421272855-2.8126702475977i</v>
      </c>
    </row>
    <row r="90" spans="9:34" x14ac:dyDescent="0.2">
      <c r="I90" s="227">
        <v>86</v>
      </c>
      <c r="J90" s="227">
        <f t="shared" si="25"/>
        <v>1.8385105373033723</v>
      </c>
      <c r="K90" s="227">
        <f t="shared" si="48"/>
        <v>68.946232141825661</v>
      </c>
      <c r="L90" s="227">
        <f t="shared" si="38"/>
        <v>433.2019527789119</v>
      </c>
      <c r="M90" s="227">
        <f t="shared" si="26"/>
        <v>5749.6492031886601</v>
      </c>
      <c r="N90" s="227">
        <f>SQRT((ABS(AC90)-171.5+'Small Signal'!C$59)^2)</f>
        <v>97.164447226090374</v>
      </c>
      <c r="O90" s="227">
        <f t="shared" si="39"/>
        <v>91.677772134601241</v>
      </c>
      <c r="P90" s="227">
        <f t="shared" si="40"/>
        <v>34.303453451698587</v>
      </c>
      <c r="Q90" s="227">
        <f t="shared" si="41"/>
        <v>68.946232141825661</v>
      </c>
      <c r="R90" s="227" t="str">
        <f t="shared" si="27"/>
        <v>0.0945666666666667+0.00203604917806089i</v>
      </c>
      <c r="S90" s="227" t="str">
        <f t="shared" si="28"/>
        <v>0.0085-88.4065090075231i</v>
      </c>
      <c r="T90" s="227" t="str">
        <f t="shared" si="29"/>
        <v>12.8098542750132-1.8968088515042i</v>
      </c>
      <c r="U90" s="227" t="str">
        <f t="shared" si="30"/>
        <v>79.3917225667649-1.90159902726368i</v>
      </c>
      <c r="V90" s="227">
        <f t="shared" si="42"/>
        <v>37.9979953470636</v>
      </c>
      <c r="W90" s="227">
        <f t="shared" si="43"/>
        <v>-1.3720922855867599</v>
      </c>
      <c r="X90" s="227" t="str">
        <f t="shared" si="31"/>
        <v>0.999999966196744-0.0000541422443567675i</v>
      </c>
      <c r="Y90" s="227" t="str">
        <f t="shared" si="32"/>
        <v>61.4672357837834+3.28480220852325i</v>
      </c>
      <c r="Z90" s="227" t="str">
        <f t="shared" si="33"/>
        <v>32.009547307247+1.70884861647768i</v>
      </c>
      <c r="AA90" s="227" t="str">
        <f t="shared" si="34"/>
        <v>18.7137294498931-1.41877069373834i</v>
      </c>
      <c r="AB90" s="227">
        <f t="shared" si="44"/>
        <v>25.468097960439366</v>
      </c>
      <c r="AC90" s="227">
        <f t="shared" si="45"/>
        <v>-4.3355527739096305</v>
      </c>
      <c r="AD90" s="229">
        <f t="shared" si="46"/>
        <v>8.8353554912592216</v>
      </c>
      <c r="AE90" s="229">
        <f t="shared" si="47"/>
        <v>96.013324908510867</v>
      </c>
      <c r="AF90" s="227">
        <f t="shared" si="35"/>
        <v>34.303453451698587</v>
      </c>
      <c r="AG90" s="227">
        <f t="shared" si="36"/>
        <v>91.677772134601241</v>
      </c>
      <c r="AH90" s="229" t="str">
        <f t="shared" si="37"/>
        <v>0.289709160552328-2.750245710744i</v>
      </c>
    </row>
    <row r="91" spans="9:34" x14ac:dyDescent="0.2">
      <c r="I91" s="227">
        <v>87</v>
      </c>
      <c r="J91" s="227">
        <f t="shared" si="25"/>
        <v>1.8482606598301559</v>
      </c>
      <c r="K91" s="227">
        <f t="shared" si="48"/>
        <v>70.511614666555275</v>
      </c>
      <c r="L91" s="227">
        <f t="shared" si="38"/>
        <v>443.03754125840874</v>
      </c>
      <c r="M91" s="227">
        <f t="shared" si="26"/>
        <v>5748.048279599936</v>
      </c>
      <c r="N91" s="227">
        <f>SQRT((ABS(AC91)-171.5+'Small Signal'!C$59)^2)</f>
        <v>97.066348695984743</v>
      </c>
      <c r="O91" s="227">
        <f t="shared" si="39"/>
        <v>91.702637284460536</v>
      </c>
      <c r="P91" s="227">
        <f t="shared" si="40"/>
        <v>34.10945647129715</v>
      </c>
      <c r="Q91" s="227">
        <f t="shared" si="41"/>
        <v>70.511614666555275</v>
      </c>
      <c r="R91" s="227" t="str">
        <f t="shared" si="27"/>
        <v>0.0945666666666667+0.00208227644391452i</v>
      </c>
      <c r="S91" s="227" t="str">
        <f t="shared" si="28"/>
        <v>0.0085-86.443853565194i</v>
      </c>
      <c r="T91" s="227" t="str">
        <f t="shared" si="29"/>
        <v>12.7972367747998-1.93796273661854i</v>
      </c>
      <c r="U91" s="227" t="str">
        <f t="shared" si="30"/>
        <v>79.3913301193107-1.94479987709796i</v>
      </c>
      <c r="V91" s="227">
        <f t="shared" si="42"/>
        <v>37.998066863054532</v>
      </c>
      <c r="W91" s="227">
        <f t="shared" si="43"/>
        <v>-1.4032583199403403</v>
      </c>
      <c r="X91" s="227" t="str">
        <f t="shared" si="31"/>
        <v>0.999999964644353-0.00005537151128743i</v>
      </c>
      <c r="Y91" s="227" t="str">
        <f t="shared" si="32"/>
        <v>61.4714340708218+3.35935268976699i</v>
      </c>
      <c r="Z91" s="227" t="str">
        <f t="shared" si="33"/>
        <v>32.0117377947082+1.74763178266843i</v>
      </c>
      <c r="AA91" s="227" t="str">
        <f t="shared" si="34"/>
        <v>18.7090410815962-1.45063612062623i</v>
      </c>
      <c r="AB91" s="227">
        <f t="shared" si="44"/>
        <v>25.467061881719761</v>
      </c>
      <c r="AC91" s="227">
        <f t="shared" si="45"/>
        <v>-4.4336513040152559</v>
      </c>
      <c r="AD91" s="229">
        <f t="shared" si="46"/>
        <v>8.6423945895773926</v>
      </c>
      <c r="AE91" s="229">
        <f t="shared" si="47"/>
        <v>96.136288588475793</v>
      </c>
      <c r="AF91" s="227">
        <f t="shared" si="35"/>
        <v>34.10945647129715</v>
      </c>
      <c r="AG91" s="227">
        <f t="shared" si="36"/>
        <v>91.702637284460536</v>
      </c>
      <c r="AH91" s="229" t="str">
        <f t="shared" si="37"/>
        <v>0.289116131261574-2.68920715536306i</v>
      </c>
    </row>
    <row r="92" spans="9:34" x14ac:dyDescent="0.2">
      <c r="I92" s="227">
        <v>88</v>
      </c>
      <c r="J92" s="227">
        <f t="shared" si="25"/>
        <v>1.8580107823569392</v>
      </c>
      <c r="K92" s="227">
        <f t="shared" si="48"/>
        <v>72.112538255279276</v>
      </c>
      <c r="L92" s="227">
        <f t="shared" si="38"/>
        <v>453.09644082899661</v>
      </c>
      <c r="M92" s="227">
        <f t="shared" si="26"/>
        <v>5746.4110080088431</v>
      </c>
      <c r="N92" s="227">
        <f>SQRT((ABS(AC92)-171.5+'Small Signal'!C$59)^2)</f>
        <v>96.966046311371656</v>
      </c>
      <c r="O92" s="227">
        <f t="shared" si="39"/>
        <v>91.728306769794102</v>
      </c>
      <c r="P92" s="227">
        <f t="shared" si="40"/>
        <v>33.915504496785488</v>
      </c>
      <c r="Q92" s="227">
        <f t="shared" si="41"/>
        <v>72.112538255279276</v>
      </c>
      <c r="R92" s="227" t="str">
        <f t="shared" si="27"/>
        <v>0.0945666666666667+0.00212955327189628i</v>
      </c>
      <c r="S92" s="227" t="str">
        <f t="shared" si="28"/>
        <v>0.0085-84.5247697606161i</v>
      </c>
      <c r="T92" s="227" t="str">
        <f t="shared" si="29"/>
        <v>12.7840664097325-1.97992190328498i</v>
      </c>
      <c r="U92" s="227" t="str">
        <f t="shared" si="30"/>
        <v>79.3909195822314-1.98898340061927i</v>
      </c>
      <c r="V92" s="227">
        <f t="shared" si="42"/>
        <v>37.998141661625219</v>
      </c>
      <c r="W92" s="227">
        <f t="shared" si="43"/>
        <v>-1.435132901530874</v>
      </c>
      <c r="X92" s="227" t="str">
        <f t="shared" si="31"/>
        <v>0.999999963020671-0.000056628687980696i</v>
      </c>
      <c r="Y92" s="227" t="str">
        <f t="shared" si="32"/>
        <v>61.4758252629438+3.43559377311266i</v>
      </c>
      <c r="Z92" s="227" t="str">
        <f t="shared" si="33"/>
        <v>32.0140289316426+1.78729443586303i</v>
      </c>
      <c r="AA92" s="227" t="str">
        <f t="shared" si="34"/>
        <v>18.704139801359-1.48320104495194i</v>
      </c>
      <c r="AB92" s="227">
        <f t="shared" si="44"/>
        <v>25.465978487432572</v>
      </c>
      <c r="AC92" s="227">
        <f t="shared" si="45"/>
        <v>-4.5339536886283351</v>
      </c>
      <c r="AD92" s="229">
        <f t="shared" si="46"/>
        <v>8.4495260093529119</v>
      </c>
      <c r="AE92" s="229">
        <f t="shared" si="47"/>
        <v>96.262260458422432</v>
      </c>
      <c r="AF92" s="227">
        <f t="shared" si="35"/>
        <v>33.915504496785488</v>
      </c>
      <c r="AG92" s="227">
        <f t="shared" si="36"/>
        <v>91.728306769794102</v>
      </c>
      <c r="AH92" s="229" t="str">
        <f t="shared" si="37"/>
        <v>0.288549137764251-2.62952383267112i</v>
      </c>
    </row>
    <row r="93" spans="9:34" x14ac:dyDescent="0.2">
      <c r="I93" s="227">
        <v>89</v>
      </c>
      <c r="J93" s="227">
        <f t="shared" si="25"/>
        <v>1.8677609048837227</v>
      </c>
      <c r="K93" s="227">
        <f t="shared" si="48"/>
        <v>73.749809846372202</v>
      </c>
      <c r="L93" s="227">
        <f t="shared" si="38"/>
        <v>463.38372163401419</v>
      </c>
      <c r="M93" s="227">
        <f t="shared" si="26"/>
        <v>5744.7365631559587</v>
      </c>
      <c r="N93" s="227">
        <f>SQRT((ABS(AC93)-171.5+'Small Signal'!C$59)^2)</f>
        <v>96.863491653778112</v>
      </c>
      <c r="O93" s="227">
        <f t="shared" si="39"/>
        <v>91.754789842188501</v>
      </c>
      <c r="P93" s="227">
        <f t="shared" si="40"/>
        <v>33.721599543051276</v>
      </c>
      <c r="Q93" s="227">
        <f t="shared" si="41"/>
        <v>73.749809846372202</v>
      </c>
      <c r="R93" s="227" t="str">
        <f t="shared" si="27"/>
        <v>0.0945666666666667+0.00217790349167987i</v>
      </c>
      <c r="S93" s="227" t="str">
        <f t="shared" si="28"/>
        <v>0.0085-82.6482902881809i</v>
      </c>
      <c r="T93" s="227" t="str">
        <f t="shared" si="29"/>
        <v>12.7703201979165-2.02269611608701i</v>
      </c>
      <c r="U93" s="227" t="str">
        <f t="shared" si="30"/>
        <v>79.3904901184994-2.03417203590504i</v>
      </c>
      <c r="V93" s="227">
        <f t="shared" si="42"/>
        <v>37.998219893362169</v>
      </c>
      <c r="W93" s="227">
        <f t="shared" si="43"/>
        <v>-1.467732183088265</v>
      </c>
      <c r="X93" s="227" t="str">
        <f t="shared" si="31"/>
        <v>0.999999961322422-0.0000579144081108548i</v>
      </c>
      <c r="Y93" s="227" t="str">
        <f t="shared" si="32"/>
        <v>61.4804182287351+3.51356370142339i</v>
      </c>
      <c r="Z93" s="227" t="str">
        <f t="shared" si="33"/>
        <v>32.0164253452744+1.82785647013153i</v>
      </c>
      <c r="AA93" s="227" t="str">
        <f t="shared" si="34"/>
        <v>18.699016054696-1.51647969852265i</v>
      </c>
      <c r="AB93" s="227">
        <f t="shared" si="44"/>
        <v>25.464845629454413</v>
      </c>
      <c r="AC93" s="227">
        <f t="shared" si="45"/>
        <v>-4.6365083462218983</v>
      </c>
      <c r="AD93" s="229">
        <f t="shared" si="46"/>
        <v>8.2567539135968619</v>
      </c>
      <c r="AE93" s="229">
        <f t="shared" si="47"/>
        <v>96.391298188410403</v>
      </c>
      <c r="AF93" s="227">
        <f t="shared" si="35"/>
        <v>33.721599543051276</v>
      </c>
      <c r="AG93" s="227">
        <f t="shared" si="36"/>
        <v>91.754789842188501</v>
      </c>
      <c r="AH93" s="229" t="str">
        <f t="shared" si="37"/>
        <v>0.288007036908988-2.57116567584844i</v>
      </c>
    </row>
    <row r="94" spans="9:34" x14ac:dyDescent="0.2">
      <c r="I94" s="227">
        <v>90</v>
      </c>
      <c r="J94" s="227">
        <f t="shared" si="25"/>
        <v>1.877511027410506</v>
      </c>
      <c r="K94" s="227">
        <f t="shared" si="48"/>
        <v>75.42425469925638</v>
      </c>
      <c r="L94" s="227">
        <f t="shared" si="38"/>
        <v>473.90456893133853</v>
      </c>
      <c r="M94" s="227">
        <f t="shared" si="26"/>
        <v>5743.0241010448444</v>
      </c>
      <c r="N94" s="227">
        <f>SQRT((ABS(AC94)-171.5+'Small Signal'!C$59)^2)</f>
        <v>96.758635316719193</v>
      </c>
      <c r="O94" s="227">
        <f t="shared" si="39"/>
        <v>91.782095913983085</v>
      </c>
      <c r="P94" s="227">
        <f t="shared" si="40"/>
        <v>33.52774371026544</v>
      </c>
      <c r="Q94" s="227">
        <f t="shared" si="41"/>
        <v>75.42425469925638</v>
      </c>
      <c r="R94" s="227" t="str">
        <f t="shared" si="27"/>
        <v>0.0945666666666667+0.00222735147397729i</v>
      </c>
      <c r="S94" s="227" t="str">
        <f t="shared" si="28"/>
        <v>0.0085-80.8134693168031i</v>
      </c>
      <c r="T94" s="227" t="str">
        <f t="shared" si="29"/>
        <v>12.7559743157639-2.06629482188717i</v>
      </c>
      <c r="U94" s="227" t="str">
        <f t="shared" si="30"/>
        <v>79.390040852057-2.08038873932258i</v>
      </c>
      <c r="V94" s="227">
        <f t="shared" si="42"/>
        <v>37.998301715752042</v>
      </c>
      <c r="W94" s="227">
        <f t="shared" si="43"/>
        <v>-1.5010726886520644</v>
      </c>
      <c r="X94" s="227" t="str">
        <f t="shared" si="31"/>
        <v>0.999999959546182-0.0000592293197393873i</v>
      </c>
      <c r="Y94" s="227" t="str">
        <f t="shared" si="32"/>
        <v>61.4852222449615+3.59330157595653i</v>
      </c>
      <c r="Z94" s="227" t="str">
        <f t="shared" si="33"/>
        <v>32.0189318757959+1.86933822603623i</v>
      </c>
      <c r="AA94" s="227" t="str">
        <f t="shared" si="34"/>
        <v>18.6936598690422-1.55048652383927i</v>
      </c>
      <c r="AB94" s="227">
        <f t="shared" si="44"/>
        <v>25.46366106332124</v>
      </c>
      <c r="AC94" s="227">
        <f t="shared" si="45"/>
        <v>-4.7413646832808176</v>
      </c>
      <c r="AD94" s="229">
        <f t="shared" si="46"/>
        <v>8.0640826469442004</v>
      </c>
      <c r="AE94" s="229">
        <f t="shared" si="47"/>
        <v>96.523460597263906</v>
      </c>
      <c r="AF94" s="227">
        <f t="shared" si="35"/>
        <v>33.52774371026544</v>
      </c>
      <c r="AG94" s="227">
        <f t="shared" si="36"/>
        <v>91.782095913983085</v>
      </c>
      <c r="AH94" s="229" t="str">
        <f t="shared" si="37"/>
        <v>0.287488735725558-2.51410328495812i</v>
      </c>
    </row>
    <row r="95" spans="9:34" x14ac:dyDescent="0.2">
      <c r="I95" s="227">
        <v>91</v>
      </c>
      <c r="J95" s="227">
        <f t="shared" si="25"/>
        <v>1.8872611499372893</v>
      </c>
      <c r="K95" s="227">
        <f t="shared" si="48"/>
        <v>77.136716810370729</v>
      </c>
      <c r="L95" s="227">
        <f t="shared" si="38"/>
        <v>484.66428570699395</v>
      </c>
      <c r="M95" s="227">
        <f t="shared" si="26"/>
        <v>5741.2727585166322</v>
      </c>
      <c r="N95" s="227">
        <f>SQRT((ABS(AC95)-171.5+'Small Signal'!C$59)^2)</f>
        <v>96.651426890847006</v>
      </c>
      <c r="O95" s="227">
        <f t="shared" si="39"/>
        <v>91.810234546532953</v>
      </c>
      <c r="P95" s="227">
        <f t="shared" si="40"/>
        <v>33.33393918724591</v>
      </c>
      <c r="Q95" s="227">
        <f t="shared" si="41"/>
        <v>77.136716810370729</v>
      </c>
      <c r="R95" s="227" t="str">
        <f t="shared" si="27"/>
        <v>0.0945666666666667+0.00227792214282287i</v>
      </c>
      <c r="S95" s="227" t="str">
        <f t="shared" si="28"/>
        <v>0.0085-79.0193820131792i</v>
      </c>
      <c r="T95" s="227" t="str">
        <f t="shared" si="29"/>
        <v>12.7410040776985-2.11072711107287i</v>
      </c>
      <c r="U95" s="227" t="str">
        <f t="shared" si="30"/>
        <v>79.3895708659683-2.12765699791202i</v>
      </c>
      <c r="V95" s="227">
        <f t="shared" si="42"/>
        <v>37.998387293497103</v>
      </c>
      <c r="W95" s="227">
        <f t="shared" si="43"/>
        <v>-1.5351713223204195</v>
      </c>
      <c r="X95" s="227" t="str">
        <f t="shared" si="31"/>
        <v>0.999999957688369-0.0000605740856416187i</v>
      </c>
      <c r="Y95" s="227" t="str">
        <f t="shared" si="32"/>
        <v>61.4902470153997+3.67484737515838i</v>
      </c>
      <c r="Z95" s="227" t="str">
        <f t="shared" si="33"/>
        <v>32.0215535861926+1.91176050040437i</v>
      </c>
      <c r="AA95" s="227" t="str">
        <f t="shared" si="34"/>
        <v>18.6880608364575-1.58523617134143i</v>
      </c>
      <c r="AB95" s="227">
        <f t="shared" si="44"/>
        <v>25.462422444017704</v>
      </c>
      <c r="AC95" s="227">
        <f t="shared" si="45"/>
        <v>-4.8485731091529889</v>
      </c>
      <c r="AD95" s="229">
        <f t="shared" si="46"/>
        <v>7.8715167432282076</v>
      </c>
      <c r="AE95" s="229">
        <f t="shared" si="47"/>
        <v>96.658807655685948</v>
      </c>
      <c r="AF95" s="227">
        <f t="shared" si="35"/>
        <v>33.33393918724591</v>
      </c>
      <c r="AG95" s="227">
        <f t="shared" si="36"/>
        <v>91.810234546532953</v>
      </c>
      <c r="AH95" s="229" t="str">
        <f t="shared" si="37"/>
        <v>0.286993189222073-2.45830791219622i</v>
      </c>
    </row>
    <row r="96" spans="9:34" x14ac:dyDescent="0.2">
      <c r="I96" s="227">
        <v>92</v>
      </c>
      <c r="J96" s="227">
        <f t="shared" si="25"/>
        <v>1.8970112724640729</v>
      </c>
      <c r="K96" s="227">
        <f t="shared" si="48"/>
        <v>78.888059338582948</v>
      </c>
      <c r="L96" s="227">
        <f t="shared" si="38"/>
        <v>495.66829534809574</v>
      </c>
      <c r="M96" s="227">
        <f t="shared" si="26"/>
        <v>5739.481652814954</v>
      </c>
      <c r="N96" s="227">
        <f>SQRT((ABS(AC96)-171.5+'Small Signal'!C$59)^2)</f>
        <v>96.541814949269849</v>
      </c>
      <c r="O96" s="227">
        <f t="shared" si="39"/>
        <v>91.839215437501963</v>
      </c>
      <c r="P96" s="227">
        <f t="shared" si="40"/>
        <v>33.140188254923316</v>
      </c>
      <c r="Q96" s="227">
        <f t="shared" si="41"/>
        <v>78.888059338582948</v>
      </c>
      <c r="R96" s="227" t="str">
        <f t="shared" si="27"/>
        <v>0.0945666666666667+0.00232964098813605i</v>
      </c>
      <c r="S96" s="227" t="str">
        <f t="shared" si="28"/>
        <v>0.0085-77.2651240756276i</v>
      </c>
      <c r="T96" s="227" t="str">
        <f t="shared" si="29"/>
        <v>12.7253839164209-2.15600167638049i</v>
      </c>
      <c r="U96" s="227" t="str">
        <f t="shared" si="30"/>
        <v>79.3890792004814-2.17600084209351i</v>
      </c>
      <c r="V96" s="227">
        <f t="shared" si="42"/>
        <v>37.998476798844969</v>
      </c>
      <c r="W96" s="227">
        <f t="shared" si="43"/>
        <v>-1.5700453772201008</v>
      </c>
      <c r="X96" s="227" t="str">
        <f t="shared" si="31"/>
        <v>0.999999955745238-0.0000619493836407873i</v>
      </c>
      <c r="Y96" s="227" t="str">
        <f t="shared" si="32"/>
        <v>61.4955026905395+3.75824197383698i</v>
      </c>
      <c r="Z96" s="227" t="str">
        <f t="shared" si="33"/>
        <v>32.0242957725221+1.95514455629717i</v>
      </c>
      <c r="AA96" s="227" t="str">
        <f t="shared" si="34"/>
        <v>18.6822080957115-1.62074349609918i</v>
      </c>
      <c r="AB96" s="227">
        <f t="shared" si="44"/>
        <v>25.461127321593562</v>
      </c>
      <c r="AC96" s="227">
        <f t="shared" si="45"/>
        <v>-4.9581850507301448</v>
      </c>
      <c r="AD96" s="229">
        <f t="shared" si="46"/>
        <v>7.6790609333297546</v>
      </c>
      <c r="AE96" s="229">
        <f t="shared" si="47"/>
        <v>96.797400488232114</v>
      </c>
      <c r="AF96" s="227">
        <f t="shared" si="35"/>
        <v>33.140188254923316</v>
      </c>
      <c r="AG96" s="227">
        <f t="shared" si="36"/>
        <v>91.839215437501963</v>
      </c>
      <c r="AH96" s="229" t="str">
        <f t="shared" si="37"/>
        <v>0.28651939827891-2.40375144746626i</v>
      </c>
    </row>
    <row r="97" spans="9:34" x14ac:dyDescent="0.2">
      <c r="I97" s="227">
        <v>93</v>
      </c>
      <c r="J97" s="227">
        <f t="shared" si="25"/>
        <v>1.9067613949908562</v>
      </c>
      <c r="K97" s="227">
        <f t="shared" si="48"/>
        <v>80.67916504026104</v>
      </c>
      <c r="L97" s="227">
        <f t="shared" si="38"/>
        <v>506.92214437648511</v>
      </c>
      <c r="M97" s="227">
        <f t="shared" si="26"/>
        <v>5737.649881140992</v>
      </c>
      <c r="N97" s="227">
        <f>SQRT((ABS(AC97)-171.5+'Small Signal'!C$59)^2)</f>
        <v>96.429747033078684</v>
      </c>
      <c r="O97" s="227">
        <f t="shared" si="39"/>
        <v>91.869048407114974</v>
      </c>
      <c r="P97" s="227">
        <f t="shared" si="40"/>
        <v>32.946493289906371</v>
      </c>
      <c r="Q97" s="227">
        <f t="shared" si="41"/>
        <v>80.67916504026104</v>
      </c>
      <c r="R97" s="227" t="str">
        <f t="shared" si="27"/>
        <v>0.0945666666666667+0.00238253407856948i</v>
      </c>
      <c r="S97" s="227" t="str">
        <f t="shared" si="28"/>
        <v>0.0085-75.5498112782822i</v>
      </c>
      <c r="T97" s="227" t="str">
        <f t="shared" si="29"/>
        <v>12.7090873638689-2.20212676920313i</v>
      </c>
      <c r="U97" s="227" t="str">
        <f t="shared" si="30"/>
        <v>79.3885648509958-2.22544485870853i</v>
      </c>
      <c r="V97" s="227">
        <f t="shared" si="42"/>
        <v>37.998570411933457</v>
      </c>
      <c r="W97" s="227">
        <f t="shared" si="43"/>
        <v>-1.6057125447038392</v>
      </c>
      <c r="X97" s="227" t="str">
        <f t="shared" si="31"/>
        <v>0.99999995371287-0.0000633559069496981i</v>
      </c>
      <c r="Y97" s="227" t="str">
        <f t="shared" si="32"/>
        <v>61.5009998881987+3.84352716271735i</v>
      </c>
      <c r="Z97" s="227" t="str">
        <f t="shared" si="33"/>
        <v>32.0271639746702+1.99951213317744i</v>
      </c>
      <c r="AA97" s="227" t="str">
        <f t="shared" si="34"/>
        <v>18.6760903137333-1.65702355390835i</v>
      </c>
      <c r="AB97" s="227">
        <f t="shared" si="44"/>
        <v>25.459773136599708</v>
      </c>
      <c r="AC97" s="227">
        <f t="shared" si="45"/>
        <v>-5.0702529669213074</v>
      </c>
      <c r="AD97" s="229">
        <f t="shared" si="46"/>
        <v>7.486720153306667</v>
      </c>
      <c r="AE97" s="229">
        <f t="shared" si="47"/>
        <v>96.939301374036276</v>
      </c>
      <c r="AF97" s="227">
        <f t="shared" si="35"/>
        <v>32.946493289906371</v>
      </c>
      <c r="AG97" s="227">
        <f t="shared" si="36"/>
        <v>91.869048407114974</v>
      </c>
      <c r="AH97" s="229" t="str">
        <f t="shared" si="37"/>
        <v>0.28606640763498-2.35040640427084i</v>
      </c>
    </row>
    <row r="98" spans="9:34" x14ac:dyDescent="0.2">
      <c r="I98" s="227">
        <v>94</v>
      </c>
      <c r="J98" s="227">
        <f t="shared" si="25"/>
        <v>1.9165115175176397</v>
      </c>
      <c r="K98" s="227">
        <f t="shared" si="48"/>
        <v>82.510936714222979</v>
      </c>
      <c r="L98" s="227">
        <f t="shared" si="38"/>
        <v>518.43150524443047</v>
      </c>
      <c r="M98" s="227">
        <f t="shared" si="26"/>
        <v>5735.7765201984275</v>
      </c>
      <c r="N98" s="227">
        <f>SQRT((ABS(AC98)-171.5+'Small Signal'!C$59)^2)</f>
        <v>96.315169637121357</v>
      </c>
      <c r="O98" s="227">
        <f t="shared" si="39"/>
        <v>91.899743383301114</v>
      </c>
      <c r="P98" s="227">
        <f t="shared" si="40"/>
        <v>32.752856768147772</v>
      </c>
      <c r="Q98" s="227">
        <f t="shared" si="41"/>
        <v>82.510936714222979</v>
      </c>
      <c r="R98" s="227" t="str">
        <f t="shared" si="27"/>
        <v>0.0945666666666667+0.00243662807464882i</v>
      </c>
      <c r="S98" s="227" t="str">
        <f t="shared" si="28"/>
        <v>0.0085-73.8725790253986i</v>
      </c>
      <c r="T98" s="227" t="str">
        <f t="shared" si="29"/>
        <v>12.6920870330204-2.24911015328922i</v>
      </c>
      <c r="U98" s="227" t="str">
        <f t="shared" si="30"/>
        <v>79.3880267659307-2.27601420440632i</v>
      </c>
      <c r="V98" s="227">
        <f t="shared" si="42"/>
        <v>37.998668321151065</v>
      </c>
      <c r="W98" s="227">
        <f t="shared" si="43"/>
        <v>-1.6421909237819612</v>
      </c>
      <c r="X98" s="227" t="str">
        <f t="shared" si="31"/>
        <v>0.999999951587167-0.0000647943645201342i</v>
      </c>
      <c r="Y98" s="227" t="str">
        <f t="shared" si="32"/>
        <v>61.5067497150954+3.93074566838471i</v>
      </c>
      <c r="Z98" s="227" t="str">
        <f t="shared" si="33"/>
        <v>32.0301639876058+2.0448854572787i</v>
      </c>
      <c r="AA98" s="227" t="str">
        <f t="shared" si="34"/>
        <v>18.6696956664157-1.6940915967441i</v>
      </c>
      <c r="AB98" s="227">
        <f t="shared" si="44"/>
        <v>25.458357215338381</v>
      </c>
      <c r="AC98" s="227">
        <f t="shared" si="45"/>
        <v>-5.1848303628786345</v>
      </c>
      <c r="AD98" s="229">
        <f t="shared" si="46"/>
        <v>7.2944995528093894</v>
      </c>
      <c r="AE98" s="229">
        <f t="shared" si="47"/>
        <v>97.084573746179743</v>
      </c>
      <c r="AF98" s="227">
        <f t="shared" si="35"/>
        <v>32.752856768147772</v>
      </c>
      <c r="AG98" s="227">
        <f t="shared" si="36"/>
        <v>91.899743383301114</v>
      </c>
      <c r="AH98" s="229" t="str">
        <f t="shared" si="37"/>
        <v>0.285633303962389-2.29824590591357i</v>
      </c>
    </row>
    <row r="99" spans="9:34" x14ac:dyDescent="0.2">
      <c r="I99" s="227">
        <v>95</v>
      </c>
      <c r="J99" s="227">
        <f t="shared" si="25"/>
        <v>1.926261640044423</v>
      </c>
      <c r="K99" s="227">
        <f t="shared" si="48"/>
        <v>84.384297656787894</v>
      </c>
      <c r="L99" s="227">
        <f t="shared" si="38"/>
        <v>530.20217919379843</v>
      </c>
      <c r="M99" s="227">
        <f t="shared" si="26"/>
        <v>5733.8606257280553</v>
      </c>
      <c r="N99" s="227">
        <f>SQRT((ABS(AC99)-171.5+'Small Signal'!C$59)^2)</f>
        <v>96.198028196066815</v>
      </c>
      <c r="O99" s="227">
        <f t="shared" si="39"/>
        <v>91.931310385650903</v>
      </c>
      <c r="P99" s="227">
        <f t="shared" si="40"/>
        <v>32.559281268709952</v>
      </c>
      <c r="Q99" s="227">
        <f t="shared" si="41"/>
        <v>84.384297656787894</v>
      </c>
      <c r="R99" s="227" t="str">
        <f t="shared" si="27"/>
        <v>0.0945666666666667+0.00249195024221085i</v>
      </c>
      <c r="S99" s="227" t="str">
        <f t="shared" si="28"/>
        <v>0.0085-72.2325819155621i</v>
      </c>
      <c r="T99" s="227" t="str">
        <f t="shared" si="29"/>
        <v>12.6743546007013-2.29695905574177i</v>
      </c>
      <c r="U99" s="227" t="str">
        <f t="shared" si="30"/>
        <v>79.387463844487-2.32773461938658i</v>
      </c>
      <c r="V99" s="227">
        <f t="shared" si="42"/>
        <v>37.998770723513736</v>
      </c>
      <c r="W99" s="227">
        <f t="shared" si="43"/>
        <v>-1.6794990307953961</v>
      </c>
      <c r="X99" s="227" t="str">
        <f t="shared" si="31"/>
        <v>0.999999949363842-0.0000662654814002i</v>
      </c>
      <c r="Y99" s="227" t="str">
        <f t="shared" si="32"/>
        <v>61.5127637894216+4.01994117361986i</v>
      </c>
      <c r="Z99" s="227" t="str">
        <f t="shared" si="33"/>
        <v>32.0333018731585+2.0912872521778i</v>
      </c>
      <c r="AA99" s="227" t="str">
        <f t="shared" si="34"/>
        <v>18.6630118187608-1.73196306752443i</v>
      </c>
      <c r="AB99" s="227">
        <f t="shared" si="44"/>
        <v>25.456876764920402</v>
      </c>
      <c r="AC99" s="227">
        <f t="shared" si="45"/>
        <v>-5.3019718039331964</v>
      </c>
      <c r="AD99" s="229">
        <f t="shared" si="46"/>
        <v>7.102404503789554</v>
      </c>
      <c r="AE99" s="229">
        <f t="shared" si="47"/>
        <v>97.233282189584102</v>
      </c>
      <c r="AF99" s="227">
        <f t="shared" si="35"/>
        <v>32.559281268709952</v>
      </c>
      <c r="AG99" s="227">
        <f t="shared" si="36"/>
        <v>91.931310385650903</v>
      </c>
      <c r="AH99" s="229" t="str">
        <f t="shared" si="37"/>
        <v>0.285219214025561-2.24724367200486i</v>
      </c>
    </row>
    <row r="100" spans="9:34" x14ac:dyDescent="0.2">
      <c r="I100" s="227">
        <v>96</v>
      </c>
      <c r="J100" s="227">
        <f t="shared" si="25"/>
        <v>1.9360117625712063</v>
      </c>
      <c r="K100" s="227">
        <f t="shared" si="48"/>
        <v>86.300192127160031</v>
      </c>
      <c r="L100" s="227">
        <f t="shared" si="38"/>
        <v>542.24009918014735</v>
      </c>
      <c r="M100" s="227">
        <f t="shared" si="26"/>
        <v>5731.901232031837</v>
      </c>
      <c r="N100" s="227">
        <f>SQRT((ABS(AC100)-171.5+'Small Signal'!C$59)^2)</f>
        <v>96.078267070805168</v>
      </c>
      <c r="O100" s="227">
        <f t="shared" si="39"/>
        <v>91.963759508109803</v>
      </c>
      <c r="P100" s="227">
        <f t="shared" si="40"/>
        <v>32.365769477629399</v>
      </c>
      <c r="Q100" s="227">
        <f t="shared" si="41"/>
        <v>86.300192127160031</v>
      </c>
      <c r="R100" s="227" t="str">
        <f t="shared" si="27"/>
        <v>0.0945666666666667+0.00254852846614669i</v>
      </c>
      <c r="S100" s="227" t="str">
        <f t="shared" si="28"/>
        <v>0.0085-70.6289933155644i</v>
      </c>
      <c r="T100" s="227" t="str">
        <f t="shared" si="29"/>
        <v>12.655860791572-2.34568011523133i</v>
      </c>
      <c r="U100" s="227" t="str">
        <f t="shared" si="30"/>
        <v>79.3868749343013-2.38063244151023i</v>
      </c>
      <c r="V100" s="227">
        <f t="shared" si="42"/>
        <v>37.998877825058912</v>
      </c>
      <c r="W100" s="227">
        <f t="shared" si="43"/>
        <v>-1.7176558093374066</v>
      </c>
      <c r="X100" s="227" t="str">
        <f t="shared" si="31"/>
        <v>0.999999947038413-0.0000677699990997791i</v>
      </c>
      <c r="Y100" s="227" t="str">
        <f t="shared" si="32"/>
        <v>61.519054264465+4.11115833813194i</v>
      </c>
      <c r="Z100" s="227" t="str">
        <f t="shared" si="33"/>
        <v>32.0365839723432+2.13874074957392i</v>
      </c>
      <c r="AA100" s="227" t="str">
        <f t="shared" si="34"/>
        <v>18.6560259043578-1.77065359413269i</v>
      </c>
      <c r="AB100" s="227">
        <f t="shared" si="44"/>
        <v>25.455328868123374</v>
      </c>
      <c r="AC100" s="227">
        <f t="shared" si="45"/>
        <v>-5.421732929194822</v>
      </c>
      <c r="AD100" s="229">
        <f t="shared" si="46"/>
        <v>6.9104406095060238</v>
      </c>
      <c r="AE100" s="229">
        <f t="shared" si="47"/>
        <v>97.38549243730462</v>
      </c>
      <c r="AF100" s="227">
        <f t="shared" si="35"/>
        <v>32.365769477629399</v>
      </c>
      <c r="AG100" s="227">
        <f t="shared" si="36"/>
        <v>91.963759508109803</v>
      </c>
      <c r="AH100" s="229" t="str">
        <f t="shared" si="37"/>
        <v>0.284823302921147-2.19737400526475i</v>
      </c>
    </row>
    <row r="101" spans="9:34" x14ac:dyDescent="0.2">
      <c r="I101" s="227">
        <v>97</v>
      </c>
      <c r="J101" s="227">
        <f t="shared" si="25"/>
        <v>1.9457618850979896</v>
      </c>
      <c r="K101" s="227">
        <f t="shared" si="48"/>
        <v>88.259585823377776</v>
      </c>
      <c r="L101" s="227">
        <f t="shared" si="38"/>
        <v>554.5513328632029</v>
      </c>
      <c r="M101" s="227">
        <f t="shared" si="26"/>
        <v>5729.8973514861455</v>
      </c>
      <c r="N101" s="227">
        <f>SQRT((ABS(AC101)-171.5+'Small Signal'!C$59)^2)</f>
        <v>95.955829535233619</v>
      </c>
      <c r="O101" s="227">
        <f t="shared" si="39"/>
        <v>91.997100900325563</v>
      </c>
      <c r="P101" s="227">
        <f t="shared" si="40"/>
        <v>32.172324191878182</v>
      </c>
      <c r="Q101" s="227">
        <f t="shared" si="41"/>
        <v>88.259585823377776</v>
      </c>
      <c r="R101" s="227" t="str">
        <f t="shared" si="27"/>
        <v>0.0945666666666667+0.00260639126445705i</v>
      </c>
      <c r="S101" s="227" t="str">
        <f t="shared" si="28"/>
        <v>0.0085-69.0610049437439i</v>
      </c>
      <c r="T101" s="227" t="str">
        <f t="shared" si="29"/>
        <v>12.6365753634838-2.39527932734042i</v>
      </c>
      <c r="U101" s="227" t="str">
        <f t="shared" si="30"/>
        <v>79.3862588289801-2.43473462079015i</v>
      </c>
      <c r="V101" s="227">
        <f t="shared" si="42"/>
        <v>37.998989841257078</v>
      </c>
      <c r="W101" s="227">
        <f t="shared" si="43"/>
        <v>-1.7566806404316244</v>
      </c>
      <c r="X101" s="227" t="str">
        <f t="shared" si="31"/>
        <v>0.99999994460619-0.0000693086759642886i</v>
      </c>
      <c r="Y101" s="227" t="str">
        <f t="shared" si="32"/>
        <v>61.5256338533231+4.20444281969257i</v>
      </c>
      <c r="Z101" s="227" t="str">
        <f t="shared" si="33"/>
        <v>32.0400169182538+2.18726970027583i</v>
      </c>
      <c r="AA101" s="227" t="str">
        <f t="shared" si="34"/>
        <v>18.6487245041848-1.81017898264504i</v>
      </c>
      <c r="AB101" s="227">
        <f t="shared" si="44"/>
        <v>25.453710478044744</v>
      </c>
      <c r="AC101" s="227">
        <f t="shared" si="45"/>
        <v>-5.5441704647663892</v>
      </c>
      <c r="AD101" s="229">
        <f t="shared" si="46"/>
        <v>6.7186137138334381</v>
      </c>
      <c r="AE101" s="229">
        <f t="shared" si="47"/>
        <v>97.541271365091959</v>
      </c>
      <c r="AF101" s="227">
        <f t="shared" si="35"/>
        <v>32.172324191878182</v>
      </c>
      <c r="AG101" s="227">
        <f t="shared" si="36"/>
        <v>91.997100900325563</v>
      </c>
      <c r="AH101" s="229" t="str">
        <f t="shared" si="37"/>
        <v>0.284444772395162-2.1486117786164i</v>
      </c>
    </row>
    <row r="102" spans="9:34" x14ac:dyDescent="0.2">
      <c r="I102" s="227">
        <v>98</v>
      </c>
      <c r="J102" s="227">
        <f t="shared" si="25"/>
        <v>1.9555120076247732</v>
      </c>
      <c r="K102" s="227">
        <f t="shared" si="48"/>
        <v>90.263466369070059</v>
      </c>
      <c r="L102" s="227">
        <f t="shared" si="38"/>
        <v>567.14208566523973</v>
      </c>
      <c r="M102" s="227">
        <f t="shared" si="26"/>
        <v>5727.8479740439516</v>
      </c>
      <c r="N102" s="227">
        <f>SQRT((ABS(AC102)-171.5+'Small Signal'!C$59)^2)</f>
        <v>95.830657763480957</v>
      </c>
      <c r="O102" s="227">
        <f t="shared" si="39"/>
        <v>92.031344747563466</v>
      </c>
      <c r="P102" s="227">
        <f t="shared" si="40"/>
        <v>31.978948323419949</v>
      </c>
      <c r="Q102" s="227">
        <f t="shared" si="41"/>
        <v>90.263466369070059</v>
      </c>
      <c r="R102" s="227" t="str">
        <f t="shared" si="27"/>
        <v>0.0945666666666667+0.00266556780262663i</v>
      </c>
      <c r="S102" s="227" t="str">
        <f t="shared" si="28"/>
        <v>0.0085-67.5278264625755i</v>
      </c>
      <c r="T102" s="227" t="str">
        <f t="shared" si="29"/>
        <v>12.616467094409-2.44576198696274i</v>
      </c>
      <c r="U102" s="227" t="str">
        <f t="shared" si="30"/>
        <v>79.3856142655169-2.49006873427551i</v>
      </c>
      <c r="V102" s="227">
        <f t="shared" si="42"/>
        <v>37.999106997442539</v>
      </c>
      <c r="W102" s="227">
        <f t="shared" si="43"/>
        <v>-1.796593352974786</v>
      </c>
      <c r="X102" s="227" t="str">
        <f t="shared" si="31"/>
        <v>0.999999942062269-0.0000708822875569202i</v>
      </c>
      <c r="Y102" s="227" t="str">
        <f t="shared" si="32"/>
        <v>61.5325158547747+4.29984129567543i</v>
      </c>
      <c r="Z102" s="227" t="str">
        <f t="shared" si="33"/>
        <v>32.0436076495618+2.2368983853996i</v>
      </c>
      <c r="AA102" s="227" t="str">
        <f t="shared" si="34"/>
        <v>18.641093624724-1.85055520970518i</v>
      </c>
      <c r="AB102" s="227">
        <f t="shared" si="44"/>
        <v>25.452018412541587</v>
      </c>
      <c r="AC102" s="227">
        <f t="shared" si="45"/>
        <v>-5.6693422365190491</v>
      </c>
      <c r="AD102" s="229">
        <f t="shared" si="46"/>
        <v>6.5269299108783621</v>
      </c>
      <c r="AE102" s="229">
        <f t="shared" si="47"/>
        <v>97.700686984082509</v>
      </c>
      <c r="AF102" s="227">
        <f t="shared" si="35"/>
        <v>31.978948323419949</v>
      </c>
      <c r="AG102" s="227">
        <f t="shared" si="36"/>
        <v>92.031344747563466</v>
      </c>
      <c r="AH102" s="229" t="str">
        <f t="shared" si="37"/>
        <v>0.284082859233965-2.10093242256408i</v>
      </c>
    </row>
    <row r="103" spans="9:34" x14ac:dyDescent="0.2">
      <c r="I103" s="227">
        <v>99</v>
      </c>
      <c r="J103" s="227">
        <f t="shared" si="25"/>
        <v>1.9652621301515567</v>
      </c>
      <c r="K103" s="227">
        <f t="shared" si="48"/>
        <v>92.312843811263079</v>
      </c>
      <c r="L103" s="227">
        <f t="shared" si="38"/>
        <v>580.01870389889223</v>
      </c>
      <c r="M103" s="227">
        <f t="shared" si="26"/>
        <v>5725.7520667257249</v>
      </c>
      <c r="N103" s="227">
        <f>SQRT((ABS(AC103)-171.5+'Small Signal'!C$59)^2)</f>
        <v>95.702692817627451</v>
      </c>
      <c r="O103" s="227">
        <f t="shared" si="39"/>
        <v>92.066501249098167</v>
      </c>
      <c r="P103" s="227">
        <f t="shared" si="40"/>
        <v>31.785644903357614</v>
      </c>
      <c r="Q103" s="227">
        <f t="shared" si="41"/>
        <v>92.312843811263079</v>
      </c>
      <c r="R103" s="227" t="str">
        <f t="shared" si="27"/>
        <v>0.0945666666666667+0.00272608790832479i</v>
      </c>
      <c r="S103" s="227" t="str">
        <f t="shared" si="28"/>
        <v>0.0085-66.0286850803032i</v>
      </c>
      <c r="T103" s="227" t="str">
        <f t="shared" si="29"/>
        <v>12.5955037711673-2.49713262768763i</v>
      </c>
      <c r="U103" s="227" t="str">
        <f t="shared" si="30"/>
        <v>79.3849399215776-2.54666300134188i</v>
      </c>
      <c r="V103" s="227">
        <f t="shared" si="42"/>
        <v>37.999229529263346</v>
      </c>
      <c r="W103" s="227">
        <f t="shared" si="43"/>
        <v>-1.8374142344518294</v>
      </c>
      <c r="X103" s="227" t="str">
        <f t="shared" si="31"/>
        <v>0.999999939401521-0.0000724916270495587i</v>
      </c>
      <c r="Y103" s="227" t="str">
        <f t="shared" si="32"/>
        <v>61.5397141803464+4.39740148500575i</v>
      </c>
      <c r="Z103" s="227" t="str">
        <f t="shared" si="33"/>
        <v>32.047363424638+2.28765162777897i</v>
      </c>
      <c r="AA103" s="227" t="str">
        <f t="shared" si="34"/>
        <v>18.6331186753862-1.89179841398636i</v>
      </c>
      <c r="AB103" s="227">
        <f t="shared" si="44"/>
        <v>25.450249348451376</v>
      </c>
      <c r="AC103" s="227">
        <f t="shared" si="45"/>
        <v>-5.7973071823725562</v>
      </c>
      <c r="AD103" s="229">
        <f t="shared" si="46"/>
        <v>6.3353955549062366</v>
      </c>
      <c r="AE103" s="229">
        <f t="shared" si="47"/>
        <v>97.863808431470716</v>
      </c>
      <c r="AF103" s="227">
        <f t="shared" si="35"/>
        <v>31.785644903357614</v>
      </c>
      <c r="AG103" s="227">
        <f t="shared" si="36"/>
        <v>92.066501249098167</v>
      </c>
      <c r="AH103" s="229" t="str">
        <f t="shared" si="37"/>
        <v>0.283736833725842-2.05431191284932i</v>
      </c>
    </row>
    <row r="104" spans="9:34" x14ac:dyDescent="0.2">
      <c r="I104" s="227">
        <v>100</v>
      </c>
      <c r="J104" s="227">
        <f t="shared" si="25"/>
        <v>1.97501225267834</v>
      </c>
      <c r="K104" s="227">
        <f t="shared" si="48"/>
        <v>94.408751129490213</v>
      </c>
      <c r="L104" s="227">
        <f t="shared" si="38"/>
        <v>593.18767796598706</v>
      </c>
      <c r="M104" s="227">
        <f t="shared" si="26"/>
        <v>5723.6085730987543</v>
      </c>
      <c r="N104" s="227">
        <f>SQRT((ABS(AC104)-171.5+'Small Signal'!C$59)^2)</f>
        <v>95.571874635981061</v>
      </c>
      <c r="O104" s="227">
        <f t="shared" si="39"/>
        <v>92.102580594989576</v>
      </c>
      <c r="P104" s="227">
        <f t="shared" si="40"/>
        <v>31.592417086169952</v>
      </c>
      <c r="Q104" s="227">
        <f t="shared" si="41"/>
        <v>94.408751129490213</v>
      </c>
      <c r="R104" s="227" t="str">
        <f t="shared" si="27"/>
        <v>0.0945666666666667+0.00278798208644014i</v>
      </c>
      <c r="S104" s="227" t="str">
        <f t="shared" si="28"/>
        <v>0.0085-64.5628251614179i</v>
      </c>
      <c r="T104" s="227" t="str">
        <f t="shared" si="29"/>
        <v>12.5736521801857-2.54939495810883i</v>
      </c>
      <c r="U104" s="227" t="str">
        <f t="shared" si="30"/>
        <v>79.384234412651-2.60454629940222i</v>
      </c>
      <c r="V104" s="227">
        <f t="shared" si="42"/>
        <v>37.999357683151629</v>
      </c>
      <c r="W104" s="227">
        <f t="shared" si="43"/>
        <v>-1.8791640419327675</v>
      </c>
      <c r="X104" s="227" t="str">
        <f t="shared" si="31"/>
        <v>0.999999936618579-0.0000741375056225772i</v>
      </c>
      <c r="Y104" s="227" t="str">
        <f t="shared" si="32"/>
        <v>61.547243382643+4.49717217052265i</v>
      </c>
      <c r="Z104" s="227" t="str">
        <f t="shared" si="33"/>
        <v>32.0512918363325+2.33955480358999i</v>
      </c>
      <c r="AA104" s="227" t="str">
        <f t="shared" si="34"/>
        <v>18.6247844452413-1.93392488667658i</v>
      </c>
      <c r="AB104" s="227">
        <f t="shared" si="44"/>
        <v>25.448399815587198</v>
      </c>
      <c r="AC104" s="227">
        <f t="shared" si="45"/>
        <v>-5.9281253640189435</v>
      </c>
      <c r="AD104" s="229">
        <f t="shared" si="46"/>
        <v>6.1440172705827525</v>
      </c>
      <c r="AE104" s="229">
        <f t="shared" si="47"/>
        <v>98.030705959008515</v>
      </c>
      <c r="AF104" s="227">
        <f t="shared" si="35"/>
        <v>31.592417086169952</v>
      </c>
      <c r="AG104" s="227">
        <f t="shared" si="36"/>
        <v>92.102580594989576</v>
      </c>
      <c r="AH104" s="229" t="str">
        <f t="shared" si="37"/>
        <v>0.283405998190105-2.00872675837927i</v>
      </c>
    </row>
    <row r="105" spans="9:34" x14ac:dyDescent="0.2">
      <c r="I105" s="227">
        <v>101</v>
      </c>
      <c r="J105" s="227">
        <f t="shared" si="25"/>
        <v>1.9847623752051233</v>
      </c>
      <c r="K105" s="227">
        <f t="shared" si="48"/>
        <v>96.552244756460979</v>
      </c>
      <c r="L105" s="227">
        <f t="shared" si="38"/>
        <v>606.65564562900283</v>
      </c>
      <c r="M105" s="227">
        <f t="shared" si="26"/>
        <v>5721.4164127446647</v>
      </c>
      <c r="N105" s="227">
        <f>SQRT((ABS(AC105)-171.5+'Small Signal'!C$59)^2)</f>
        <v>95.438142021976063</v>
      </c>
      <c r="O105" s="227">
        <f t="shared" si="39"/>
        <v>92.139592941143377</v>
      </c>
      <c r="P105" s="227">
        <f t="shared" si="40"/>
        <v>31.399268154031386</v>
      </c>
      <c r="Q105" s="227">
        <f t="shared" si="41"/>
        <v>96.552244756460979</v>
      </c>
      <c r="R105" s="227" t="str">
        <f t="shared" si="27"/>
        <v>0.0945666666666667+0.00285128153445631i</v>
      </c>
      <c r="S105" s="227" t="str">
        <f t="shared" si="28"/>
        <v>0.0085-63.1295078457846i</v>
      </c>
      <c r="T105" s="227" t="str">
        <f t="shared" si="29"/>
        <v>12.5508781005464-2.60255179500639i</v>
      </c>
      <c r="U105" s="227" t="str">
        <f t="shared" si="30"/>
        <v>79.3834962890552-2.66374818005233i</v>
      </c>
      <c r="V105" s="227">
        <f t="shared" si="42"/>
        <v>37.999491716815172</v>
      </c>
      <c r="W105" s="227">
        <f t="shared" si="43"/>
        <v>-1.9218640133596929</v>
      </c>
      <c r="X105" s="227" t="str">
        <f t="shared" si="31"/>
        <v>0.999999933707833-0.000075820752873709i</v>
      </c>
      <c r="Y105" s="227" t="str">
        <f t="shared" si="32"/>
        <v>61.5551186849933+4.59920322175755i</v>
      </c>
      <c r="Z105" s="227" t="str">
        <f t="shared" si="33"/>
        <v>32.0554008274431+2.39263385419136i</v>
      </c>
      <c r="AA105" s="227" t="str">
        <f t="shared" si="34"/>
        <v>18.6160750790493-1.97695106091905i</v>
      </c>
      <c r="AB105" s="227">
        <f t="shared" si="44"/>
        <v>25.446466190499166</v>
      </c>
      <c r="AC105" s="227">
        <f t="shared" si="45"/>
        <v>-6.0618579780239346</v>
      </c>
      <c r="AD105" s="229">
        <f t="shared" si="46"/>
        <v>5.9528019635322202</v>
      </c>
      <c r="AE105" s="229">
        <f t="shared" si="47"/>
        <v>98.201450919167314</v>
      </c>
      <c r="AF105" s="227">
        <f t="shared" si="35"/>
        <v>31.399268154031386</v>
      </c>
      <c r="AG105" s="227">
        <f t="shared" si="36"/>
        <v>92.139592941143377</v>
      </c>
      <c r="AH105" s="229" t="str">
        <f t="shared" si="37"/>
        <v>0.283089685570718-1.96415398942138i</v>
      </c>
    </row>
    <row r="106" spans="9:34" x14ac:dyDescent="0.2">
      <c r="I106" s="227">
        <v>102</v>
      </c>
      <c r="J106" s="227">
        <f t="shared" si="25"/>
        <v>1.9945124977319069</v>
      </c>
      <c r="K106" s="227">
        <f t="shared" si="48"/>
        <v>98.744405110550744</v>
      </c>
      <c r="L106" s="227">
        <f t="shared" si="38"/>
        <v>620.42939535680125</v>
      </c>
      <c r="M106" s="227">
        <f t="shared" si="26"/>
        <v>5719.1744807148343</v>
      </c>
      <c r="N106" s="227">
        <f>SQRT((ABS(AC106)-171.5+'Small Signal'!C$59)^2)</f>
        <v>95.301432633761522</v>
      </c>
      <c r="O106" s="227">
        <f t="shared" si="39"/>
        <v>92.177548382553582</v>
      </c>
      <c r="P106" s="227">
        <f t="shared" si="40"/>
        <v>31.206201521211433</v>
      </c>
      <c r="Q106" s="227">
        <f t="shared" si="41"/>
        <v>98.744405110550744</v>
      </c>
      <c r="R106" s="227" t="str">
        <f t="shared" si="27"/>
        <v>0.0945666666666667+0.00291601815817697i</v>
      </c>
      <c r="S106" s="227" t="str">
        <f t="shared" si="28"/>
        <v>0.0085-61.7280106762204i</v>
      </c>
      <c r="T106" s="227" t="str">
        <f t="shared" si="29"/>
        <v>12.5271462995963-2.65660499336293i</v>
      </c>
      <c r="U106" s="227" t="str">
        <f t="shared" si="30"/>
        <v>79.3827240328001-2.72429888566746i</v>
      </c>
      <c r="V106" s="227">
        <f t="shared" si="42"/>
        <v>37.999631899751776</v>
      </c>
      <c r="W106" s="227">
        <f t="shared" si="43"/>
        <v>-1.9655358791341702</v>
      </c>
      <c r="X106" s="227" t="str">
        <f t="shared" si="31"/>
        <v>0.999999930663413-0.0000775422172362024i</v>
      </c>
      <c r="Y106" s="227" t="str">
        <f t="shared" si="32"/>
        <v>61.5633560124811+4.70354561813271i</v>
      </c>
      <c r="Z106" s="227" t="str">
        <f t="shared" si="33"/>
        <v>32.0596987069044+2.44691529818277i</v>
      </c>
      <c r="AA106" s="227" t="str">
        <f t="shared" si="34"/>
        <v>18.606974052596-2.0208935001379i</v>
      </c>
      <c r="AB106" s="227">
        <f t="shared" si="44"/>
        <v>25.444444689996875</v>
      </c>
      <c r="AC106" s="227">
        <f t="shared" si="45"/>
        <v>-6.1985673662384766</v>
      </c>
      <c r="AD106" s="229">
        <f t="shared" si="46"/>
        <v>5.7617568312145568</v>
      </c>
      <c r="AE106" s="229">
        <f t="shared" si="47"/>
        <v>98.37611574879206</v>
      </c>
      <c r="AF106" s="227">
        <f t="shared" si="35"/>
        <v>31.206201521211433</v>
      </c>
      <c r="AG106" s="227">
        <f t="shared" si="36"/>
        <v>92.177548382553582</v>
      </c>
      <c r="AH106" s="229" t="str">
        <f t="shared" si="37"/>
        <v>0.282787258091655-1.92057114605858i</v>
      </c>
    </row>
    <row r="107" spans="9:34" x14ac:dyDescent="0.2">
      <c r="I107" s="227">
        <v>103</v>
      </c>
      <c r="J107" s="227">
        <f t="shared" si="25"/>
        <v>2.0042626202586904</v>
      </c>
      <c r="K107" s="227">
        <f t="shared" si="48"/>
        <v>100.98633714038108</v>
      </c>
      <c r="L107" s="227">
        <f t="shared" si="38"/>
        <v>634.51586974632653</v>
      </c>
      <c r="M107" s="227">
        <f t="shared" si="26"/>
        <v>5716.8816469734511</v>
      </c>
      <c r="N107" s="227">
        <f>SQRT((ABS(AC107)-171.5+'Small Signal'!C$59)^2)</f>
        <v>95.161682974557408</v>
      </c>
      <c r="O107" s="227">
        <f t="shared" si="39"/>
        <v>92.216456924623316</v>
      </c>
      <c r="P107" s="227">
        <f t="shared" si="40"/>
        <v>31.01322073854594</v>
      </c>
      <c r="Q107" s="227">
        <f t="shared" si="41"/>
        <v>100.98633714038108</v>
      </c>
      <c r="R107" s="227" t="str">
        <f t="shared" si="27"/>
        <v>0.0945666666666667+0.00298222458780773i</v>
      </c>
      <c r="S107" s="227" t="str">
        <f t="shared" si="28"/>
        <v>0.0085-60.357627234346i</v>
      </c>
      <c r="T107" s="227" t="str">
        <f t="shared" si="29"/>
        <v>12.5024205314079-2.71155537318884i</v>
      </c>
      <c r="U107" s="227" t="str">
        <f t="shared" si="30"/>
        <v>79.3819160542812-2.78622936646405i</v>
      </c>
      <c r="V107" s="227">
        <f t="shared" si="42"/>
        <v>37.999778513785834</v>
      </c>
      <c r="W107" s="227">
        <f t="shared" si="43"/>
        <v>-2.0102018740137968</v>
      </c>
      <c r="X107" s="227" t="str">
        <f t="shared" si="31"/>
        <v>0.99999992747918-0.0000793027664064695i</v>
      </c>
      <c r="Y107" s="227" t="str">
        <f t="shared" si="32"/>
        <v>61.5719720244159+4.81025147258014i</v>
      </c>
      <c r="Z107" s="227" t="str">
        <f t="shared" si="33"/>
        <v>32.0641941667289+2.50242624368119i</v>
      </c>
      <c r="AA107" s="227" t="str">
        <f t="shared" si="34"/>
        <v>18.5974641473336-2.06576888517288i</v>
      </c>
      <c r="AB107" s="227">
        <f t="shared" si="44"/>
        <v>25.442331364424774</v>
      </c>
      <c r="AC107" s="227">
        <f t="shared" si="45"/>
        <v>-6.3383170254425885</v>
      </c>
      <c r="AD107" s="229">
        <f t="shared" si="46"/>
        <v>5.5708893741211671</v>
      </c>
      <c r="AE107" s="229">
        <f t="shared" si="47"/>
        <v>98.554773950065908</v>
      </c>
      <c r="AF107" s="227">
        <f t="shared" si="35"/>
        <v>31.01322073854594</v>
      </c>
      <c r="AG107" s="227">
        <f t="shared" si="36"/>
        <v>92.216456924623316</v>
      </c>
      <c r="AH107" s="229" t="str">
        <f t="shared" si="37"/>
        <v>0.282498105971252-1.87795626689921i</v>
      </c>
    </row>
    <row r="108" spans="9:34" x14ac:dyDescent="0.2">
      <c r="I108" s="227">
        <v>104</v>
      </c>
      <c r="J108" s="227">
        <f t="shared" si="25"/>
        <v>2.0140127427854737</v>
      </c>
      <c r="K108" s="227">
        <f t="shared" si="48"/>
        <v>103.27917088176403</v>
      </c>
      <c r="L108" s="227">
        <f t="shared" si="38"/>
        <v>648.92216902198948</v>
      </c>
      <c r="M108" s="227">
        <f t="shared" si="26"/>
        <v>5714.5367558279231</v>
      </c>
      <c r="N108" s="227">
        <f>SQRT((ABS(AC108)-171.5+'Small Signal'!C$59)^2)</f>
        <v>95.018828383854299</v>
      </c>
      <c r="O108" s="227">
        <f t="shared" si="39"/>
        <v>92.256328452450191</v>
      </c>
      <c r="P108" s="227">
        <f t="shared" si="40"/>
        <v>30.820329497974171</v>
      </c>
      <c r="Q108" s="227">
        <f t="shared" si="41"/>
        <v>103.27917088176403</v>
      </c>
      <c r="R108" s="227" t="str">
        <f t="shared" si="27"/>
        <v>0.0945666666666667+0.00304993419440335i</v>
      </c>
      <c r="S108" s="227" t="str">
        <f t="shared" si="28"/>
        <v>0.0085-59.0176667845166i</v>
      </c>
      <c r="T108" s="227" t="str">
        <f t="shared" si="29"/>
        <v>12.4766635384001-2.76740264314732i</v>
      </c>
      <c r="U108" s="227" t="str">
        <f t="shared" si="30"/>
        <v>79.3810706888172-2.84957129804584i</v>
      </c>
      <c r="V108" s="227">
        <f t="shared" si="42"/>
        <v>37.999931853630315</v>
      </c>
      <c r="W108" s="227">
        <f t="shared" si="43"/>
        <v>-2.0558847493294938</v>
      </c>
      <c r="X108" s="227" t="str">
        <f t="shared" si="31"/>
        <v>0.999999924148714-0.0000811032877814453i</v>
      </c>
      <c r="Y108" s="227" t="str">
        <f t="shared" si="32"/>
        <v>61.5809841483254+4.91937405558538i</v>
      </c>
      <c r="Z108" s="227" t="str">
        <f t="shared" si="33"/>
        <v>32.0688962997419+2.55919440081735i</v>
      </c>
      <c r="AA108" s="227" t="str">
        <f t="shared" si="34"/>
        <v>18.5875274243331-2.11159400014559i</v>
      </c>
      <c r="AB108" s="227">
        <f t="shared" si="44"/>
        <v>25.44012209068423</v>
      </c>
      <c r="AC108" s="227">
        <f t="shared" si="45"/>
        <v>-6.4811716161457138</v>
      </c>
      <c r="AD108" s="229">
        <f t="shared" si="46"/>
        <v>5.3802074072899417</v>
      </c>
      <c r="AE108" s="229">
        <f t="shared" si="47"/>
        <v>98.737500068595907</v>
      </c>
      <c r="AF108" s="227">
        <f t="shared" si="35"/>
        <v>30.820329497974171</v>
      </c>
      <c r="AG108" s="227">
        <f t="shared" si="36"/>
        <v>92.256328452450191</v>
      </c>
      <c r="AH108" s="229" t="str">
        <f t="shared" si="37"/>
        <v>0.282221646192974-1.83628787803627i</v>
      </c>
    </row>
    <row r="109" spans="9:34" x14ac:dyDescent="0.2">
      <c r="I109" s="227">
        <v>105</v>
      </c>
      <c r="J109" s="227">
        <f t="shared" si="25"/>
        <v>2.023762865312257</v>
      </c>
      <c r="K109" s="227">
        <f t="shared" si="48"/>
        <v>105.6240620272918</v>
      </c>
      <c r="L109" s="227">
        <f t="shared" si="38"/>
        <v>663.65555461450515</v>
      </c>
      <c r="M109" s="227">
        <f t="shared" si="26"/>
        <v>5712.138625346357</v>
      </c>
      <c r="N109" s="227">
        <f>SQRT((ABS(AC109)-171.5+'Small Signal'!C$59)^2)</f>
        <v>94.872803029544457</v>
      </c>
      <c r="O109" s="227">
        <f t="shared" si="39"/>
        <v>92.297172697965522</v>
      </c>
      <c r="P109" s="227">
        <f t="shared" si="40"/>
        <v>30.627531637133092</v>
      </c>
      <c r="Q109" s="227">
        <f t="shared" si="41"/>
        <v>105.6240620272918</v>
      </c>
      <c r="R109" s="227" t="str">
        <f t="shared" si="27"/>
        <v>0.0945666666666667+0.00311918110668817i</v>
      </c>
      <c r="S109" s="227" t="str">
        <f t="shared" si="28"/>
        <v>0.0085-57.707453925661i</v>
      </c>
      <c r="T109" s="227" t="str">
        <f t="shared" si="29"/>
        <v>12.4498370564462-2.82414532098782i</v>
      </c>
      <c r="U109" s="227" t="str">
        <f t="shared" si="30"/>
        <v>79.380186193002-2.91435709944959i</v>
      </c>
      <c r="V109" s="227">
        <f t="shared" si="42"/>
        <v>38.000092227473047</v>
      </c>
      <c r="W109" s="227">
        <f t="shared" si="43"/>
        <v>-2.1026077855330705</v>
      </c>
      <c r="X109" s="227" t="str">
        <f t="shared" si="31"/>
        <v>0.999999920665298-0.0000829446889058755i</v>
      </c>
      <c r="Y109" s="227" t="str">
        <f t="shared" si="32"/>
        <v>61.5904106155279+5.03096781965539i</v>
      </c>
      <c r="Z109" s="227" t="str">
        <f t="shared" si="33"/>
        <v>32.0738146181407+2.61724809445211i</v>
      </c>
      <c r="AA109" s="227" t="str">
        <f t="shared" si="34"/>
        <v>18.5771451975576-2.15838571697337i</v>
      </c>
      <c r="AB109" s="227">
        <f t="shared" si="44"/>
        <v>25.437812564995241</v>
      </c>
      <c r="AC109" s="227">
        <f t="shared" si="45"/>
        <v>-6.6271969704555467</v>
      </c>
      <c r="AD109" s="229">
        <f t="shared" si="46"/>
        <v>5.1897190721378506</v>
      </c>
      <c r="AE109" s="229">
        <f t="shared" si="47"/>
        <v>98.924369668421065</v>
      </c>
      <c r="AF109" s="227">
        <f t="shared" si="35"/>
        <v>30.627531637133092</v>
      </c>
      <c r="AG109" s="227">
        <f t="shared" si="36"/>
        <v>92.297172697965522</v>
      </c>
      <c r="AH109" s="229" t="str">
        <f t="shared" si="37"/>
        <v>0.28195732133013-1.79554498225057i</v>
      </c>
    </row>
    <row r="110" spans="9:34" x14ac:dyDescent="0.2">
      <c r="I110" s="227">
        <v>106</v>
      </c>
      <c r="J110" s="227">
        <f t="shared" si="25"/>
        <v>2.0335129878390403</v>
      </c>
      <c r="K110" s="227">
        <f t="shared" si="48"/>
        <v>108.0221925088584</v>
      </c>
      <c r="L110" s="227">
        <f t="shared" si="38"/>
        <v>678.72345282098388</v>
      </c>
      <c r="M110" s="227">
        <f t="shared" si="26"/>
        <v>5709.686046761808</v>
      </c>
      <c r="N110" s="227">
        <f>SQRT((ABS(AC110)-171.5+'Small Signal'!C$59)^2)</f>
        <v>94.723539901071689</v>
      </c>
      <c r="O110" s="227">
        <f t="shared" si="39"/>
        <v>92.338999204806498</v>
      </c>
      <c r="P110" s="227">
        <f t="shared" si="40"/>
        <v>30.434831143998963</v>
      </c>
      <c r="Q110" s="227">
        <f t="shared" si="41"/>
        <v>108.0221925088584</v>
      </c>
      <c r="R110" s="227" t="str">
        <f t="shared" si="27"/>
        <v>0.0945666666666667+0.00319000022825862i</v>
      </c>
      <c r="S110" s="227" t="str">
        <f t="shared" si="28"/>
        <v>0.0085-56.4263282508476i</v>
      </c>
      <c r="T110" s="227" t="str">
        <f t="shared" si="29"/>
        <v>12.4219018238137-2.88178065081757i</v>
      </c>
      <c r="U110" s="227" t="str">
        <f t="shared" si="30"/>
        <v>79.3792607408796-2.98061995171082i</v>
      </c>
      <c r="V110" s="227">
        <f t="shared" si="42"/>
        <v>38.000259957590387</v>
      </c>
      <c r="W110" s="227">
        <f t="shared" si="43"/>
        <v>-2.1503948050872723</v>
      </c>
      <c r="X110" s="227" t="str">
        <f t="shared" si="31"/>
        <v>0.999999917021909-0.000084827897929761i</v>
      </c>
      <c r="Y110" s="227" t="str">
        <f t="shared" si="32"/>
        <v>61.6002704983721+5.14508842421358i</v>
      </c>
      <c r="Z110" s="227" t="str">
        <f t="shared" si="33"/>
        <v>32.0789590729237+2.67661627711413i</v>
      </c>
      <c r="AA110" s="227" t="str">
        <f t="shared" si="34"/>
        <v>18.5662980064697-2.20616097844509i</v>
      </c>
      <c r="AB110" s="227">
        <f t="shared" si="44"/>
        <v>25.435398295391479</v>
      </c>
      <c r="AC110" s="227">
        <f t="shared" si="45"/>
        <v>-6.7764600989283155</v>
      </c>
      <c r="AD110" s="229">
        <f t="shared" si="46"/>
        <v>4.9994328486074826</v>
      </c>
      <c r="AE110" s="229">
        <f t="shared" si="47"/>
        <v>99.115459303734809</v>
      </c>
      <c r="AF110" s="227">
        <f t="shared" si="35"/>
        <v>30.434831143998963</v>
      </c>
      <c r="AG110" s="227">
        <f t="shared" si="36"/>
        <v>92.338999204806498</v>
      </c>
      <c r="AH110" s="229" t="str">
        <f t="shared" si="37"/>
        <v>0.281704598422145-1.75570704845228i</v>
      </c>
    </row>
    <row r="111" spans="9:34" x14ac:dyDescent="0.2">
      <c r="I111" s="227">
        <v>107</v>
      </c>
      <c r="J111" s="227">
        <f t="shared" si="25"/>
        <v>2.0432631103658236</v>
      </c>
      <c r="K111" s="227">
        <f t="shared" si="48"/>
        <v>110.4747710934067</v>
      </c>
      <c r="L111" s="227">
        <f t="shared" si="38"/>
        <v>694.1334585481211</v>
      </c>
      <c r="M111" s="227">
        <f t="shared" si="26"/>
        <v>5707.1777838630123</v>
      </c>
      <c r="N111" s="227">
        <f>SQRT((ABS(AC111)-171.5+'Small Signal'!C$59)^2)</f>
        <v>94.570970803698629</v>
      </c>
      <c r="O111" s="227">
        <f t="shared" si="39"/>
        <v>92.381817290803525</v>
      </c>
      <c r="P111" s="227">
        <f t="shared" si="40"/>
        <v>30.242232161566402</v>
      </c>
      <c r="Q111" s="227">
        <f t="shared" si="41"/>
        <v>110.4747710934067</v>
      </c>
      <c r="R111" s="227" t="str">
        <f t="shared" si="27"/>
        <v>0.0945666666666667+0.00326242725517617i</v>
      </c>
      <c r="S111" s="227" t="str">
        <f t="shared" si="28"/>
        <v>0.0085-55.1736440144105i</v>
      </c>
      <c r="T111" s="227" t="str">
        <f t="shared" si="29"/>
        <v>12.3928175942985-2.94030451726349i</v>
      </c>
      <c r="U111" s="227" t="str">
        <f t="shared" si="30"/>
        <v>79.3782924199155-3.04839381696746i</v>
      </c>
      <c r="V111" s="227">
        <f t="shared" si="42"/>
        <v>38.000435380987774</v>
      </c>
      <c r="W111" s="227">
        <f t="shared" si="43"/>
        <v>-2.1992701857094343</v>
      </c>
      <c r="X111" s="227" t="str">
        <f t="shared" si="31"/>
        <v>0.9999999132112-0.0000867538640761871i</v>
      </c>
      <c r="Y111" s="227" t="str">
        <f t="shared" si="32"/>
        <v>61.6105837492106+5.26179276091977i</v>
      </c>
      <c r="Z111" s="227" t="str">
        <f t="shared" si="33"/>
        <v>32.0843400742236+2.73732854215766i</v>
      </c>
      <c r="AA111" s="227" t="str">
        <f t="shared" si="34"/>
        <v>18.5549655879908-2.25493677976688i</v>
      </c>
      <c r="AB111" s="227">
        <f t="shared" si="44"/>
        <v>25.432874593942302</v>
      </c>
      <c r="AC111" s="227">
        <f t="shared" si="45"/>
        <v>-6.9290291963013857</v>
      </c>
      <c r="AD111" s="229">
        <f t="shared" si="46"/>
        <v>4.8093575676241009</v>
      </c>
      <c r="AE111" s="229">
        <f t="shared" si="47"/>
        <v>99.310846487104911</v>
      </c>
      <c r="AF111" s="227">
        <f t="shared" si="35"/>
        <v>30.242232161566402</v>
      </c>
      <c r="AG111" s="227">
        <f t="shared" si="36"/>
        <v>92.381817290803525</v>
      </c>
      <c r="AH111" s="229" t="str">
        <f t="shared" si="37"/>
        <v>0.281462967900161-1.71675400135588i</v>
      </c>
    </row>
    <row r="112" spans="9:34" x14ac:dyDescent="0.2">
      <c r="I112" s="227">
        <v>108</v>
      </c>
      <c r="J112" s="227">
        <f t="shared" si="25"/>
        <v>2.0530132328926074</v>
      </c>
      <c r="K112" s="227">
        <f t="shared" si="48"/>
        <v>112.98303399220288</v>
      </c>
      <c r="L112" s="227">
        <f t="shared" si="38"/>
        <v>709.89333914038082</v>
      </c>
      <c r="M112" s="227">
        <f t="shared" si="26"/>
        <v>5704.612572371273</v>
      </c>
      <c r="N112" s="227">
        <f>SQRT((ABS(AC112)-171.5+'Small Signal'!C$59)^2)</f>
        <v>94.41502635399118</v>
      </c>
      <c r="O112" s="227">
        <f t="shared" si="39"/>
        <v>92.425636007954708</v>
      </c>
      <c r="P112" s="227">
        <f t="shared" si="40"/>
        <v>30.04973899255144</v>
      </c>
      <c r="Q112" s="227">
        <f t="shared" si="41"/>
        <v>112.98303399220288</v>
      </c>
      <c r="R112" s="227" t="str">
        <f t="shared" si="27"/>
        <v>0.0945666666666667+0.00333649869395979i</v>
      </c>
      <c r="S112" s="227" t="str">
        <f t="shared" si="28"/>
        <v>0.0085-53.9487698064626i</v>
      </c>
      <c r="T112" s="227" t="str">
        <f t="shared" si="29"/>
        <v>12.3625431549339-2.99971135660334i</v>
      </c>
      <c r="U112" s="227" t="str">
        <f t="shared" si="30"/>
        <v>79.3772792267659-3.11771345812291i</v>
      </c>
      <c r="V112" s="227">
        <f t="shared" si="42"/>
        <v>38.000618850069586</v>
      </c>
      <c r="W112" s="227">
        <f t="shared" si="43"/>
        <v>-2.2492588739815655</v>
      </c>
      <c r="X112" s="227" t="str">
        <f t="shared" si="31"/>
        <v>0.999999909225486-0.0000887235581197758i</v>
      </c>
      <c r="Y112" s="227" t="str">
        <f t="shared" si="32"/>
        <v>61.6213712412019+5.38113897941713i</v>
      </c>
      <c r="Z112" s="227" t="str">
        <f t="shared" si="33"/>
        <v>32.0899685125949+2.79941513714142i</v>
      </c>
      <c r="AA112" s="227" t="str">
        <f t="shared" si="34"/>
        <v>18.5431268478326-2.30473014848329i</v>
      </c>
      <c r="AB112" s="227">
        <f t="shared" si="44"/>
        <v>25.430236568694816</v>
      </c>
      <c r="AC112" s="227">
        <f t="shared" si="45"/>
        <v>-7.0849736460088231</v>
      </c>
      <c r="AD112" s="229">
        <f t="shared" si="46"/>
        <v>4.6195024238566234</v>
      </c>
      <c r="AE112" s="229">
        <f t="shared" si="47"/>
        <v>99.510609653963527</v>
      </c>
      <c r="AF112" s="227">
        <f t="shared" si="35"/>
        <v>30.04973899255144</v>
      </c>
      <c r="AG112" s="227">
        <f t="shared" si="36"/>
        <v>92.425636007954708</v>
      </c>
      <c r="AH112" s="229" t="str">
        <f t="shared" si="37"/>
        <v>0.281231942559768-1.67866621138328i</v>
      </c>
    </row>
    <row r="113" spans="9:34" x14ac:dyDescent="0.2">
      <c r="I113" s="227">
        <v>109</v>
      </c>
      <c r="J113" s="227">
        <f t="shared" si="25"/>
        <v>2.0627633554193903</v>
      </c>
      <c r="K113" s="227">
        <f t="shared" si="48"/>
        <v>115.54824548394181</v>
      </c>
      <c r="L113" s="227">
        <f t="shared" si="38"/>
        <v>726.01103829508315</v>
      </c>
      <c r="M113" s="227">
        <f t="shared" si="26"/>
        <v>5701.9891193032117</v>
      </c>
      <c r="N113" s="227">
        <f>SQRT((ABS(AC113)-171.5+'Small Signal'!C$59)^2)</f>
        <v>94.255635976630487</v>
      </c>
      <c r="O113" s="227">
        <f t="shared" si="39"/>
        <v>92.470464099761884</v>
      </c>
      <c r="P113" s="227">
        <f t="shared" si="40"/>
        <v>29.8573561041059</v>
      </c>
      <c r="Q113" s="227">
        <f t="shared" si="41"/>
        <v>115.54824548394181</v>
      </c>
      <c r="R113" s="227" t="str">
        <f t="shared" si="27"/>
        <v>0.0945666666666667+0.00341225187998689i</v>
      </c>
      <c r="S113" s="227" t="str">
        <f t="shared" si="28"/>
        <v>0.0085-52.7510882346385i</v>
      </c>
      <c r="T113" s="227" t="str">
        <f t="shared" si="29"/>
        <v>12.3310363486722-3.05999406497289i</v>
      </c>
      <c r="U113" s="227" t="str">
        <f t="shared" si="30"/>
        <v>79.3762190628267-3.18861445908853i</v>
      </c>
      <c r="V113" s="227">
        <f t="shared" si="42"/>
        <v>38.000810733338959</v>
      </c>
      <c r="W113" s="227">
        <f t="shared" si="43"/>
        <v>-2.3003863993389966</v>
      </c>
      <c r="X113" s="227" t="str">
        <f t="shared" si="31"/>
        <v>0.999999905056732-0.0000907379728759995i</v>
      </c>
      <c r="Y113" s="227" t="str">
        <f t="shared" si="32"/>
        <v>61.6326548110203+5.50318651350333i</v>
      </c>
      <c r="Z113" s="227" t="str">
        <f t="shared" si="33"/>
        <v>32.0958557812966+2.86290697742715i</v>
      </c>
      <c r="AA113" s="227" t="str">
        <f t="shared" si="34"/>
        <v>18.5307598312293-2.35555812267388i</v>
      </c>
      <c r="AB113" s="227">
        <f t="shared" si="44"/>
        <v>25.42747911533074</v>
      </c>
      <c r="AC113" s="227">
        <f t="shared" si="45"/>
        <v>-7.244364023369501</v>
      </c>
      <c r="AD113" s="229">
        <f t="shared" si="46"/>
        <v>4.4298769887751606</v>
      </c>
      <c r="AE113" s="229">
        <f t="shared" si="47"/>
        <v>99.714828123131383</v>
      </c>
      <c r="AF113" s="227">
        <f t="shared" si="35"/>
        <v>29.8573561041059</v>
      </c>
      <c r="AG113" s="227">
        <f t="shared" si="36"/>
        <v>92.470464099761884</v>
      </c>
      <c r="AH113" s="229" t="str">
        <f t="shared" si="37"/>
        <v>0.281011056578807-1.6414244847902i</v>
      </c>
    </row>
    <row r="114" spans="9:34" x14ac:dyDescent="0.2">
      <c r="I114" s="227">
        <v>110</v>
      </c>
      <c r="J114" s="227">
        <f t="shared" si="25"/>
        <v>2.072513477946174</v>
      </c>
      <c r="K114" s="227">
        <f t="shared" si="48"/>
        <v>118.17169855200297</v>
      </c>
      <c r="L114" s="227">
        <f t="shared" si="38"/>
        <v>742.49468006640018</v>
      </c>
      <c r="M114" s="227">
        <f t="shared" si="26"/>
        <v>5699.3061023190439</v>
      </c>
      <c r="N114" s="227">
        <f>SQRT((ABS(AC114)-171.5+'Small Signal'!C$59)^2)</f>
        <v>94.092727902665672</v>
      </c>
      <c r="O114" s="227">
        <f t="shared" si="39"/>
        <v>92.516309955797453</v>
      </c>
      <c r="P114" s="227">
        <f t="shared" si="40"/>
        <v>29.665088132526726</v>
      </c>
      <c r="Q114" s="227">
        <f t="shared" si="41"/>
        <v>118.17169855200297</v>
      </c>
      <c r="R114" s="227" t="str">
        <f t="shared" si="27"/>
        <v>0.0945666666666667+0.00348972499631208i</v>
      </c>
      <c r="S114" s="227" t="str">
        <f t="shared" si="28"/>
        <v>0.0085-51.5799956128986i</v>
      </c>
      <c r="T114" s="227" t="str">
        <f t="shared" si="29"/>
        <v>12.2982541024487-3.12114390378886i</v>
      </c>
      <c r="U114" s="227" t="str">
        <f t="shared" si="30"/>
        <v>79.3751097295519-3.2611332456297i</v>
      </c>
      <c r="V114" s="227">
        <f t="shared" si="42"/>
        <v>38.001011416129124</v>
      </c>
      <c r="W114" s="227">
        <f t="shared" si="43"/>
        <v>-2.3526788884522585</v>
      </c>
      <c r="X114" s="227" t="str">
        <f t="shared" si="31"/>
        <v>0.999999900696531-0.0000927981237016065i</v>
      </c>
      <c r="Y114" s="227" t="str">
        <f t="shared" si="32"/>
        <v>61.6444573035663+5.62799610772428i</v>
      </c>
      <c r="Z114" s="227" t="str">
        <f t="shared" si="33"/>
        <v>32.1020137996185+2.92783565999676i</v>
      </c>
      <c r="AA114" s="227" t="str">
        <f t="shared" si="34"/>
        <v>18.5178416931019-2.40743772732182i</v>
      </c>
      <c r="AB114" s="227">
        <f t="shared" si="44"/>
        <v>25.424596908531747</v>
      </c>
      <c r="AC114" s="227">
        <f t="shared" si="45"/>
        <v>-7.4072720973343218</v>
      </c>
      <c r="AD114" s="229">
        <f t="shared" si="46"/>
        <v>4.2404912239949812</v>
      </c>
      <c r="AE114" s="229">
        <f t="shared" si="47"/>
        <v>99.923582053131781</v>
      </c>
      <c r="AF114" s="227">
        <f t="shared" si="35"/>
        <v>29.665088132526726</v>
      </c>
      <c r="AG114" s="227">
        <f t="shared" si="36"/>
        <v>92.516309955797453</v>
      </c>
      <c r="AH114" s="229" t="str">
        <f t="shared" si="37"/>
        <v>0.28079986457829-1.60501005401084i</v>
      </c>
    </row>
    <row r="115" spans="9:34" x14ac:dyDescent="0.2">
      <c r="I115" s="227">
        <v>111</v>
      </c>
      <c r="J115" s="227">
        <f t="shared" si="25"/>
        <v>2.0822636004729578</v>
      </c>
      <c r="K115" s="227">
        <f t="shared" si="48"/>
        <v>120.85471553617126</v>
      </c>
      <c r="L115" s="227">
        <f t="shared" si="38"/>
        <v>759.35257296023974</v>
      </c>
      <c r="M115" s="227">
        <f t="shared" si="26"/>
        <v>5696.5621690560583</v>
      </c>
      <c r="N115" s="227">
        <f>SQRT((ABS(AC115)-171.5+'Small Signal'!C$59)^2)</f>
        <v>93.92622916933081</v>
      </c>
      <c r="O115" s="227">
        <f t="shared" si="39"/>
        <v>92.563181563369028</v>
      </c>
      <c r="P115" s="227">
        <f t="shared" si="40"/>
        <v>29.472939887943806</v>
      </c>
      <c r="Q115" s="227">
        <f t="shared" si="41"/>
        <v>120.85471553617126</v>
      </c>
      <c r="R115" s="227" t="str">
        <f t="shared" si="27"/>
        <v>0.0945666666666667+0.00356895709291313i</v>
      </c>
      <c r="S115" s="227" t="str">
        <f t="shared" si="28"/>
        <v>0.0085-50.4349016572449i</v>
      </c>
      <c r="T115" s="227" t="str">
        <f t="shared" si="29"/>
        <v>12.2641524610575-3.1831504025613i</v>
      </c>
      <c r="U115" s="227" t="str">
        <f t="shared" si="30"/>
        <v>79.3739489235281-3.33530710683723i</v>
      </c>
      <c r="V115" s="227">
        <f t="shared" si="42"/>
        <v>38.001221301367465</v>
      </c>
      <c r="W115" s="227">
        <f t="shared" si="43"/>
        <v>-2.4061630800150802</v>
      </c>
      <c r="X115" s="227" t="str">
        <f t="shared" si="31"/>
        <v>0.999999896136091-0.0000949050490064061i</v>
      </c>
      <c r="Y115" s="227" t="str">
        <f t="shared" si="32"/>
        <v>61.6568026187738+5.75562984438758i</v>
      </c>
      <c r="Z115" s="227" t="str">
        <f t="shared" si="33"/>
        <v>32.1084550373015+2.99423347748666i</v>
      </c>
      <c r="AA115" s="227" t="str">
        <f t="shared" si="34"/>
        <v>18.5043486676942-2.460385948746i</v>
      </c>
      <c r="AB115" s="227">
        <f t="shared" si="44"/>
        <v>25.421584393048381</v>
      </c>
      <c r="AC115" s="227">
        <f t="shared" si="45"/>
        <v>-7.5737708306691962</v>
      </c>
      <c r="AD115" s="229">
        <f t="shared" si="46"/>
        <v>4.051355494895426</v>
      </c>
      <c r="AE115" s="229">
        <f t="shared" si="47"/>
        <v>100.13695239403822</v>
      </c>
      <c r="AF115" s="227">
        <f t="shared" si="35"/>
        <v>29.472939887943806</v>
      </c>
      <c r="AG115" s="227">
        <f t="shared" si="36"/>
        <v>92.563181563369028</v>
      </c>
      <c r="AH115" s="229" t="str">
        <f t="shared" si="37"/>
        <v>0.280597940724503-1.56940456821615i</v>
      </c>
    </row>
    <row r="116" spans="9:34" x14ac:dyDescent="0.2">
      <c r="I116" s="227">
        <v>112</v>
      </c>
      <c r="J116" s="227">
        <f t="shared" si="25"/>
        <v>2.0920137229997406</v>
      </c>
      <c r="K116" s="227">
        <f t="shared" si="48"/>
        <v>123.59864879915676</v>
      </c>
      <c r="L116" s="227">
        <f t="shared" si="38"/>
        <v>776.59321412211159</v>
      </c>
      <c r="M116" s="227">
        <f t="shared" si="26"/>
        <v>5693.7559364469662</v>
      </c>
      <c r="N116" s="227">
        <f>SQRT((ABS(AC116)-171.5+'Small Signal'!C$59)^2)</f>
        <v>93.756065621553688</v>
      </c>
      <c r="O116" s="227">
        <f t="shared" si="39"/>
        <v>92.61108645614668</v>
      </c>
      <c r="P116" s="227">
        <f t="shared" si="40"/>
        <v>29.280916358966692</v>
      </c>
      <c r="Q116" s="227">
        <f t="shared" si="41"/>
        <v>123.59864879915676</v>
      </c>
      <c r="R116" s="227" t="str">
        <f t="shared" si="27"/>
        <v>0.0945666666666667+0.00364998810637392i</v>
      </c>
      <c r="S116" s="227" t="str">
        <f t="shared" si="28"/>
        <v>0.0085-49.3152291881905i</v>
      </c>
      <c r="T116" s="227" t="str">
        <f t="shared" si="29"/>
        <v>12.2286866272758-3.24600125930826i</v>
      </c>
      <c r="U116" s="227" t="str">
        <f t="shared" si="30"/>
        <v>79.3727342312911-3.41117421725026i</v>
      </c>
      <c r="V116" s="227">
        <f t="shared" si="42"/>
        <v>38.001440810373957</v>
      </c>
      <c r="W116" s="227">
        <f t="shared" si="43"/>
        <v>-2.4608663399543316</v>
      </c>
      <c r="X116" s="227" t="str">
        <f t="shared" si="31"/>
        <v>0.999999891366215-0.000097059810776674i</v>
      </c>
      <c r="Y116" s="227" t="str">
        <f t="shared" si="32"/>
        <v>61.6697157606159+5.8861511709921i</v>
      </c>
      <c r="Z116" s="227" t="str">
        <f t="shared" si="33"/>
        <v>32.1151925401047+3.06213343243719i</v>
      </c>
      <c r="AA116" s="227" t="str">
        <f t="shared" si="34"/>
        <v>18.4902560377247-2.51441970698462i</v>
      </c>
      <c r="AB116" s="227">
        <f t="shared" si="44"/>
        <v>25.41843577446711</v>
      </c>
      <c r="AC116" s="227">
        <f t="shared" si="45"/>
        <v>-7.7439343784463022</v>
      </c>
      <c r="AD116" s="229">
        <f t="shared" si="46"/>
        <v>3.8624805844995844</v>
      </c>
      <c r="AE116" s="229">
        <f t="shared" si="47"/>
        <v>100.35502083459298</v>
      </c>
      <c r="AF116" s="227">
        <f t="shared" si="35"/>
        <v>29.280916358966692</v>
      </c>
      <c r="AG116" s="227">
        <f t="shared" si="36"/>
        <v>92.61108645614668</v>
      </c>
      <c r="AH116" s="229" t="str">
        <f t="shared" si="37"/>
        <v>0.280404877870515-1.53459008408101i</v>
      </c>
    </row>
    <row r="117" spans="9:34" x14ac:dyDescent="0.2">
      <c r="I117" s="227">
        <v>113</v>
      </c>
      <c r="J117" s="227">
        <f t="shared" si="25"/>
        <v>2.1017638455265244</v>
      </c>
      <c r="K117" s="227">
        <f t="shared" si="48"/>
        <v>126.40488140824849</v>
      </c>
      <c r="L117" s="227">
        <f t="shared" si="38"/>
        <v>794.22529362008493</v>
      </c>
      <c r="M117" s="227">
        <f t="shared" si="26"/>
        <v>5690.8859900227744</v>
      </c>
      <c r="N117" s="227">
        <f>SQRT((ABS(AC117)-171.5+'Small Signal'!C$59)^2)</f>
        <v>93.582161915294876</v>
      </c>
      <c r="O117" s="227">
        <f t="shared" si="39"/>
        <v>92.66003165961979</v>
      </c>
      <c r="P117" s="227">
        <f t="shared" si="40"/>
        <v>29.089022717268751</v>
      </c>
      <c r="Q117" s="227">
        <f t="shared" si="41"/>
        <v>126.40488140824849</v>
      </c>
      <c r="R117" s="227" t="str">
        <f t="shared" si="27"/>
        <v>0.0945666666666667+0.0037328588800144i</v>
      </c>
      <c r="S117" s="227" t="str">
        <f t="shared" si="28"/>
        <v>0.0085-48.2204138398357i</v>
      </c>
      <c r="T117" s="227" t="str">
        <f t="shared" si="29"/>
        <v>12.1918110086879-3.30968223882674i</v>
      </c>
      <c r="U117" s="227" t="str">
        <f t="shared" si="30"/>
        <v>79.3714631238689-3.48877365965584i</v>
      </c>
      <c r="V117" s="227">
        <f t="shared" si="42"/>
        <v>38.001670383695171</v>
      </c>
      <c r="W117" s="227">
        <f t="shared" si="43"/>
        <v>-2.516816677076871</v>
      </c>
      <c r="X117" s="227" t="str">
        <f t="shared" si="31"/>
        <v>0.999999886377287-0.0000992634951104435i</v>
      </c>
      <c r="Y117" s="227" t="str">
        <f t="shared" si="32"/>
        <v>61.6832228884093+6.01962492806716i</v>
      </c>
      <c r="Z117" s="227" t="str">
        <f t="shared" si="33"/>
        <v>32.1222399565716+3.13156925175378i</v>
      </c>
      <c r="AA117" s="227" t="str">
        <f t="shared" si="34"/>
        <v>18.4755381031084-2.56955582601312i</v>
      </c>
      <c r="AB117" s="227">
        <f t="shared" si="44"/>
        <v>25.415145009671431</v>
      </c>
      <c r="AC117" s="227">
        <f t="shared" si="45"/>
        <v>-7.9178380847051235</v>
      </c>
      <c r="AD117" s="229">
        <f t="shared" si="46"/>
        <v>3.6738777075973217</v>
      </c>
      <c r="AE117" s="229">
        <f t="shared" si="47"/>
        <v>100.57786974432491</v>
      </c>
      <c r="AF117" s="227">
        <f t="shared" si="35"/>
        <v>29.089022717268751</v>
      </c>
      <c r="AG117" s="227">
        <f t="shared" si="36"/>
        <v>92.66003165961979</v>
      </c>
      <c r="AH117" s="229" t="str">
        <f t="shared" si="37"/>
        <v>0.280220286735348-1.50054905675563i</v>
      </c>
    </row>
    <row r="118" spans="9:34" x14ac:dyDescent="0.2">
      <c r="I118" s="227">
        <v>114</v>
      </c>
      <c r="J118" s="227">
        <f t="shared" si="25"/>
        <v>2.1115139680533073</v>
      </c>
      <c r="K118" s="227">
        <f t="shared" si="48"/>
        <v>129.27482783244093</v>
      </c>
      <c r="L118" s="227">
        <f t="shared" si="38"/>
        <v>812.25769882496354</v>
      </c>
      <c r="M118" s="227">
        <f t="shared" si="26"/>
        <v>5687.9508831998219</v>
      </c>
      <c r="N118" s="227">
        <f>SQRT((ABS(AC118)-171.5+'Small Signal'!C$59)^2)</f>
        <v>93.404441522858633</v>
      </c>
      <c r="O118" s="227">
        <f t="shared" si="39"/>
        <v>92.710023633243651</v>
      </c>
      <c r="P118" s="227">
        <f t="shared" si="40"/>
        <v>28.897264322086222</v>
      </c>
      <c r="Q118" s="227">
        <f t="shared" si="41"/>
        <v>129.27482783244093</v>
      </c>
      <c r="R118" s="227" t="str">
        <f t="shared" si="27"/>
        <v>0.0945666666666667+0.00381761118447733i</v>
      </c>
      <c r="S118" s="227" t="str">
        <f t="shared" si="28"/>
        <v>0.0085-47.1499037754007i</v>
      </c>
      <c r="T118" s="227" t="str">
        <f t="shared" si="29"/>
        <v>12.1534792716648-3.3741770691195i</v>
      </c>
      <c r="U118" s="227" t="str">
        <f t="shared" si="30"/>
        <v>79.3701329510375-3.56814544859298i</v>
      </c>
      <c r="V118" s="227">
        <f t="shared" si="42"/>
        <v>38.001910481975813</v>
      </c>
      <c r="W118" s="227">
        <f t="shared" si="43"/>
        <v>-2.5740427591698434</v>
      </c>
      <c r="X118" s="227" t="str">
        <f t="shared" si="31"/>
        <v>0.999999881159245-0.000101517212764946i</v>
      </c>
      <c r="Y118" s="227" t="str">
        <f t="shared" si="32"/>
        <v>61.6973513705341+6.15611737741752i</v>
      </c>
      <c r="Z118" s="227" t="str">
        <f t="shared" si="33"/>
        <v>32.1296115660567+3.20257540137761i</v>
      </c>
      <c r="AA118" s="227" t="str">
        <f t="shared" si="34"/>
        <v>18.460168149309-2.62581100167643i</v>
      </c>
      <c r="AB118" s="227">
        <f t="shared" si="44"/>
        <v>25.411705796993157</v>
      </c>
      <c r="AC118" s="227">
        <f t="shared" si="45"/>
        <v>-8.0955584771413545</v>
      </c>
      <c r="AD118" s="229">
        <f t="shared" si="46"/>
        <v>3.485558525093067</v>
      </c>
      <c r="AE118" s="229">
        <f t="shared" si="47"/>
        <v>100.805582110385</v>
      </c>
      <c r="AF118" s="227">
        <f t="shared" si="35"/>
        <v>28.897264322086222</v>
      </c>
      <c r="AG118" s="227">
        <f t="shared" si="36"/>
        <v>92.710023633243651</v>
      </c>
      <c r="AH118" s="229" t="str">
        <f t="shared" si="37"/>
        <v>0.280043795119159-1.46726433103686i</v>
      </c>
    </row>
    <row r="119" spans="9:34" x14ac:dyDescent="0.2">
      <c r="I119" s="227">
        <v>115</v>
      </c>
      <c r="J119" s="227">
        <f t="shared" si="25"/>
        <v>2.121264090580091</v>
      </c>
      <c r="K119" s="227">
        <f t="shared" si="48"/>
        <v>132.20993465539331</v>
      </c>
      <c r="L119" s="227">
        <f t="shared" si="38"/>
        <v>830.69951888994046</v>
      </c>
      <c r="M119" s="227">
        <f t="shared" si="26"/>
        <v>5684.9491365506437</v>
      </c>
      <c r="N119" s="227">
        <f>SQRT((ABS(AC119)-171.5+'Small Signal'!C$59)^2)</f>
        <v>93.222826740330873</v>
      </c>
      <c r="O119" s="227">
        <f t="shared" si="39"/>
        <v>92.761068209144184</v>
      </c>
      <c r="P119" s="227">
        <f t="shared" si="40"/>
        <v>28.705646724604744</v>
      </c>
      <c r="Q119" s="227">
        <f t="shared" si="41"/>
        <v>132.20993465539331</v>
      </c>
      <c r="R119" s="227" t="str">
        <f t="shared" si="27"/>
        <v>0.0945666666666667+0.00390428773878272i</v>
      </c>
      <c r="S119" s="227" t="str">
        <f t="shared" si="28"/>
        <v>0.0085-46.1031594090758i</v>
      </c>
      <c r="T119" s="227" t="str">
        <f t="shared" si="29"/>
        <v>12.1136444029607-3.43946733632523i</v>
      </c>
      <c r="U119" s="227" t="str">
        <f t="shared" si="30"/>
        <v>79.3687409352731-3.64933055459079i</v>
      </c>
      <c r="V119" s="227">
        <f t="shared" si="42"/>
        <v>38.002161586869271</v>
      </c>
      <c r="W119" s="227">
        <f t="shared" si="43"/>
        <v>-2.6325739295721129</v>
      </c>
      <c r="X119" s="227" t="str">
        <f t="shared" si="31"/>
        <v>0.999999875701569-0.000103822099716485i</v>
      </c>
      <c r="Y119" s="227" t="str">
        <f t="shared" si="32"/>
        <v>61.7121298406857+6.29569623076372i</v>
      </c>
      <c r="Z119" s="227" t="str">
        <f t="shared" si="33"/>
        <v>32.1373223080725+3.27518710116041i</v>
      </c>
      <c r="AA119" s="227" t="str">
        <f t="shared" si="34"/>
        <v>18.4441184153891-2.68320176720974i</v>
      </c>
      <c r="AB119" s="227">
        <f t="shared" si="44"/>
        <v>25.408111566049598</v>
      </c>
      <c r="AC119" s="227">
        <f t="shared" si="45"/>
        <v>-8.2771732596691212</v>
      </c>
      <c r="AD119" s="229">
        <f t="shared" si="46"/>
        <v>3.2975351585551471</v>
      </c>
      <c r="AE119" s="229">
        <f t="shared" si="47"/>
        <v>101.03824146881331</v>
      </c>
      <c r="AF119" s="227">
        <f t="shared" si="35"/>
        <v>28.705646724604744</v>
      </c>
      <c r="AG119" s="227">
        <f t="shared" si="36"/>
        <v>92.761068209144184</v>
      </c>
      <c r="AH119" s="229" t="str">
        <f t="shared" si="37"/>
        <v>0.279875047152876-1.43471913273489i</v>
      </c>
    </row>
    <row r="120" spans="9:34" x14ac:dyDescent="0.2">
      <c r="I120" s="227">
        <v>116</v>
      </c>
      <c r="J120" s="227">
        <f t="shared" si="25"/>
        <v>2.1310142131068743</v>
      </c>
      <c r="K120" s="227">
        <f t="shared" si="48"/>
        <v>135.21168130457164</v>
      </c>
      <c r="L120" s="227">
        <f t="shared" si="38"/>
        <v>849.56004933193333</v>
      </c>
      <c r="M120" s="227">
        <f t="shared" si="26"/>
        <v>5681.8792370582669</v>
      </c>
      <c r="N120" s="227">
        <f>SQRT((ABS(AC120)-171.5+'Small Signal'!C$59)^2)</f>
        <v>93.037238697302172</v>
      </c>
      <c r="O120" s="227">
        <f t="shared" si="39"/>
        <v>92.813170527240914</v>
      </c>
      <c r="P120" s="227">
        <f t="shared" si="40"/>
        <v>28.514175672207735</v>
      </c>
      <c r="Q120" s="227">
        <f t="shared" si="41"/>
        <v>135.21168130457164</v>
      </c>
      <c r="R120" s="227" t="str">
        <f t="shared" si="27"/>
        <v>0.0945666666666667+0.00399293223186009i</v>
      </c>
      <c r="S120" s="227" t="str">
        <f t="shared" si="28"/>
        <v>0.0085-45.0796531340447i</v>
      </c>
      <c r="T120" s="227" t="str">
        <f t="shared" si="29"/>
        <v>12.0722587793919-3.5055323785523i</v>
      </c>
      <c r="U120" s="227" t="str">
        <f t="shared" si="30"/>
        <v>79.3672841653741-3.73237092916895i</v>
      </c>
      <c r="V120" s="227">
        <f t="shared" si="42"/>
        <v>38.002424201988148</v>
      </c>
      <c r="W120" s="227">
        <f t="shared" si="43"/>
        <v>-2.6924402242335774</v>
      </c>
      <c r="X120" s="227" t="str">
        <f t="shared" si="31"/>
        <v>0.999999869993253-0.00010617931773302i</v>
      </c>
      <c r="Y120" s="227" t="str">
        <f t="shared" si="32"/>
        <v>61.7275882567682+6.43843067877105i</v>
      </c>
      <c r="Z120" s="227" t="str">
        <f t="shared" si="33"/>
        <v>32.1453878130146+3.34944033993964i</v>
      </c>
      <c r="AA120" s="227" t="str">
        <f t="shared" si="34"/>
        <v>18.4273600618422-2.74174445622053i</v>
      </c>
      <c r="AB120" s="227">
        <f t="shared" si="44"/>
        <v>25.404355467266392</v>
      </c>
      <c r="AC120" s="227">
        <f t="shared" si="45"/>
        <v>-8.4627613026978263</v>
      </c>
      <c r="AD120" s="229">
        <f t="shared" si="46"/>
        <v>3.1098202049413439</v>
      </c>
      <c r="AE120" s="229">
        <f t="shared" si="47"/>
        <v>101.27593182993874</v>
      </c>
      <c r="AF120" s="227">
        <f t="shared" si="35"/>
        <v>28.514175672207735</v>
      </c>
      <c r="AG120" s="227">
        <f t="shared" si="36"/>
        <v>92.813170527240914</v>
      </c>
      <c r="AH120" s="229" t="str">
        <f t="shared" si="37"/>
        <v>0.279713702580696-1.40289706023114i</v>
      </c>
    </row>
    <row r="121" spans="9:34" x14ac:dyDescent="0.2">
      <c r="I121" s="227">
        <v>117</v>
      </c>
      <c r="J121" s="227">
        <f t="shared" si="25"/>
        <v>2.1407643356336576</v>
      </c>
      <c r="K121" s="227">
        <f t="shared" si="48"/>
        <v>138.28158079694836</v>
      </c>
      <c r="L121" s="227">
        <f t="shared" si="38"/>
        <v>868.84879671695273</v>
      </c>
      <c r="M121" s="227">
        <f t="shared" si="26"/>
        <v>5678.739637353583</v>
      </c>
      <c r="N121" s="227">
        <f>SQRT((ABS(AC121)-171.5+'Small Signal'!C$59)^2)</f>
        <v>92.847597369046753</v>
      </c>
      <c r="O121" s="227">
        <f t="shared" si="39"/>
        <v>92.866334966661825</v>
      </c>
      <c r="P121" s="227">
        <f t="shared" si="40"/>
        <v>28.322857112552967</v>
      </c>
      <c r="Q121" s="227">
        <f t="shared" si="41"/>
        <v>138.28158079694836</v>
      </c>
      <c r="R121" s="227" t="str">
        <f t="shared" si="27"/>
        <v>0.0945666666666667+0.00408358934456968i</v>
      </c>
      <c r="S121" s="227" t="str">
        <f t="shared" si="28"/>
        <v>0.0085-44.0788690565477i</v>
      </c>
      <c r="T121" s="227" t="str">
        <f t="shared" si="29"/>
        <v>12.0292742460543-3.57234917907085i</v>
      </c>
      <c r="U121" s="227" t="str">
        <f t="shared" si="30"/>
        <v>79.3657595897498-3.81730953063555i</v>
      </c>
      <c r="V121" s="227">
        <f t="shared" si="42"/>
        <v>38.002698853898096</v>
      </c>
      <c r="W121" s="227">
        <f t="shared" si="43"/>
        <v>-2.7536723892829729</v>
      </c>
      <c r="X121" s="227" t="str">
        <f t="shared" si="31"/>
        <v>0.999999864022787-0.000108590054959749i</v>
      </c>
      <c r="Y121" s="227" t="str">
        <f t="shared" si="32"/>
        <v>61.7437579625744+6.58439142045453i</v>
      </c>
      <c r="Z121" s="227" t="str">
        <f t="shared" si="33"/>
        <v>32.153824434341+3.42537189080737i</v>
      </c>
      <c r="AA121" s="227" t="str">
        <f t="shared" si="34"/>
        <v>18.4098631382906-2.80145516299854i</v>
      </c>
      <c r="AB121" s="227">
        <f t="shared" si="44"/>
        <v>25.400430361081689</v>
      </c>
      <c r="AC121" s="227">
        <f t="shared" si="45"/>
        <v>-8.6524026309532438</v>
      </c>
      <c r="AD121" s="229">
        <f t="shared" si="46"/>
        <v>2.9224267514712796</v>
      </c>
      <c r="AE121" s="229">
        <f t="shared" si="47"/>
        <v>101.51873759761507</v>
      </c>
      <c r="AF121" s="227">
        <f t="shared" si="35"/>
        <v>28.322857112552967</v>
      </c>
      <c r="AG121" s="227">
        <f t="shared" si="36"/>
        <v>92.866334966661825</v>
      </c>
      <c r="AH121" s="229" t="str">
        <f t="shared" si="37"/>
        <v>0.279559436074126-1.37178207622309i</v>
      </c>
    </row>
    <row r="122" spans="9:34" x14ac:dyDescent="0.2">
      <c r="I122" s="227">
        <v>118</v>
      </c>
      <c r="J122" s="227">
        <f t="shared" si="25"/>
        <v>2.1505144581604414</v>
      </c>
      <c r="K122" s="227">
        <f t="shared" si="48"/>
        <v>141.42118050163216</v>
      </c>
      <c r="L122" s="227">
        <f t="shared" si="38"/>
        <v>888.57548345184739</v>
      </c>
      <c r="M122" s="227">
        <f t="shared" si="26"/>
        <v>5675.5287549354043</v>
      </c>
      <c r="N122" s="227">
        <f>SQRT((ABS(AC122)-171.5+'Small Signal'!C$59)^2)</f>
        <v>92.653821591333497</v>
      </c>
      <c r="O122" s="227">
        <f t="shared" si="39"/>
        <v>92.920565073315373</v>
      </c>
      <c r="P122" s="227">
        <f t="shared" si="40"/>
        <v>28.13169719744463</v>
      </c>
      <c r="Q122" s="227">
        <f t="shared" si="41"/>
        <v>141.42118050163216</v>
      </c>
      <c r="R122" s="227" t="str">
        <f t="shared" si="27"/>
        <v>0.0945666666666667+0.00417630477222368i</v>
      </c>
      <c r="S122" s="227" t="str">
        <f t="shared" si="28"/>
        <v>0.0085-43.1003027358461i</v>
      </c>
      <c r="T122" s="227" t="str">
        <f t="shared" si="29"/>
        <v>11.9846422035362-3.63989225937724i</v>
      </c>
      <c r="U122" s="227" t="str">
        <f t="shared" si="30"/>
        <v>79.3641640093387-3.90419035071331i</v>
      </c>
      <c r="V122" s="227">
        <f t="shared" si="42"/>
        <v>38.002986093154973</v>
      </c>
      <c r="W122" s="227">
        <f t="shared" si="43"/>
        <v>-2.8163018991226632</v>
      </c>
      <c r="X122" s="227" t="str">
        <f t="shared" si="31"/>
        <v>0.999999857778131-0.000111055526517988i</v>
      </c>
      <c r="Y122" s="227" t="str">
        <f t="shared" si="32"/>
        <v>61.760671752379+6.7336506929497i</v>
      </c>
      <c r="Z122" s="227" t="str">
        <f t="shared" si="33"/>
        <v>32.1626492822704+3.5030193265676i</v>
      </c>
      <c r="AA122" s="227" t="str">
        <f t="shared" si="34"/>
        <v>18.3915965511516-2.86234970001908i</v>
      </c>
      <c r="AB122" s="227">
        <f t="shared" si="44"/>
        <v>25.396328806832081</v>
      </c>
      <c r="AC122" s="227">
        <f t="shared" si="45"/>
        <v>-8.8461784086665105</v>
      </c>
      <c r="AD122" s="229">
        <f t="shared" si="46"/>
        <v>2.7353683906125488</v>
      </c>
      <c r="AE122" s="229">
        <f t="shared" si="47"/>
        <v>101.76674348198189</v>
      </c>
      <c r="AF122" s="227">
        <f t="shared" si="35"/>
        <v>28.13169719744463</v>
      </c>
      <c r="AG122" s="227">
        <f t="shared" si="36"/>
        <v>92.920565073315373</v>
      </c>
      <c r="AH122" s="229" t="str">
        <f t="shared" si="37"/>
        <v>0.279411936576055-1.34135849965193i</v>
      </c>
    </row>
    <row r="123" spans="9:34" x14ac:dyDescent="0.2">
      <c r="I123" s="227">
        <v>119</v>
      </c>
      <c r="J123" s="227">
        <f t="shared" si="25"/>
        <v>2.1602645806872247</v>
      </c>
      <c r="K123" s="227">
        <f t="shared" si="48"/>
        <v>144.63206291981118</v>
      </c>
      <c r="L123" s="227">
        <f t="shared" si="38"/>
        <v>908.75005268483108</v>
      </c>
      <c r="M123" s="227">
        <f t="shared" si="26"/>
        <v>5672.2449713728083</v>
      </c>
      <c r="N123" s="227">
        <f>SQRT((ABS(AC123)-171.5+'Small Signal'!C$59)^2)</f>
        <v>92.455829078056752</v>
      </c>
      <c r="O123" s="227">
        <f t="shared" si="39"/>
        <v>92.975863483499026</v>
      </c>
      <c r="P123" s="227">
        <f t="shared" si="40"/>
        <v>27.94070228646607</v>
      </c>
      <c r="Q123" s="227">
        <f t="shared" si="41"/>
        <v>144.63206291981118</v>
      </c>
      <c r="R123" s="227" t="str">
        <f t="shared" si="27"/>
        <v>0.0945666666666667+0.00427112524761871i</v>
      </c>
      <c r="S123" s="227" t="str">
        <f t="shared" si="28"/>
        <v>0.0085-42.1434609299636i</v>
      </c>
      <c r="T123" s="227" t="str">
        <f t="shared" si="29"/>
        <v>11.9383137045615-3.70813357270511i</v>
      </c>
      <c r="U123" s="227" t="str">
        <f t="shared" si="30"/>
        <v>79.3624940701484-3.99305844203207i</v>
      </c>
      <c r="V123" s="227">
        <f t="shared" si="42"/>
        <v>38.003286495388878</v>
      </c>
      <c r="W123" s="227">
        <f t="shared" si="43"/>
        <v>-2.8803609750725716</v>
      </c>
      <c r="X123" s="227" t="str">
        <f t="shared" si="31"/>
        <v>0.999999851246694-0.000113576975117649i</v>
      </c>
      <c r="Y123" s="227" t="str">
        <f t="shared" si="32"/>
        <v>61.7783639385812+6.88628230163236i</v>
      </c>
      <c r="Z123" s="227" t="str">
        <f t="shared" si="33"/>
        <v>32.1718802590716+3.58242103537282i</v>
      </c>
      <c r="AA123" s="227" t="str">
        <f t="shared" si="34"/>
        <v>18.3725280313876-2.92444355250158i</v>
      </c>
      <c r="AB123" s="227">
        <f t="shared" si="44"/>
        <v>25.392043051321721</v>
      </c>
      <c r="AC123" s="227">
        <f t="shared" si="45"/>
        <v>-9.0441709219432482</v>
      </c>
      <c r="AD123" s="229">
        <f t="shared" si="46"/>
        <v>2.5486592351443509</v>
      </c>
      <c r="AE123" s="229">
        <f t="shared" si="47"/>
        <v>102.02003440544227</v>
      </c>
      <c r="AF123" s="227">
        <f t="shared" si="35"/>
        <v>27.94070228646607</v>
      </c>
      <c r="AG123" s="227">
        <f t="shared" si="36"/>
        <v>92.975863483499026</v>
      </c>
      <c r="AH123" s="229" t="str">
        <f t="shared" si="37"/>
        <v>0.279270906673632-1.31161099780912i</v>
      </c>
    </row>
    <row r="124" spans="9:34" x14ac:dyDescent="0.2">
      <c r="I124" s="227">
        <v>120</v>
      </c>
      <c r="J124" s="227">
        <f t="shared" si="25"/>
        <v>2.170014703214008</v>
      </c>
      <c r="K124" s="227">
        <f t="shared" si="48"/>
        <v>147.9158464824072</v>
      </c>
      <c r="L124" s="227">
        <f t="shared" si="38"/>
        <v>929.38267331729219</v>
      </c>
      <c r="M124" s="227">
        <f t="shared" si="26"/>
        <v>5668.8866314893776</v>
      </c>
      <c r="N124" s="227">
        <f>SQRT((ABS(AC124)-171.5+'Small Signal'!C$59)^2)</f>
        <v>92.253536441881892</v>
      </c>
      <c r="O124" s="227">
        <f t="shared" si="39"/>
        <v>93.032231843424427</v>
      </c>
      <c r="P124" s="227">
        <f t="shared" si="40"/>
        <v>27.749878950330327</v>
      </c>
      <c r="Q124" s="227">
        <f t="shared" si="41"/>
        <v>147.9158464824072</v>
      </c>
      <c r="R124" s="227" t="str">
        <f t="shared" si="27"/>
        <v>0.0945666666666667+0.00436809856459127i</v>
      </c>
      <c r="S124" s="227" t="str">
        <f t="shared" si="28"/>
        <v>0.0085-41.2078613470671i</v>
      </c>
      <c r="T124" s="227" t="str">
        <f t="shared" si="29"/>
        <v>11.8902395604872-3.77704239862323i</v>
      </c>
      <c r="U124" s="227" t="str">
        <f t="shared" si="30"/>
        <v>79.3607462553791-4.083959946523i</v>
      </c>
      <c r="V124" s="227">
        <f t="shared" si="42"/>
        <v>38.003600662435218</v>
      </c>
      <c r="W124" s="227">
        <f t="shared" si="43"/>
        <v>-2.9458826045843605</v>
      </c>
      <c r="X124" s="227" t="str">
        <f t="shared" si="31"/>
        <v>0.999999844415306-0.000116155671683621i</v>
      </c>
      <c r="Y124" s="227" t="str">
        <f t="shared" si="32"/>
        <v>61.796870422554+7.04236165057312i</v>
      </c>
      <c r="Z124" s="227" t="str">
        <f t="shared" si="33"/>
        <v>32.1815360960253+3.66361623653256i</v>
      </c>
      <c r="AA124" s="227" t="str">
        <f t="shared" si="34"/>
        <v>18.3526241024597-2.98775182988225i</v>
      </c>
      <c r="AB124" s="227">
        <f t="shared" si="44"/>
        <v>25.387565017073612</v>
      </c>
      <c r="AC124" s="227">
        <f t="shared" si="45"/>
        <v>-9.2464635581181085</v>
      </c>
      <c r="AD124" s="229">
        <f t="shared" si="46"/>
        <v>2.362313933256714</v>
      </c>
      <c r="AE124" s="229">
        <f t="shared" si="47"/>
        <v>102.27869540154254</v>
      </c>
      <c r="AF124" s="227">
        <f t="shared" si="35"/>
        <v>27.749878950330327</v>
      </c>
      <c r="AG124" s="227">
        <f t="shared" si="36"/>
        <v>93.032231843424427</v>
      </c>
      <c r="AH124" s="229" t="str">
        <f t="shared" si="37"/>
        <v>0.279136061998643-1.28252457861779i</v>
      </c>
    </row>
    <row r="125" spans="9:34" x14ac:dyDescent="0.2">
      <c r="I125" s="227">
        <v>121</v>
      </c>
      <c r="J125" s="227">
        <f t="shared" si="25"/>
        <v>2.1797648257407913</v>
      </c>
      <c r="K125" s="227">
        <f t="shared" si="48"/>
        <v>151.27418636583766</v>
      </c>
      <c r="L125" s="227">
        <f t="shared" si="38"/>
        <v>950.48374512937767</v>
      </c>
      <c r="M125" s="227">
        <f t="shared" si="26"/>
        <v>5665.4520425289156</v>
      </c>
      <c r="N125" s="227">
        <f>SQRT((ABS(AC125)-171.5+'Small Signal'!C$59)^2)</f>
        <v>92.046859218111422</v>
      </c>
      <c r="O125" s="227">
        <f t="shared" si="39"/>
        <v>93.089670724549279</v>
      </c>
      <c r="P125" s="227">
        <f t="shared" si="40"/>
        <v>27.559233973908164</v>
      </c>
      <c r="Q125" s="227">
        <f t="shared" si="41"/>
        <v>151.27418636583766</v>
      </c>
      <c r="R125" s="227" t="str">
        <f t="shared" si="27"/>
        <v>0.0945666666666667+0.00446727360210808i</v>
      </c>
      <c r="S125" s="227" t="str">
        <f t="shared" si="28"/>
        <v>0.0085-40.2930324023716i</v>
      </c>
      <c r="T125" s="227" t="str">
        <f t="shared" si="29"/>
        <v>11.8403704580484-3.84658523942455i</v>
      </c>
      <c r="U125" s="227" t="str">
        <f t="shared" si="30"/>
        <v>79.3589168771247-4.17694212475636i</v>
      </c>
      <c r="V125" s="227">
        <f t="shared" si="42"/>
        <v>38.003929223517076</v>
      </c>
      <c r="W125" s="227">
        <f t="shared" si="43"/>
        <v>-3.0129005610500208</v>
      </c>
      <c r="X125" s="227" t="str">
        <f t="shared" si="31"/>
        <v>0.99999983727019-0.000118792915996374i</v>
      </c>
      <c r="Y125" s="227" t="str">
        <f t="shared" si="32"/>
        <v>61.8162287688537+7.2019657733066i</v>
      </c>
      <c r="Z125" s="227" t="str">
        <f t="shared" si="33"/>
        <v>32.1916363921393+3.7466449964831i</v>
      </c>
      <c r="AA125" s="227" t="str">
        <f t="shared" si="34"/>
        <v>18.3318500486299-3.05228921405892i</v>
      </c>
      <c r="AB125" s="227">
        <f t="shared" si="44"/>
        <v>25.382886290268431</v>
      </c>
      <c r="AC125" s="227">
        <f t="shared" si="45"/>
        <v>-9.4531407818885924</v>
      </c>
      <c r="AD125" s="229">
        <f t="shared" si="46"/>
        <v>2.176347683639734</v>
      </c>
      <c r="AE125" s="229">
        <f t="shared" si="47"/>
        <v>102.54281150643787</v>
      </c>
      <c r="AF125" s="227">
        <f t="shared" si="35"/>
        <v>27.559233973908164</v>
      </c>
      <c r="AG125" s="227">
        <f t="shared" si="36"/>
        <v>93.089670724549279</v>
      </c>
      <c r="AH125" s="229" t="str">
        <f t="shared" si="37"/>
        <v>0.279007130654153-1.25408458308518i</v>
      </c>
    </row>
    <row r="126" spans="9:34" x14ac:dyDescent="0.2">
      <c r="I126" s="227">
        <v>122</v>
      </c>
      <c r="J126" s="227">
        <f t="shared" si="25"/>
        <v>2.1895149482675746</v>
      </c>
      <c r="K126" s="227">
        <f t="shared" si="48"/>
        <v>154.70877532629962</v>
      </c>
      <c r="L126" s="227">
        <f t="shared" si="38"/>
        <v>972.06390402195348</v>
      </c>
      <c r="M126" s="227">
        <f t="shared" si="26"/>
        <v>5661.9394733022182</v>
      </c>
      <c r="N126" s="227">
        <f>SQRT((ABS(AC126)-171.5+'Small Signal'!C$59)^2)</f>
        <v>91.835711891983777</v>
      </c>
      <c r="O126" s="227">
        <f t="shared" si="39"/>
        <v>93.148179534614783</v>
      </c>
      <c r="P126" s="227">
        <f t="shared" si="40"/>
        <v>27.368774358886245</v>
      </c>
      <c r="Q126" s="227">
        <f t="shared" si="41"/>
        <v>154.70877532629962</v>
      </c>
      <c r="R126" s="227" t="str">
        <f t="shared" si="27"/>
        <v>0.0945666666666667+0.00456870034890318i</v>
      </c>
      <c r="S126" s="227" t="str">
        <f t="shared" si="28"/>
        <v>0.0085-39.3985129804394i</v>
      </c>
      <c r="T126" s="227" t="str">
        <f t="shared" si="29"/>
        <v>11.788657086713-3.91672571908078i</v>
      </c>
      <c r="U126" s="227" t="str">
        <f t="shared" si="30"/>
        <v>79.3570020676058-4.27205338626304i</v>
      </c>
      <c r="V126" s="227">
        <f t="shared" si="42"/>
        <v>38.004272836478819</v>
      </c>
      <c r="W126" s="227">
        <f t="shared" si="43"/>
        <v>-3.081449424228937</v>
      </c>
      <c r="X126" s="227" t="str">
        <f t="shared" si="31"/>
        <v>0.999999829796941-0.000121490037347108i</v>
      </c>
      <c r="Y126" s="227" t="str">
        <f t="shared" si="32"/>
        <v>61.8364782829503+7.36517336389527i</v>
      </c>
      <c r="Z126" s="227" t="str">
        <f t="shared" si="33"/>
        <v>32.2022016546998+3.83154824490787i</v>
      </c>
      <c r="AA126" s="227" t="str">
        <f t="shared" si="34"/>
        <v>18.3101698837615-3.1180699042645i</v>
      </c>
      <c r="AB126" s="227">
        <f t="shared" si="44"/>
        <v>25.377998108373063</v>
      </c>
      <c r="AC126" s="227">
        <f t="shared" si="45"/>
        <v>-9.6642881080162137</v>
      </c>
      <c r="AD126" s="229">
        <f t="shared" si="46"/>
        <v>1.990776250513183</v>
      </c>
      <c r="AE126" s="229">
        <f t="shared" si="47"/>
        <v>102.81246764263099</v>
      </c>
      <c r="AF126" s="227">
        <f t="shared" si="35"/>
        <v>27.368774358886245</v>
      </c>
      <c r="AG126" s="227">
        <f t="shared" si="36"/>
        <v>93.148179534614783</v>
      </c>
      <c r="AH126" s="229" t="str">
        <f t="shared" si="37"/>
        <v>0.278883852666343-1.22627667792245i</v>
      </c>
    </row>
    <row r="127" spans="9:34" x14ac:dyDescent="0.2">
      <c r="I127" s="227">
        <v>123</v>
      </c>
      <c r="J127" s="227">
        <f t="shared" si="25"/>
        <v>2.1992650707943584</v>
      </c>
      <c r="K127" s="227">
        <f t="shared" si="48"/>
        <v>158.22134455299712</v>
      </c>
      <c r="L127" s="227">
        <f t="shared" si="38"/>
        <v>994.13402737759043</v>
      </c>
      <c r="M127" s="227">
        <f t="shared" si="26"/>
        <v>5658.3471533144775</v>
      </c>
      <c r="N127" s="227">
        <f>SQRT((ABS(AC127)-171.5+'Small Signal'!C$59)^2)</f>
        <v>91.620007929631583</v>
      </c>
      <c r="O127" s="227">
        <f t="shared" si="39"/>
        <v>93.20775642430047</v>
      </c>
      <c r="P127" s="227">
        <f t="shared" si="40"/>
        <v>27.178507326005946</v>
      </c>
      <c r="Q127" s="227">
        <f t="shared" si="41"/>
        <v>158.22134455299712</v>
      </c>
      <c r="R127" s="227" t="str">
        <f t="shared" si="27"/>
        <v>0.0945666666666667+0.00467242992867467i</v>
      </c>
      <c r="S127" s="227" t="str">
        <f t="shared" si="28"/>
        <v>0.0085-38.5238522027567i</v>
      </c>
      <c r="T127" s="227" t="str">
        <f t="shared" si="29"/>
        <v>11.7350502769684-3.98742448560559i</v>
      </c>
      <c r="U127" s="227" t="str">
        <f t="shared" si="30"/>
        <v>79.3549977699183-4.3693433208847i</v>
      </c>
      <c r="V127" s="227">
        <f t="shared" si="42"/>
        <v>38.004632189074549</v>
      </c>
      <c r="W127" s="227">
        <f t="shared" si="43"/>
        <v>-3.1515646013193157</v>
      </c>
      <c r="X127" s="227" t="str">
        <f t="shared" si="31"/>
        <v>0.999999821980488-0.000124248395207777i</v>
      </c>
      <c r="Y127" s="227" t="str">
        <f t="shared" si="32"/>
        <v>61.8576600926532+7.53206480826268i</v>
      </c>
      <c r="Z127" s="227" t="str">
        <f t="shared" si="33"/>
        <v>32.2132533417508+3.9183677909952i</v>
      </c>
      <c r="AA127" s="227" t="str">
        <f t="shared" si="34"/>
        <v>18.2875463207916-3.18510755842462i</v>
      </c>
      <c r="AB127" s="227">
        <f t="shared" si="44"/>
        <v>25.372891347466396</v>
      </c>
      <c r="AC127" s="227">
        <f t="shared" si="45"/>
        <v>-9.8799920703684254</v>
      </c>
      <c r="AD127" s="229">
        <f t="shared" si="46"/>
        <v>1.80561597853955</v>
      </c>
      <c r="AE127" s="229">
        <f t="shared" si="47"/>
        <v>103.0877484946689</v>
      </c>
      <c r="AF127" s="227">
        <f t="shared" si="35"/>
        <v>27.178507326005946</v>
      </c>
      <c r="AG127" s="227">
        <f t="shared" si="36"/>
        <v>93.20775642430047</v>
      </c>
      <c r="AH127" s="229" t="str">
        <f t="shared" si="37"/>
        <v>0.278765979460334-1.19908684832799i</v>
      </c>
    </row>
    <row r="128" spans="9:34" x14ac:dyDescent="0.2">
      <c r="I128" s="227">
        <v>124</v>
      </c>
      <c r="J128" s="227">
        <f t="shared" si="25"/>
        <v>2.2090151933211417</v>
      </c>
      <c r="K128" s="227">
        <f t="shared" si="48"/>
        <v>161.81366454073756</v>
      </c>
      <c r="L128" s="227">
        <f t="shared" si="38"/>
        <v>1016.7052395432487</v>
      </c>
      <c r="M128" s="227">
        <f t="shared" si="26"/>
        <v>5654.6732718728717</v>
      </c>
      <c r="N128" s="227">
        <f>SQRT((ABS(AC128)-171.5+'Small Signal'!C$59)^2)</f>
        <v>91.399659812928434</v>
      </c>
      <c r="O128" s="227">
        <f t="shared" si="39"/>
        <v>93.268398189418747</v>
      </c>
      <c r="P128" s="227">
        <f t="shared" si="40"/>
        <v>26.988440316830193</v>
      </c>
      <c r="Q128" s="227">
        <f t="shared" si="41"/>
        <v>161.81366454073756</v>
      </c>
      <c r="R128" s="227" t="str">
        <f t="shared" si="27"/>
        <v>0.0945666666666667+0.00477851462585327i</v>
      </c>
      <c r="S128" s="227" t="str">
        <f t="shared" si="28"/>
        <v>0.0085-37.6686092004707i</v>
      </c>
      <c r="T128" s="227" t="str">
        <f t="shared" si="29"/>
        <v>11.6795011498119-4.05863911773909i</v>
      </c>
      <c r="U128" s="227" t="str">
        <f t="shared" si="30"/>
        <v>79.3528997282629-4.46886273119918i</v>
      </c>
      <c r="V128" s="227">
        <f t="shared" si="42"/>
        <v>38.005008000313218</v>
      </c>
      <c r="W128" s="227">
        <f t="shared" si="43"/>
        <v>-3.2232823487014088</v>
      </c>
      <c r="X128" s="227" t="str">
        <f t="shared" si="31"/>
        <v>0.99999981380507-0.000127069379916323i</v>
      </c>
      <c r="Y128" s="227" t="str">
        <f t="shared" si="32"/>
        <v>61.8798172334169+7.70272221577148i</v>
      </c>
      <c r="Z128" s="227" t="str">
        <f t="shared" si="33"/>
        <v>32.2248139065964+4.0071463398203i</v>
      </c>
      <c r="AA128" s="227" t="str">
        <f t="shared" si="34"/>
        <v>18.2639407420597-3.25341523085643i</v>
      </c>
      <c r="AB128" s="227">
        <f t="shared" si="44"/>
        <v>25.367556509268706</v>
      </c>
      <c r="AC128" s="227">
        <f t="shared" si="45"/>
        <v>-10.100340187071573</v>
      </c>
      <c r="AD128" s="229">
        <f t="shared" si="46"/>
        <v>1.620883807561488</v>
      </c>
      <c r="AE128" s="229">
        <f t="shared" si="47"/>
        <v>103.36873837649031</v>
      </c>
      <c r="AF128" s="227">
        <f t="shared" si="35"/>
        <v>26.988440316830193</v>
      </c>
      <c r="AG128" s="227">
        <f t="shared" si="36"/>
        <v>93.268398189418747</v>
      </c>
      <c r="AH128" s="229" t="str">
        <f t="shared" si="37"/>
        <v>0.278653273359023-1.17250139093088i</v>
      </c>
    </row>
    <row r="129" spans="9:34" x14ac:dyDescent="0.2">
      <c r="I129" s="227">
        <v>125</v>
      </c>
      <c r="J129" s="227">
        <f t="shared" si="25"/>
        <v>2.218765315847925</v>
      </c>
      <c r="K129" s="227">
        <f t="shared" si="48"/>
        <v>165.48754598234368</v>
      </c>
      <c r="L129" s="227">
        <f t="shared" si="38"/>
        <v>1039.7889174374679</v>
      </c>
      <c r="M129" s="227">
        <f t="shared" si="26"/>
        <v>5650.9159771738905</v>
      </c>
      <c r="N129" s="227">
        <f>SQRT((ABS(AC129)-171.5+'Small Signal'!C$59)^2)</f>
        <v>91.174579078470515</v>
      </c>
      <c r="O129" s="227">
        <f t="shared" si="39"/>
        <v>93.330100168593177</v>
      </c>
      <c r="P129" s="227">
        <f t="shared" si="40"/>
        <v>26.798580994979751</v>
      </c>
      <c r="Q129" s="227">
        <f t="shared" si="41"/>
        <v>165.48754598234368</v>
      </c>
      <c r="R129" s="227" t="str">
        <f t="shared" si="27"/>
        <v>0.0945666666666667+0.0048870079119561i</v>
      </c>
      <c r="S129" s="227" t="str">
        <f t="shared" si="28"/>
        <v>0.0085-36.8323528921712i</v>
      </c>
      <c r="T129" s="227" t="str">
        <f t="shared" si="29"/>
        <v>11.6219612776579-4.13032403693679i</v>
      </c>
      <c r="U129" s="227" t="str">
        <f t="shared" si="30"/>
        <v>79.3507034776214-4.57066366607063i</v>
      </c>
      <c r="V129" s="227">
        <f t="shared" si="42"/>
        <v>38.005401021862554</v>
      </c>
      <c r="W129" s="227">
        <f t="shared" si="43"/>
        <v>-3.2966397943815022</v>
      </c>
      <c r="X129" s="227" t="str">
        <f t="shared" si="31"/>
        <v>0.999999805254202-0.000129954413377471i</v>
      </c>
      <c r="Y129" s="227" t="str">
        <f t="shared" si="32"/>
        <v>61.9029947377145+7.87722945101365i</v>
      </c>
      <c r="Z129" s="227" t="str">
        <f t="shared" si="33"/>
        <v>32.2369068444265+4.09792750883451i</v>
      </c>
      <c r="AA129" s="227" t="str">
        <f t="shared" si="34"/>
        <v>18.2393131706984-3.32300530616547i</v>
      </c>
      <c r="AB129" s="227">
        <f t="shared" si="44"/>
        <v>25.361983707884512</v>
      </c>
      <c r="AC129" s="227">
        <f t="shared" si="45"/>
        <v>-10.325420921529489</v>
      </c>
      <c r="AD129" s="229">
        <f t="shared" si="46"/>
        <v>1.4365972870952384</v>
      </c>
      <c r="AE129" s="229">
        <f t="shared" si="47"/>
        <v>103.65552109012266</v>
      </c>
      <c r="AF129" s="227">
        <f t="shared" si="35"/>
        <v>26.798580994979751</v>
      </c>
      <c r="AG129" s="227">
        <f t="shared" si="36"/>
        <v>93.330100168593177</v>
      </c>
      <c r="AH129" s="229" t="str">
        <f t="shared" si="37"/>
        <v>0.278545507103863-1.1465069068907i</v>
      </c>
    </row>
    <row r="130" spans="9:34" x14ac:dyDescent="0.2">
      <c r="I130" s="227">
        <v>126</v>
      </c>
      <c r="J130" s="227">
        <f t="shared" si="25"/>
        <v>2.2285154383747088</v>
      </c>
      <c r="K130" s="227">
        <f t="shared" si="48"/>
        <v>169.24484068132415</v>
      </c>
      <c r="L130" s="227">
        <f t="shared" si="38"/>
        <v>1063.3966962848458</v>
      </c>
      <c r="M130" s="227">
        <f t="shared" si="26"/>
        <v>5647.0733753699487</v>
      </c>
      <c r="N130" s="227">
        <f>SQRT((ABS(AC130)-171.5+'Small Signal'!C$59)^2)</f>
        <v>90.94467636094069</v>
      </c>
      <c r="O130" s="227">
        <f t="shared" si="39"/>
        <v>93.3928561363781</v>
      </c>
      <c r="P130" s="227">
        <f t="shared" si="40"/>
        <v>26.608937246781306</v>
      </c>
      <c r="Q130" s="227">
        <f t="shared" si="41"/>
        <v>169.24484068132415</v>
      </c>
      <c r="R130" s="227" t="str">
        <f t="shared" si="27"/>
        <v>0.0945666666666667+0.00499796447253878i</v>
      </c>
      <c r="S130" s="227" t="str">
        <f t="shared" si="28"/>
        <v>0.0085-36.0146617666065i</v>
      </c>
      <c r="T130" s="227" t="str">
        <f t="shared" si="29"/>
        <v>11.5623828568087-4.20243042571382i</v>
      </c>
      <c r="U130" s="227" t="str">
        <f t="shared" si="30"/>
        <v>79.3484043328511-4.67479945537637i</v>
      </c>
      <c r="V130" s="227">
        <f t="shared" si="42"/>
        <v>38.005812039515035</v>
      </c>
      <c r="W130" s="227">
        <f t="shared" si="43"/>
        <v>-3.3716749611667396</v>
      </c>
      <c r="X130" s="227" t="str">
        <f t="shared" si="31"/>
        <v>0.999999796310641-0.000132904949779433i</v>
      </c>
      <c r="Y130" s="227" t="str">
        <f t="shared" si="32"/>
        <v>61.9272397286769+8.05567216578173i</v>
      </c>
      <c r="Z130" s="227" t="str">
        <f t="shared" si="33"/>
        <v>32.249556741166+4.19075584444515i</v>
      </c>
      <c r="AA130" s="227" t="str">
        <f t="shared" si="34"/>
        <v>18.2136222433128-3.39388942920247i</v>
      </c>
      <c r="AB130" s="227">
        <f t="shared" si="44"/>
        <v>25.356162656271955</v>
      </c>
      <c r="AC130" s="227">
        <f t="shared" si="45"/>
        <v>-10.555323639059306</v>
      </c>
      <c r="AD130" s="229">
        <f t="shared" si="46"/>
        <v>1.2527745905093504</v>
      </c>
      <c r="AE130" s="229">
        <f t="shared" si="47"/>
        <v>103.94817977543741</v>
      </c>
      <c r="AF130" s="227">
        <f t="shared" si="35"/>
        <v>26.608937246781306</v>
      </c>
      <c r="AG130" s="227">
        <f t="shared" si="36"/>
        <v>93.3928561363781</v>
      </c>
      <c r="AH130" s="229" t="str">
        <f t="shared" si="37"/>
        <v>0.278442463396679-1.12109029515046i</v>
      </c>
    </row>
    <row r="131" spans="9:34" x14ac:dyDescent="0.2">
      <c r="I131" s="227">
        <v>127</v>
      </c>
      <c r="J131" s="227">
        <f t="shared" si="25"/>
        <v>2.2382655609014916</v>
      </c>
      <c r="K131" s="227">
        <f t="shared" si="48"/>
        <v>173.08744248526594</v>
      </c>
      <c r="L131" s="227">
        <f t="shared" si="38"/>
        <v>1087.5404754807146</v>
      </c>
      <c r="M131" s="227">
        <f t="shared" si="26"/>
        <v>5643.1435296147929</v>
      </c>
      <c r="N131" s="227">
        <f>SQRT((ABS(AC131)-171.5+'Small Signal'!C$59)^2)</f>
        <v>90.709861441117908</v>
      </c>
      <c r="O131" s="227">
        <f t="shared" si="39"/>
        <v>93.456658191800045</v>
      </c>
      <c r="P131" s="227">
        <f t="shared" si="40"/>
        <v>26.419517181259518</v>
      </c>
      <c r="Q131" s="227">
        <f t="shared" si="41"/>
        <v>173.08744248526594</v>
      </c>
      <c r="R131" s="227" t="str">
        <f t="shared" si="27"/>
        <v>0.0945666666666667+0.00511144023475936i</v>
      </c>
      <c r="S131" s="227" t="str">
        <f t="shared" si="28"/>
        <v>0.0085-35.2151236702221i</v>
      </c>
      <c r="T131" s="227" t="str">
        <f t="shared" si="29"/>
        <v>11.5007188915547-4.27490615346175i</v>
      </c>
      <c r="U131" s="227" t="str">
        <f t="shared" si="30"/>
        <v>79.3459973771505-4.78132474596538i</v>
      </c>
      <c r="V131" s="227">
        <f t="shared" si="42"/>
        <v>38.006241874717453</v>
      </c>
      <c r="W131" s="227">
        <f t="shared" si="43"/>
        <v>-3.4484267906031425</v>
      </c>
      <c r="X131" s="227" t="str">
        <f t="shared" si="31"/>
        <v>0.999999786956354-0.000135922476326885i</v>
      </c>
      <c r="Y131" s="227" t="str">
        <f t="shared" si="32"/>
        <v>61.9526015182175+8.23813783118264i</v>
      </c>
      <c r="Z131" s="227" t="str">
        <f t="shared" si="33"/>
        <v>32.2627893246648+4.28567683866595i</v>
      </c>
      <c r="AA131" s="227" t="str">
        <f t="shared" si="34"/>
        <v>18.1868251841873-3.46607843094263i</v>
      </c>
      <c r="AB131" s="227">
        <f t="shared" si="44"/>
        <v>25.350082652449988</v>
      </c>
      <c r="AC131" s="227">
        <f t="shared" si="45"/>
        <v>-10.790138558882083</v>
      </c>
      <c r="AD131" s="229">
        <f t="shared" si="46"/>
        <v>1.0694345288095306</v>
      </c>
      <c r="AE131" s="229">
        <f t="shared" si="47"/>
        <v>104.24679675068212</v>
      </c>
      <c r="AF131" s="227">
        <f t="shared" si="35"/>
        <v>26.419517181259518</v>
      </c>
      <c r="AG131" s="227">
        <f t="shared" si="36"/>
        <v>93.456658191800045</v>
      </c>
      <c r="AH131" s="229" t="str">
        <f t="shared" si="37"/>
        <v>0.27834393446152-1.09623874583918i</v>
      </c>
    </row>
    <row r="132" spans="9:34" x14ac:dyDescent="0.2">
      <c r="I132" s="227">
        <v>128</v>
      </c>
      <c r="J132" s="227">
        <f t="shared" ref="J132:J195" si="49">1+I132*(LOG(fsw)-1)/500</f>
        <v>2.2480156834282754</v>
      </c>
      <c r="K132" s="227">
        <f t="shared" si="48"/>
        <v>177.01728824042243</v>
      </c>
      <c r="L132" s="227">
        <f t="shared" si="38"/>
        <v>1112.2324245889961</v>
      </c>
      <c r="M132" s="227">
        <f t="shared" ref="M132:M195" si="50">SQRT((Fco_target-K133)^2)</f>
        <v>5639.1244590872466</v>
      </c>
      <c r="N132" s="227">
        <f>SQRT((ABS(AC132)-171.5+'Small Signal'!C$59)^2)</f>
        <v>90.470043298799396</v>
      </c>
      <c r="O132" s="227">
        <f t="shared" si="39"/>
        <v>93.521496642329524</v>
      </c>
      <c r="P132" s="227">
        <f t="shared" si="40"/>
        <v>26.230329129408677</v>
      </c>
      <c r="Q132" s="227">
        <f t="shared" si="41"/>
        <v>177.01728824042243</v>
      </c>
      <c r="R132" s="227" t="str">
        <f t="shared" ref="R132:R195" si="51">IMSUM(COMPLEX(DCRss,Lss*L132),COMPLEX(Rdsonss,0),COMPLEX(40/3*Risense,0))</f>
        <v>0.0945666666666667+0.00522749239556828i</v>
      </c>
      <c r="S132" s="227" t="str">
        <f t="shared" ref="S132:S195" si="52">IMSUM(COMPLEX(ESRss,0),IMDIV(COMPLEX(1,0),COMPLEX(0,L132*Cbulkss)))</f>
        <v>0.0085-34.4333355994164i</v>
      </c>
      <c r="T132" s="227" t="str">
        <f t="shared" ref="T132:T195" si="53">IMDIV(IMPRODUCT(S132,COMPLEX(Ross,0)),IMSUM(S132,COMPLEX(Ross,0)))</f>
        <v>11.4369233898819-4.34769571091785i</v>
      </c>
      <c r="U132" s="227" t="str">
        <f t="shared" ref="U132:U195" si="54">IMPRODUCT(COMPLEX(Vinss,0),COMPLEX(M^2,0),IMDIV(IMSUB(COMPLEX(1,0),IMDIV(IMPRODUCT(R132,COMPLEX(M^2,0)),COMPLEX(Ross,0))),IMSUM(COMPLEX(1,0),IMDIV(IMPRODUCT(R132,COMPLEX(M^2,0)),T132))))</f>
        <v>79.3434774498616-4.89029553890732i</v>
      </c>
      <c r="V132" s="227">
        <f t="shared" si="42"/>
        <v>38.006691386167148</v>
      </c>
      <c r="W132" s="227">
        <f t="shared" si="43"/>
        <v>-3.5269351677110006</v>
      </c>
      <c r="X132" s="227" t="str">
        <f t="shared" ref="X132:X195" si="55">IMSUM(COMPLEX(1,L132/(wn*q0)),IMPOWER(COMPLEX(0,L132/wn),2))</f>
        <v>0.999999777172478-0.000139008513990588i</v>
      </c>
      <c r="Y132" s="227" t="str">
        <f t="shared" ref="Y132:Y195" si="56">IMPRODUCT(COMPLEX(2*Ioutss*M^2,0),IMDIV(IMSUM(COMPLEX(1,0),IMDIV(COMPLEX(Ross,0),IMPRODUCT(COMPLEX(2,0),S132))),IMSUM(COMPLEX(1,0),IMDIV(IMPRODUCT(R132,COMPLEX(M^2,0)),T132))))</f>
        <v>61.979131709852+8.42471576985279i</v>
      </c>
      <c r="Z132" s="227" t="str">
        <f t="shared" ref="Z132:Z195" si="57">IMPRODUCT(COMPLEX(Fm*40/3*Risense,0),Y132,X132)</f>
        <v>32.2766315183358+4.38273694581605i</v>
      </c>
      <c r="AA132" s="227" t="str">
        <f t="shared" ref="AA132:AA195" si="58">IMDIV(IMPRODUCT(COMPLEX(Fm,0),U132),IMSUM(COMPLEX(1,0),Z132))</f>
        <v>18.158877781292-3.53958225015866i</v>
      </c>
      <c r="AB132" s="227">
        <f t="shared" si="44"/>
        <v>25.343732565463188</v>
      </c>
      <c r="AC132" s="227">
        <f t="shared" si="45"/>
        <v>-11.029956701200591</v>
      </c>
      <c r="AD132" s="229">
        <f t="shared" si="46"/>
        <v>0.88659656394548991</v>
      </c>
      <c r="AE132" s="229">
        <f t="shared" si="47"/>
        <v>104.55145334353011</v>
      </c>
      <c r="AF132" s="227">
        <f t="shared" ref="AF132:AF195" si="59">AD132+AB132</f>
        <v>26.230329129408677</v>
      </c>
      <c r="AG132" s="227">
        <f t="shared" ref="AG132:AG195" si="60">AE132+AC132</f>
        <v>93.521496642329524</v>
      </c>
      <c r="AH132" s="229" t="str">
        <f t="shared" ref="AH132:AH195" si="61">IMDIV(IMPRODUCT(COMPLEX(gea*Rea*Rslss/(Rslss+Rshss),0),COMPLEX(1,L132*Ccompss*Rcompss),COMPLEX(1,k_3*L132*Cffss*Rshss)),IMPRODUCT(COMPLEX(1,L132*Rea*Ccompss),COMPLEX(1,L132*Rcompss*Chfss),COMPLEX(1,k_3*L132*Rffss*Cffss)))</f>
        <v>0.278249721625759-1.07193973382087i</v>
      </c>
    </row>
    <row r="133" spans="9:34" x14ac:dyDescent="0.2">
      <c r="I133" s="227">
        <v>129</v>
      </c>
      <c r="J133" s="227">
        <f t="shared" si="49"/>
        <v>2.2577658059550583</v>
      </c>
      <c r="K133" s="227">
        <f t="shared" si="48"/>
        <v>181.03635876796847</v>
      </c>
      <c r="L133" s="227">
        <f t="shared" ref="L133:L196" si="62">2*PI()*K133</f>
        <v>1137.4849894761917</v>
      </c>
      <c r="M133" s="227">
        <f t="shared" si="50"/>
        <v>5635.0141379927873</v>
      </c>
      <c r="N133" s="227">
        <f>SQRT((ABS(AC133)-171.5+'Small Signal'!C$59)^2)</f>
        <v>90.225130170915179</v>
      </c>
      <c r="O133" s="227">
        <f t="shared" ref="O133:O196" si="63">ABS(AG133)</f>
        <v>93.587359883316694</v>
      </c>
      <c r="P133" s="227">
        <f t="shared" ref="P133:P196" si="64">ABS(AF133)</f>
        <v>26.041381642667464</v>
      </c>
      <c r="Q133" s="227">
        <f t="shared" ref="Q133:Q196" si="65">K133</f>
        <v>181.03635876796847</v>
      </c>
      <c r="R133" s="227" t="str">
        <f t="shared" si="51"/>
        <v>0.0945666666666667+0.0053461794505381i</v>
      </c>
      <c r="S133" s="227" t="str">
        <f t="shared" si="52"/>
        <v>0.0085-33.6689034974093i</v>
      </c>
      <c r="T133" s="227" t="str">
        <f t="shared" si="53"/>
        <v>11.3709515706657-4.42074015452405i</v>
      </c>
      <c r="U133" s="227" t="str">
        <f t="shared" si="54"/>
        <v>79.3408391335667-5.0017692280928i</v>
      </c>
      <c r="V133" s="227">
        <f t="shared" ref="V133:V196" si="66">20*LOG(IMABS(U133))</f>
        <v>38.007161471478057</v>
      </c>
      <c r="W133" s="227">
        <f t="shared" ref="W133:W196" si="67">IF(DEGREES(IMARGUMENT(U133))&gt;0,DEGREES(IMARGUMENT(U133))-360, DEGREES(IMARGUMENT(U133)))</f>
        <v>-3.6072409465528361</v>
      </c>
      <c r="X133" s="227" t="str">
        <f t="shared" si="55"/>
        <v>0.999999766939284-0.000142164618274022i</v>
      </c>
      <c r="Y133" s="227" t="str">
        <f t="shared" si="56"/>
        <v>62.0068843064667+8.61549718822851i</v>
      </c>
      <c r="Z133" s="227" t="str">
        <f t="shared" si="57"/>
        <v>32.2911114973753+4.48198359924363i</v>
      </c>
      <c r="AA133" s="227" t="str">
        <f t="shared" si="58"/>
        <v>18.1297343643687-3.61440985076192i</v>
      </c>
      <c r="AB133" s="227">
        <f t="shared" ref="AB133:AB196" si="68">20*LOG(IMABS(AA133))</f>
        <v>25.337100821119826</v>
      </c>
      <c r="AC133" s="227">
        <f t="shared" ref="AC133:AC196" si="69">IF(DEGREES(IMARGUMENT(AA133))&gt;0,DEGREES(IMARGUMENT(AA133))-360, DEGREES(IMARGUMENT(AA133)))</f>
        <v>-11.274869829084835</v>
      </c>
      <c r="AD133" s="229">
        <f t="shared" ref="AD133:AD196" si="70">20*LOG(IMABS(AH133))</f>
        <v>0.70428082154763838</v>
      </c>
      <c r="AE133" s="229">
        <f t="shared" ref="AE133:AE196" si="71">180+DEGREES(IMARGUMENT(AH133))</f>
        <v>104.86222971240153</v>
      </c>
      <c r="AF133" s="227">
        <f t="shared" si="59"/>
        <v>26.041381642667464</v>
      </c>
      <c r="AG133" s="227">
        <f t="shared" si="60"/>
        <v>93.587359883316694</v>
      </c>
      <c r="AH133" s="229" t="str">
        <f t="shared" si="61"/>
        <v>0.2781596349195-1.04818101238657i</v>
      </c>
    </row>
    <row r="134" spans="9:34" x14ac:dyDescent="0.2">
      <c r="I134" s="227">
        <v>130</v>
      </c>
      <c r="J134" s="227">
        <f t="shared" si="49"/>
        <v>2.267515928481842</v>
      </c>
      <c r="K134" s="227">
        <f t="shared" si="48"/>
        <v>185.14667986242827</v>
      </c>
      <c r="L134" s="227">
        <f t="shared" si="62"/>
        <v>1163.3108985846918</v>
      </c>
      <c r="M134" s="227">
        <f t="shared" si="50"/>
        <v>5630.8104945424502</v>
      </c>
      <c r="N134" s="227">
        <f>SQRT((ABS(AC134)-171.5+'Small Signal'!C$59)^2)</f>
        <v>89.975029615116739</v>
      </c>
      <c r="O134" s="227">
        <f t="shared" si="63"/>
        <v>93.654234272954298</v>
      </c>
      <c r="P134" s="227">
        <f t="shared" si="64"/>
        <v>25.852683490527117</v>
      </c>
      <c r="Q134" s="227">
        <f t="shared" si="65"/>
        <v>185.14667986242827</v>
      </c>
      <c r="R134" s="227" t="str">
        <f t="shared" si="51"/>
        <v>0.0945666666666667+0.00546756122334805i</v>
      </c>
      <c r="S134" s="227" t="str">
        <f t="shared" si="52"/>
        <v>0.0085-32.9214420556186i</v>
      </c>
      <c r="T134" s="227" t="str">
        <f t="shared" si="53"/>
        <v>11.3027600821147-4.49397706196457i</v>
      </c>
      <c r="U134" s="227" t="str">
        <f t="shared" si="54"/>
        <v>79.3380767404272-5.11580464025139i</v>
      </c>
      <c r="V134" s="227">
        <f t="shared" si="66"/>
        <v>38.007653068918465</v>
      </c>
      <c r="W134" s="227">
        <f t="shared" si="67"/>
        <v>-3.689385976673087</v>
      </c>
      <c r="X134" s="227" t="str">
        <f t="shared" si="55"/>
        <v>0.999999756236138-0.000145392379997437i</v>
      </c>
      <c r="Y134" s="227" t="str">
        <f t="shared" si="56"/>
        <v>62.0359158232566+8.81057520882069i</v>
      </c>
      <c r="Z134" s="227" t="str">
        <f t="shared" si="57"/>
        <v>32.3062587476783+4.5834652280471i</v>
      </c>
      <c r="AA134" s="227" t="str">
        <f t="shared" si="58"/>
        <v>18.0993477854163-3.69056913469958i</v>
      </c>
      <c r="AB134" s="227">
        <f t="shared" si="68"/>
        <v>25.3301753875297</v>
      </c>
      <c r="AC134" s="227">
        <f t="shared" si="69"/>
        <v>-11.524970384883266</v>
      </c>
      <c r="AD134" s="229">
        <f t="shared" si="70"/>
        <v>0.52250810299741834</v>
      </c>
      <c r="AE134" s="229">
        <f t="shared" si="71"/>
        <v>105.17920465783756</v>
      </c>
      <c r="AF134" s="227">
        <f t="shared" si="59"/>
        <v>25.852683490527117</v>
      </c>
      <c r="AG134" s="227">
        <f t="shared" si="60"/>
        <v>93.654234272954298</v>
      </c>
      <c r="AH134" s="229" t="str">
        <f t="shared" si="61"/>
        <v>0.27807349269257-1.02495060708649i</v>
      </c>
    </row>
    <row r="135" spans="9:34" x14ac:dyDescent="0.2">
      <c r="I135" s="227">
        <v>131</v>
      </c>
      <c r="J135" s="227">
        <f t="shared" si="49"/>
        <v>2.2772660510086258</v>
      </c>
      <c r="K135" s="227">
        <f t="shared" si="48"/>
        <v>189.3503233127646</v>
      </c>
      <c r="L135" s="227">
        <f t="shared" si="62"/>
        <v>1189.7231693484669</v>
      </c>
      <c r="M135" s="227">
        <f t="shared" si="50"/>
        <v>5626.5114099085586</v>
      </c>
      <c r="N135" s="227">
        <f>SQRT((ABS(AC135)-171.5+'Small Signal'!C$59)^2)</f>
        <v>89.719648579134741</v>
      </c>
      <c r="O135" s="227">
        <f t="shared" si="63"/>
        <v>93.722104002869528</v>
      </c>
      <c r="P135" s="227">
        <f t="shared" si="64"/>
        <v>25.664243657188123</v>
      </c>
      <c r="Q135" s="227">
        <f t="shared" si="65"/>
        <v>189.3503233127646</v>
      </c>
      <c r="R135" s="227" t="str">
        <f t="shared" si="51"/>
        <v>0.0945666666666667+0.00559169889593779i</v>
      </c>
      <c r="S135" s="227" t="str">
        <f t="shared" si="52"/>
        <v>0.0085-32.1905745194479i</v>
      </c>
      <c r="T135" s="227" t="str">
        <f t="shared" si="53"/>
        <v>11.232307231112-4.56734050021425i</v>
      </c>
      <c r="U135" s="227" t="str">
        <f t="shared" si="54"/>
        <v>79.3351842977226-5.23246207645504i</v>
      </c>
      <c r="V135" s="227">
        <f t="shared" si="66"/>
        <v>38.008167159224399</v>
      </c>
      <c r="W135" s="227">
        <f t="shared" si="67"/>
        <v>-3.773413130448362</v>
      </c>
      <c r="X135" s="227" t="str">
        <f t="shared" si="55"/>
        <v>0.999999745041458-0.00014869342609969i</v>
      </c>
      <c r="Y135" s="227" t="str">
        <f t="shared" si="56"/>
        <v>62.0662854061189+9.01004490243847i</v>
      </c>
      <c r="Z135" s="227" t="str">
        <f t="shared" si="57"/>
        <v>32.3221041276007+4.68723127376489i</v>
      </c>
      <c r="AA135" s="227" t="str">
        <f t="shared" si="58"/>
        <v>18.0676694019016-3.76806685030133i</v>
      </c>
      <c r="AB135" s="227">
        <f t="shared" si="68"/>
        <v>25.32294376046282</v>
      </c>
      <c r="AC135" s="227">
        <f t="shared" si="69"/>
        <v>-11.780351420865257</v>
      </c>
      <c r="AD135" s="229">
        <f t="shared" si="70"/>
        <v>0.34129989672530436</v>
      </c>
      <c r="AE135" s="229">
        <f t="shared" si="71"/>
        <v>105.50245542373479</v>
      </c>
      <c r="AF135" s="227">
        <f t="shared" si="59"/>
        <v>25.664243657188123</v>
      </c>
      <c r="AG135" s="227">
        <f t="shared" si="60"/>
        <v>93.722104002869528</v>
      </c>
      <c r="AH135" s="229" t="str">
        <f t="shared" si="61"/>
        <v>0.27799112124824-1.00223680969899i</v>
      </c>
    </row>
    <row r="136" spans="9:34" x14ac:dyDescent="0.2">
      <c r="I136" s="227">
        <v>132</v>
      </c>
      <c r="J136" s="227">
        <f t="shared" si="49"/>
        <v>2.2870161735354086</v>
      </c>
      <c r="K136" s="227">
        <f t="shared" ref="K136:K199" si="72">10^(J136)</f>
        <v>193.64940794665668</v>
      </c>
      <c r="L136" s="227">
        <f t="shared" si="62"/>
        <v>1216.7351147544591</v>
      </c>
      <c r="M136" s="227">
        <f t="shared" si="50"/>
        <v>5622.1147171567281</v>
      </c>
      <c r="N136" s="227">
        <f>SQRT((ABS(AC136)-171.5+'Small Signal'!C$59)^2)</f>
        <v>89.458893476203201</v>
      </c>
      <c r="O136" s="227">
        <f t="shared" si="63"/>
        <v>93.790950964487593</v>
      </c>
      <c r="P136" s="227">
        <f t="shared" si="64"/>
        <v>25.476071337186994</v>
      </c>
      <c r="Q136" s="227">
        <f t="shared" si="65"/>
        <v>193.64940794665668</v>
      </c>
      <c r="R136" s="227" t="str">
        <f t="shared" si="51"/>
        <v>0.0945666666666667+0.00571865503934596i</v>
      </c>
      <c r="S136" s="227" t="str">
        <f t="shared" si="52"/>
        <v>0.0085-31.4759324983846i</v>
      </c>
      <c r="T136" s="227" t="str">
        <f t="shared" si="53"/>
        <v>11.1595532229606-4.64076100746365i</v>
      </c>
      <c r="U136" s="227" t="str">
        <f t="shared" si="54"/>
        <v>79.3321555325277-5.35180335518147i</v>
      </c>
      <c r="V136" s="227">
        <f t="shared" si="66"/>
        <v>38.008704767490784</v>
      </c>
      <c r="W136" s="227">
        <f t="shared" si="67"/>
        <v>-3.8593663313923088</v>
      </c>
      <c r="X136" s="227" t="str">
        <f t="shared" si="55"/>
        <v>0.999999733332671-0.000152069420458306i</v>
      </c>
      <c r="Y136" s="227" t="str">
        <f t="shared" si="56"/>
        <v>62.0980549557559+9.21400332029721i</v>
      </c>
      <c r="Z136" s="227" t="str">
        <f t="shared" si="57"/>
        <v>32.3386799326982+4.79333220699983i</v>
      </c>
      <c r="AA136" s="227" t="str">
        <f t="shared" si="58"/>
        <v>18.0346490630632-3.84690849598623i</v>
      </c>
      <c r="AB136" s="227">
        <f t="shared" si="68"/>
        <v>25.315392948561446</v>
      </c>
      <c r="AC136" s="227">
        <f t="shared" si="69"/>
        <v>-12.041106523796808</v>
      </c>
      <c r="AD136" s="229">
        <f t="shared" si="70"/>
        <v>0.16067838862554679</v>
      </c>
      <c r="AE136" s="229">
        <f t="shared" si="71"/>
        <v>105.83205748828441</v>
      </c>
      <c r="AF136" s="227">
        <f t="shared" si="59"/>
        <v>25.476071337186994</v>
      </c>
      <c r="AG136" s="227">
        <f t="shared" si="60"/>
        <v>93.790950964487593</v>
      </c>
      <c r="AH136" s="229" t="str">
        <f t="shared" si="61"/>
        <v>0.277912354493028-0.980028172333435i</v>
      </c>
    </row>
    <row r="137" spans="9:34" x14ac:dyDescent="0.2">
      <c r="I137" s="227">
        <v>133</v>
      </c>
      <c r="J137" s="227">
        <f t="shared" si="49"/>
        <v>2.2967662960621924</v>
      </c>
      <c r="K137" s="227">
        <f t="shared" si="72"/>
        <v>198.04610069848653</v>
      </c>
      <c r="L137" s="227">
        <f t="shared" si="62"/>
        <v>1244.3603500529393</v>
      </c>
      <c r="M137" s="227">
        <f t="shared" si="50"/>
        <v>5617.6182001536454</v>
      </c>
      <c r="N137" s="227">
        <f>SQRT((ABS(AC137)-171.5+'Small Signal'!C$59)^2)</f>
        <v>89.192670266853554</v>
      </c>
      <c r="O137" s="227">
        <f t="shared" si="63"/>
        <v>93.860754611343395</v>
      </c>
      <c r="P137" s="227">
        <f t="shared" si="64"/>
        <v>25.288175929905279</v>
      </c>
      <c r="Q137" s="227">
        <f t="shared" si="65"/>
        <v>198.04610069848653</v>
      </c>
      <c r="R137" s="227" t="str">
        <f t="shared" si="51"/>
        <v>0.0945666666666667+0.00584849364524882i</v>
      </c>
      <c r="S137" s="227" t="str">
        <f t="shared" si="52"/>
        <v>0.0085-30.7771557803141i</v>
      </c>
      <c r="T137" s="227" t="str">
        <f t="shared" si="53"/>
        <v>11.0844604109033-4.71416559030898i</v>
      </c>
      <c r="U137" s="227" t="str">
        <f t="shared" si="54"/>
        <v>79.3289838554756-5.47389185701311i</v>
      </c>
      <c r="V137" s="227">
        <f t="shared" si="66"/>
        <v>38.009266965144008</v>
      </c>
      <c r="W137" s="227">
        <f t="shared" si="67"/>
        <v>-3.9472905834585963</v>
      </c>
      <c r="X137" s="227" t="str">
        <f t="shared" si="55"/>
        <v>0.999999721086165-0.000155522064728141i</v>
      </c>
      <c r="Y137" s="227" t="str">
        <f t="shared" si="56"/>
        <v>62.1312892577873+9.42254952594523i</v>
      </c>
      <c r="Z137" s="227" t="str">
        <f t="shared" si="57"/>
        <v>32.3560199636004+4.90181954394352i</v>
      </c>
      <c r="AA137" s="227" t="str">
        <f t="shared" si="58"/>
        <v>18.0002350996887-3.92709821925328i</v>
      </c>
      <c r="AB137" s="227">
        <f t="shared" si="68"/>
        <v>25.307509458435305</v>
      </c>
      <c r="AC137" s="227">
        <f t="shared" si="69"/>
        <v>-12.307329733146435</v>
      </c>
      <c r="AD137" s="229">
        <f t="shared" si="70"/>
        <v>-1.9333528530025294E-2</v>
      </c>
      <c r="AE137" s="229">
        <f t="shared" si="71"/>
        <v>106.16808434448983</v>
      </c>
      <c r="AF137" s="227">
        <f t="shared" si="59"/>
        <v>25.288175929905279</v>
      </c>
      <c r="AG137" s="227">
        <f t="shared" si="60"/>
        <v>93.860754611343395</v>
      </c>
      <c r="AH137" s="229" t="str">
        <f t="shared" si="61"/>
        <v>0.277837033601796-0.958313501664069i</v>
      </c>
    </row>
    <row r="138" spans="9:34" x14ac:dyDescent="0.2">
      <c r="I138" s="227">
        <v>134</v>
      </c>
      <c r="J138" s="227">
        <f t="shared" si="49"/>
        <v>2.3065164185889757</v>
      </c>
      <c r="K138" s="227">
        <f t="shared" si="72"/>
        <v>202.5426177015697</v>
      </c>
      <c r="L138" s="227">
        <f t="shared" si="62"/>
        <v>1272.6127996201947</v>
      </c>
      <c r="M138" s="227">
        <f t="shared" si="50"/>
        <v>5613.0195924500249</v>
      </c>
      <c r="N138" s="227">
        <f>SQRT((ABS(AC138)-171.5+'Small Signal'!C$59)^2)</f>
        <v>88.920884547389022</v>
      </c>
      <c r="O138" s="227">
        <f t="shared" si="63"/>
        <v>93.931491817579101</v>
      </c>
      <c r="P138" s="227">
        <f t="shared" si="64"/>
        <v>25.100567032872817</v>
      </c>
      <c r="Q138" s="227">
        <f t="shared" si="65"/>
        <v>202.5426177015697</v>
      </c>
      <c r="R138" s="227" t="str">
        <f t="shared" si="51"/>
        <v>0.0945666666666667+0.00598128015821491i</v>
      </c>
      <c r="S138" s="227" t="str">
        <f t="shared" si="52"/>
        <v>0.0085-30.0938921499574i</v>
      </c>
      <c r="T138" s="227" t="str">
        <f t="shared" si="53"/>
        <v>11.0069935546269-4.78747773760425i</v>
      </c>
      <c r="U138" s="227" t="str">
        <f t="shared" si="54"/>
        <v>79.3256623435415-5.59879257105512i</v>
      </c>
      <c r="V138" s="227">
        <f t="shared" si="66"/>
        <v>38.009854871998691</v>
      </c>
      <c r="W138" s="227">
        <f t="shared" si="67"/>
        <v>-4.0372320013911205</v>
      </c>
      <c r="X138" s="227" t="str">
        <f t="shared" si="55"/>
        <v>0.999999708277248-0.000159053099199097i</v>
      </c>
      <c r="Y138" s="227" t="str">
        <f t="shared" si="56"/>
        <v>62.1660561191709+9.63578462693055i</v>
      </c>
      <c r="Z138" s="227" t="str">
        <f t="shared" si="57"/>
        <v>32.3741595971745+5.01274586275953i</v>
      </c>
      <c r="AA138" s="227" t="str">
        <f t="shared" si="58"/>
        <v>17.9643743177824-4.00863871089851i</v>
      </c>
      <c r="AB138" s="227">
        <f t="shared" si="68"/>
        <v>25.299279279678743</v>
      </c>
      <c r="AC138" s="227">
        <f t="shared" si="69"/>
        <v>-12.579115452610973</v>
      </c>
      <c r="AD138" s="229">
        <f t="shared" si="70"/>
        <v>-0.1987122468059267</v>
      </c>
      <c r="AE138" s="229">
        <f t="shared" si="71"/>
        <v>106.51060727019008</v>
      </c>
      <c r="AF138" s="227">
        <f t="shared" si="59"/>
        <v>25.100567032872817</v>
      </c>
      <c r="AG138" s="227">
        <f t="shared" si="60"/>
        <v>93.931491817579101</v>
      </c>
      <c r="AH138" s="229" t="str">
        <f t="shared" si="61"/>
        <v>0.277765006697514-0.937081853291813i</v>
      </c>
    </row>
    <row r="139" spans="9:34" x14ac:dyDescent="0.2">
      <c r="I139" s="227">
        <v>135</v>
      </c>
      <c r="J139" s="227">
        <f t="shared" si="49"/>
        <v>2.316266541115759</v>
      </c>
      <c r="K139" s="227">
        <f t="shared" si="72"/>
        <v>207.14122540519048</v>
      </c>
      <c r="L139" s="227">
        <f t="shared" si="62"/>
        <v>1301.5067039770677</v>
      </c>
      <c r="M139" s="227">
        <f t="shared" si="50"/>
        <v>5608.3165761382215</v>
      </c>
      <c r="N139" s="227">
        <f>SQRT((ABS(AC139)-171.5+'Small Signal'!C$59)^2)</f>
        <v>88.643441645346456</v>
      </c>
      <c r="O139" s="227">
        <f t="shared" si="63"/>
        <v>94.003136732902959</v>
      </c>
      <c r="P139" s="227">
        <f t="shared" si="64"/>
        <v>24.913254433774082</v>
      </c>
      <c r="Q139" s="227">
        <f t="shared" si="65"/>
        <v>207.14122540519048</v>
      </c>
      <c r="R139" s="227" t="str">
        <f t="shared" si="51"/>
        <v>0.0945666666666667+0.00611708150869222i</v>
      </c>
      <c r="S139" s="227" t="str">
        <f t="shared" si="52"/>
        <v>0.0085-29.4257972113376i</v>
      </c>
      <c r="T139" s="227" t="str">
        <f t="shared" si="53"/>
        <v>10.9271200868023-4.86061745236704i</v>
      </c>
      <c r="U139" s="227" t="str">
        <f t="shared" si="54"/>
        <v>79.3221837217831-5.72657214315869i</v>
      </c>
      <c r="V139" s="227">
        <f t="shared" si="66"/>
        <v>38.010469658402577</v>
      </c>
      <c r="W139" s="227">
        <f t="shared" si="67"/>
        <v>-4.1292378421714959</v>
      </c>
      <c r="X139" s="227" t="str">
        <f t="shared" si="55"/>
        <v>0.999999694880091-0.000162664303673305i</v>
      </c>
      <c r="Y139" s="227" t="str">
        <f t="shared" si="56"/>
        <v>62.2024265112525+9.85381180612719i</v>
      </c>
      <c r="Z139" s="227" t="str">
        <f t="shared" si="57"/>
        <v>32.3931358611466+5.12616481978294i</v>
      </c>
      <c r="AA139" s="227" t="str">
        <f t="shared" si="58"/>
        <v>17.9270119965597-4.09153109442266i</v>
      </c>
      <c r="AB139" s="227">
        <f t="shared" si="68"/>
        <v>25.290687869849037</v>
      </c>
      <c r="AC139" s="227">
        <f t="shared" si="69"/>
        <v>-12.856558354653531</v>
      </c>
      <c r="AD139" s="229">
        <f t="shared" si="70"/>
        <v>-0.37743343607495461</v>
      </c>
      <c r="AE139" s="229">
        <f t="shared" si="71"/>
        <v>106.85969508755649</v>
      </c>
      <c r="AF139" s="227">
        <f t="shared" si="59"/>
        <v>24.913254433774082</v>
      </c>
      <c r="AG139" s="227">
        <f t="shared" si="60"/>
        <v>94.003136732902959</v>
      </c>
      <c r="AH139" s="229" t="str">
        <f t="shared" si="61"/>
        <v>0.277696128545043-0.916322526231374i</v>
      </c>
    </row>
    <row r="140" spans="9:34" x14ac:dyDescent="0.2">
      <c r="I140" s="227">
        <v>136</v>
      </c>
      <c r="J140" s="227">
        <f t="shared" si="49"/>
        <v>2.3260166636425423</v>
      </c>
      <c r="K140" s="227">
        <f t="shared" si="72"/>
        <v>211.84424171699328</v>
      </c>
      <c r="L140" s="227">
        <f t="shared" si="62"/>
        <v>1331.0566269668129</v>
      </c>
      <c r="M140" s="227">
        <f t="shared" si="50"/>
        <v>5603.5067806838997</v>
      </c>
      <c r="N140" s="227">
        <f>SQRT((ABS(AC140)-171.5+'Small Signal'!C$59)^2)</f>
        <v>88.360246722264634</v>
      </c>
      <c r="O140" s="227">
        <f t="shared" si="63"/>
        <v>94.075660634352033</v>
      </c>
      <c r="P140" s="227">
        <f t="shared" si="64"/>
        <v>24.726248101064055</v>
      </c>
      <c r="Q140" s="227">
        <f t="shared" si="65"/>
        <v>211.84424171699328</v>
      </c>
      <c r="R140" s="227" t="str">
        <f t="shared" si="51"/>
        <v>0.0945666666666667+0.00625596614674402i</v>
      </c>
      <c r="S140" s="227" t="str">
        <f t="shared" si="52"/>
        <v>0.0085-28.7725342141889i</v>
      </c>
      <c r="T140" s="227" t="str">
        <f t="shared" si="53"/>
        <v>10.8448103865397-4.9335013031056i</v>
      </c>
      <c r="U140" s="227" t="str">
        <f t="shared" si="54"/>
        <v>79.3185403439593-5.85729892604049i</v>
      </c>
      <c r="V140" s="227">
        <f t="shared" si="66"/>
        <v>38.011112547471811</v>
      </c>
      <c r="W140" s="227">
        <f t="shared" si="67"/>
        <v>-4.2233565376170894</v>
      </c>
      <c r="X140" s="227" t="str">
        <f t="shared" si="55"/>
        <v>0.999999680867678-0.000166357498362228i</v>
      </c>
      <c r="Y140" s="227" t="str">
        <f t="shared" si="56"/>
        <v>62.2404747197856+10.0767363526262i</v>
      </c>
      <c r="Z140" s="227" t="str">
        <f t="shared" si="57"/>
        <v>32.412987512358+5.24213116548647i</v>
      </c>
      <c r="AA140" s="227" t="str">
        <f t="shared" si="58"/>
        <v>17.8880918912368-4.17577481061576i</v>
      </c>
      <c r="AB140" s="227">
        <f t="shared" si="68"/>
        <v>25.281720139451814</v>
      </c>
      <c r="AC140" s="227">
        <f t="shared" si="69"/>
        <v>-13.139753277735378</v>
      </c>
      <c r="AD140" s="229">
        <f t="shared" si="70"/>
        <v>-0.55547203838775994</v>
      </c>
      <c r="AE140" s="229">
        <f t="shared" si="71"/>
        <v>107.21541391208741</v>
      </c>
      <c r="AF140" s="227">
        <f t="shared" si="59"/>
        <v>24.726248101064055</v>
      </c>
      <c r="AG140" s="227">
        <f t="shared" si="60"/>
        <v>94.075660634352033</v>
      </c>
      <c r="AH140" s="229" t="str">
        <f t="shared" si="61"/>
        <v>0.277630260258283-0.896025057520788i</v>
      </c>
    </row>
    <row r="141" spans="9:34" x14ac:dyDescent="0.2">
      <c r="I141" s="227">
        <v>137</v>
      </c>
      <c r="J141" s="227">
        <f t="shared" si="49"/>
        <v>2.3357667861693256</v>
      </c>
      <c r="K141" s="227">
        <f t="shared" si="72"/>
        <v>216.65403717131503</v>
      </c>
      <c r="L141" s="227">
        <f t="shared" si="62"/>
        <v>1361.2774630959466</v>
      </c>
      <c r="M141" s="227">
        <f t="shared" si="50"/>
        <v>5598.587781731173</v>
      </c>
      <c r="N141" s="227">
        <f>SQRT((ABS(AC141)-171.5+'Small Signal'!C$59)^2)</f>
        <v>88.071204884065338</v>
      </c>
      <c r="O141" s="227">
        <f t="shared" si="63"/>
        <v>94.149031775255537</v>
      </c>
      <c r="P141" s="227">
        <f t="shared" si="64"/>
        <v>24.539558173098179</v>
      </c>
      <c r="Q141" s="227">
        <f t="shared" si="65"/>
        <v>216.65403717131503</v>
      </c>
      <c r="R141" s="227" t="str">
        <f t="shared" si="51"/>
        <v>0.0945666666666667+0.00639800407655095i</v>
      </c>
      <c r="S141" s="227" t="str">
        <f t="shared" si="52"/>
        <v>0.0085-28.1337738842197i</v>
      </c>
      <c r="T141" s="227" t="str">
        <f t="shared" si="53"/>
        <v>10.7600380584607-5.00604249589324i</v>
      </c>
      <c r="U141" s="227" t="str">
        <f t="shared" si="54"/>
        <v>79.3147241719571-5.99104303139747i</v>
      </c>
      <c r="V141" s="227">
        <f t="shared" si="66"/>
        <v>38.011784817421379</v>
      </c>
      <c r="W141" s="227">
        <f t="shared" si="67"/>
        <v>-4.3196377281875202</v>
      </c>
      <c r="X141" s="227" t="str">
        <f t="shared" si="55"/>
        <v>0.999999666211756-0.000170134544804132i</v>
      </c>
      <c r="Y141" s="227" t="str">
        <f t="shared" si="56"/>
        <v>62.2802785022771+10.3046656920933i</v>
      </c>
      <c r="Z141" s="227" t="str">
        <f t="shared" si="57"/>
        <v>32.4337551188423+5.36070076016181i</v>
      </c>
      <c r="AA141" s="227" t="str">
        <f t="shared" si="58"/>
        <v>17.8475562411087-4.26136749733555i</v>
      </c>
      <c r="AB141" s="227">
        <f t="shared" si="68"/>
        <v>25.272360436983146</v>
      </c>
      <c r="AC141" s="227">
        <f t="shared" si="69"/>
        <v>-13.428795115934657</v>
      </c>
      <c r="AD141" s="229">
        <f t="shared" si="70"/>
        <v>-0.73280226388496494</v>
      </c>
      <c r="AE141" s="229">
        <f t="shared" si="71"/>
        <v>107.5778268911902</v>
      </c>
      <c r="AF141" s="227">
        <f t="shared" si="59"/>
        <v>24.539558173098179</v>
      </c>
      <c r="AG141" s="227">
        <f t="shared" si="60"/>
        <v>94.149031775255537</v>
      </c>
      <c r="AH141" s="229" t="str">
        <f t="shared" si="61"/>
        <v>0.277567269020142-0.876179216950693i</v>
      </c>
    </row>
    <row r="142" spans="9:34" x14ac:dyDescent="0.2">
      <c r="I142" s="227">
        <v>138</v>
      </c>
      <c r="J142" s="227">
        <f t="shared" si="49"/>
        <v>2.3455169086961094</v>
      </c>
      <c r="K142" s="227">
        <f t="shared" si="72"/>
        <v>221.57303612404195</v>
      </c>
      <c r="L142" s="227">
        <f t="shared" si="62"/>
        <v>1392.184445041752</v>
      </c>
      <c r="M142" s="227">
        <f t="shared" si="50"/>
        <v>5593.5570998806206</v>
      </c>
      <c r="N142" s="227">
        <f>SQRT((ABS(AC142)-171.5+'Small Signal'!C$59)^2)</f>
        <v>87.776221299362476</v>
      </c>
      <c r="O142" s="227">
        <f t="shared" si="63"/>
        <v>94.223215231863875</v>
      </c>
      <c r="P142" s="227">
        <f t="shared" si="64"/>
        <v>24.353194945682393</v>
      </c>
      <c r="Q142" s="227">
        <f t="shared" si="65"/>
        <v>221.57303612404195</v>
      </c>
      <c r="R142" s="227" t="str">
        <f t="shared" si="51"/>
        <v>0.0945666666666667+0.00654326689169623i</v>
      </c>
      <c r="S142" s="227" t="str">
        <f t="shared" si="52"/>
        <v>0.0085-27.5091942571424i</v>
      </c>
      <c r="T142" s="227" t="str">
        <f t="shared" si="53"/>
        <v>10.6727802159095-5.07815096845362i</v>
      </c>
      <c r="U142" s="227" t="str">
        <f t="shared" si="54"/>
        <v>79.3107267539385-6.12787638411879i</v>
      </c>
      <c r="V142" s="227">
        <f t="shared" si="66"/>
        <v>38.012487803993494</v>
      </c>
      <c r="W142" s="227">
        <f t="shared" si="67"/>
        <v>-4.4181322980592608</v>
      </c>
      <c r="X142" s="227" t="str">
        <f t="shared" si="55"/>
        <v>0.999999650882771-0.000173997346802382i</v>
      </c>
      <c r="Y142" s="227" t="str">
        <f t="shared" si="56"/>
        <v>62.3219192530309+10.5377094164812i</v>
      </c>
      <c r="Z142" s="227" t="str">
        <f t="shared" si="57"/>
        <v>32.4554811459173+5.48193058925712i</v>
      </c>
      <c r="AA142" s="227" t="str">
        <f t="shared" si="58"/>
        <v>17.80534578344-4.34830486452582i</v>
      </c>
      <c r="AB142" s="227">
        <f t="shared" si="68"/>
        <v>25.262592534084575</v>
      </c>
      <c r="AC142" s="227">
        <f t="shared" si="69"/>
        <v>-13.723778700637519</v>
      </c>
      <c r="AD142" s="229">
        <f t="shared" si="70"/>
        <v>-0.90939758840218143</v>
      </c>
      <c r="AE142" s="229">
        <f t="shared" si="71"/>
        <v>107.9469939325014</v>
      </c>
      <c r="AF142" s="227">
        <f t="shared" si="59"/>
        <v>24.353194945682393</v>
      </c>
      <c r="AG142" s="227">
        <f t="shared" si="60"/>
        <v>94.223215231863875</v>
      </c>
      <c r="AH142" s="229" t="str">
        <f t="shared" si="61"/>
        <v>0.277507027814744-0.856775001910762i</v>
      </c>
    </row>
    <row r="143" spans="9:34" x14ac:dyDescent="0.2">
      <c r="I143" s="227">
        <v>139</v>
      </c>
      <c r="J143" s="227">
        <f t="shared" si="49"/>
        <v>2.3552670312228927</v>
      </c>
      <c r="K143" s="227">
        <f t="shared" si="72"/>
        <v>226.60371797459419</v>
      </c>
      <c r="L143" s="227">
        <f t="shared" si="62"/>
        <v>1423.7931513302369</v>
      </c>
      <c r="M143" s="227">
        <f t="shared" si="50"/>
        <v>5588.4121994395564</v>
      </c>
      <c r="N143" s="227">
        <f>SQRT((ABS(AC143)-171.5+'Small Signal'!C$59)^2)</f>
        <v>87.475201326004765</v>
      </c>
      <c r="O143" s="227">
        <f t="shared" si="63"/>
        <v>94.298172748177677</v>
      </c>
      <c r="P143" s="227">
        <f t="shared" si="64"/>
        <v>24.167168857943587</v>
      </c>
      <c r="Q143" s="227">
        <f t="shared" si="65"/>
        <v>226.60371797459419</v>
      </c>
      <c r="R143" s="227" t="str">
        <f t="shared" si="51"/>
        <v>0.0945666666666667+0.00669182781125211i</v>
      </c>
      <c r="S143" s="227" t="str">
        <f t="shared" si="52"/>
        <v>0.0085-26.8984805163897i</v>
      </c>
      <c r="T143" s="227" t="str">
        <f t="shared" si="53"/>
        <v>10.5830177666412-5.14973350743424i</v>
      </c>
      <c r="U143" s="227" t="str">
        <f t="shared" si="54"/>
        <v>79.3065392011121-6.26787277870394i</v>
      </c>
      <c r="V143" s="227">
        <f t="shared" si="66"/>
        <v>38.01322290298728</v>
      </c>
      <c r="W143" s="227">
        <f t="shared" si="67"/>
        <v>-4.5188924115326188</v>
      </c>
      <c r="X143" s="227" t="str">
        <f t="shared" si="55"/>
        <v>0.999999634849813-0.000177947851385047i</v>
      </c>
      <c r="Y143" s="227" t="str">
        <f t="shared" si="56"/>
        <v>62.3654821762965+10.7759793129733i</v>
      </c>
      <c r="Z143" s="227" t="str">
        <f t="shared" si="57"/>
        <v>32.4782100465028+5.60587877830614i</v>
      </c>
      <c r="AA143" s="227" t="str">
        <f t="shared" si="58"/>
        <v>17.7613997737118-4.43658056455522i</v>
      </c>
      <c r="AB143" s="227">
        <f t="shared" si="68"/>
        <v>25.25239961086897</v>
      </c>
      <c r="AC143" s="227">
        <f t="shared" si="69"/>
        <v>-14.024798673995228</v>
      </c>
      <c r="AD143" s="229">
        <f t="shared" si="70"/>
        <v>-1.0852307529253833</v>
      </c>
      <c r="AE143" s="229">
        <f t="shared" si="71"/>
        <v>108.32297142217291</v>
      </c>
      <c r="AF143" s="227">
        <f t="shared" si="59"/>
        <v>24.167168857943587</v>
      </c>
      <c r="AG143" s="227">
        <f t="shared" si="60"/>
        <v>94.298172748177677</v>
      </c>
      <c r="AH143" s="229" t="str">
        <f t="shared" si="61"/>
        <v>0.277449415171309-0.837802632350621i</v>
      </c>
    </row>
    <row r="144" spans="9:34" x14ac:dyDescent="0.2">
      <c r="I144" s="227">
        <v>140</v>
      </c>
      <c r="J144" s="227">
        <f t="shared" si="49"/>
        <v>2.365017153749676</v>
      </c>
      <c r="K144" s="227">
        <f t="shared" si="72"/>
        <v>231.74861841565829</v>
      </c>
      <c r="L144" s="227">
        <f t="shared" si="62"/>
        <v>1456.1195141884325</v>
      </c>
      <c r="M144" s="227">
        <f t="shared" si="50"/>
        <v>5583.1504871439256</v>
      </c>
      <c r="N144" s="227">
        <f>SQRT((ABS(AC144)-171.5+'Small Signal'!C$59)^2)</f>
        <v>87.168050646149993</v>
      </c>
      <c r="O144" s="227">
        <f t="shared" si="63"/>
        <v>94.373862579584298</v>
      </c>
      <c r="P144" s="227">
        <f t="shared" si="64"/>
        <v>23.98149047642918</v>
      </c>
      <c r="Q144" s="227">
        <f t="shared" si="65"/>
        <v>231.74861841565829</v>
      </c>
      <c r="R144" s="227" t="str">
        <f t="shared" si="51"/>
        <v>0.0945666666666667+0.00684376171668563i</v>
      </c>
      <c r="S144" s="227" t="str">
        <f t="shared" si="52"/>
        <v>0.0085-26.3013248344322i</v>
      </c>
      <c r="T144" s="227" t="str">
        <f t="shared" si="53"/>
        <v>10.4907356991422-5.22069388993804i</v>
      </c>
      <c r="U144" s="227" t="str">
        <f t="shared" si="54"/>
        <v>79.3021521630436-6.41110793800422i</v>
      </c>
      <c r="V144" s="227">
        <f t="shared" si="66"/>
        <v>38.013991572894646</v>
      </c>
      <c r="W144" s="227">
        <f t="shared" si="67"/>
        <v>-4.6219715508395707</v>
      </c>
      <c r="X144" s="227" t="str">
        <f t="shared" si="55"/>
        <v>0.999999618080554-0.000181988049786292i</v>
      </c>
      <c r="Y144" s="227" t="str">
        <f t="shared" si="56"/>
        <v>62.4110564679295+11.0195893920286i</v>
      </c>
      <c r="Z144" s="227" t="str">
        <f t="shared" si="57"/>
        <v>32.501988355879+5.73260460738064i</v>
      </c>
      <c r="AA144" s="227" t="str">
        <f t="shared" si="58"/>
        <v>17.7156560128062-4.52618605800024i</v>
      </c>
      <c r="AB144" s="227">
        <f t="shared" si="68"/>
        <v>25.241764241486479</v>
      </c>
      <c r="AC144" s="227">
        <f t="shared" si="69"/>
        <v>-14.331949353850005</v>
      </c>
      <c r="AD144" s="229">
        <f t="shared" si="70"/>
        <v>-1.2602737650572999</v>
      </c>
      <c r="AE144" s="229">
        <f t="shared" si="71"/>
        <v>108.7058119334343</v>
      </c>
      <c r="AF144" s="227">
        <f t="shared" si="59"/>
        <v>23.98149047642918</v>
      </c>
      <c r="AG144" s="227">
        <f t="shared" si="60"/>
        <v>94.373862579584298</v>
      </c>
      <c r="AH144" s="229" t="str">
        <f t="shared" si="61"/>
        <v>0.277394314919247-0.8192525458528i</v>
      </c>
    </row>
    <row r="145" spans="9:34" x14ac:dyDescent="0.2">
      <c r="I145" s="227">
        <v>141</v>
      </c>
      <c r="J145" s="227">
        <f t="shared" si="49"/>
        <v>2.3747672762764593</v>
      </c>
      <c r="K145" s="227">
        <f t="shared" si="72"/>
        <v>237.01033071128947</v>
      </c>
      <c r="L145" s="227">
        <f t="shared" si="62"/>
        <v>1489.1798275749486</v>
      </c>
      <c r="M145" s="227">
        <f t="shared" si="50"/>
        <v>5577.7693108511785</v>
      </c>
      <c r="N145" s="227">
        <f>SQRT((ABS(AC145)-171.5+'Small Signal'!C$59)^2)</f>
        <v>86.854675410164731</v>
      </c>
      <c r="O145" s="227">
        <f t="shared" si="63"/>
        <v>94.45023933598911</v>
      </c>
      <c r="P145" s="227">
        <f t="shared" si="64"/>
        <v>23.796170477337363</v>
      </c>
      <c r="Q145" s="227">
        <f t="shared" si="65"/>
        <v>237.01033071128947</v>
      </c>
      <c r="R145" s="227" t="str">
        <f t="shared" si="51"/>
        <v>0.0945666666666667+0.00699914518960226i</v>
      </c>
      <c r="S145" s="227" t="str">
        <f t="shared" si="52"/>
        <v>0.0085-25.7174262176191i</v>
      </c>
      <c r="T145" s="227" t="str">
        <f t="shared" si="53"/>
        <v>10.3959233675583-5.290933050248i</v>
      </c>
      <c r="U145" s="227" t="str">
        <f t="shared" si="54"/>
        <v>79.2975558013832-6.5576595744081i</v>
      </c>
      <c r="V145" s="227">
        <f t="shared" si="66"/>
        <v>38.014795337644614</v>
      </c>
      <c r="W145" s="227">
        <f t="shared" si="67"/>
        <v>-4.7274245554241245</v>
      </c>
      <c r="X145" s="227" t="str">
        <f t="shared" si="55"/>
        <v>0.999999600541178-0.000186119978450053i</v>
      </c>
      <c r="Y145" s="227" t="str">
        <f t="shared" si="56"/>
        <v>62.4587355060205+11.268655914377i</v>
      </c>
      <c r="Z145" s="227" t="str">
        <f t="shared" si="57"/>
        <v>32.5268647911199+5.86216852498681i</v>
      </c>
      <c r="AA145" s="227" t="str">
        <f t="shared" si="58"/>
        <v>17.6680508817206-4.61711047503418i</v>
      </c>
      <c r="AB145" s="227">
        <f t="shared" si="68"/>
        <v>25.230668379998669</v>
      </c>
      <c r="AC145" s="227">
        <f t="shared" si="69"/>
        <v>-14.645324589835266</v>
      </c>
      <c r="AD145" s="229">
        <f t="shared" si="70"/>
        <v>-1.4344979026613067</v>
      </c>
      <c r="AE145" s="229">
        <f t="shared" si="71"/>
        <v>109.09556392582438</v>
      </c>
      <c r="AF145" s="227">
        <f t="shared" si="59"/>
        <v>23.796170477337363</v>
      </c>
      <c r="AG145" s="227">
        <f t="shared" si="60"/>
        <v>94.45023933598911</v>
      </c>
      <c r="AH145" s="229" t="str">
        <f t="shared" si="61"/>
        <v>0.277341615953905-0.801115392815194i</v>
      </c>
    </row>
    <row r="146" spans="9:34" x14ac:dyDescent="0.2">
      <c r="I146" s="227">
        <v>142</v>
      </c>
      <c r="J146" s="227">
        <f t="shared" si="49"/>
        <v>2.3845173988032426</v>
      </c>
      <c r="K146" s="227">
        <f t="shared" si="72"/>
        <v>242.39150700403647</v>
      </c>
      <c r="L146" s="227">
        <f t="shared" si="62"/>
        <v>1522.9907553928797</v>
      </c>
      <c r="M146" s="227">
        <f t="shared" si="50"/>
        <v>5572.2659582034739</v>
      </c>
      <c r="N146" s="227">
        <f>SQRT((ABS(AC146)-171.5+'Small Signal'!C$59)^2)</f>
        <v>86.534982389624332</v>
      </c>
      <c r="O146" s="227">
        <f t="shared" si="63"/>
        <v>94.527253825209314</v>
      </c>
      <c r="P146" s="227">
        <f t="shared" si="64"/>
        <v>23.611219626790284</v>
      </c>
      <c r="Q146" s="227">
        <f t="shared" si="65"/>
        <v>242.39150700403647</v>
      </c>
      <c r="R146" s="227" t="str">
        <f t="shared" si="51"/>
        <v>0.0945666666666667+0.00715805655034653i</v>
      </c>
      <c r="S146" s="227" t="str">
        <f t="shared" si="52"/>
        <v>0.0085-25.1464903544644i</v>
      </c>
      <c r="T146" s="227" t="str">
        <f t="shared" si="53"/>
        <v>10.2985747730332-5.36034927252082i</v>
      </c>
      <c r="U146" s="227" t="str">
        <f t="shared" si="54"/>
        <v>79.2927397619112-6.70760745360306i</v>
      </c>
      <c r="V146" s="227">
        <f t="shared" si="66"/>
        <v>38.015635789461506</v>
      </c>
      <c r="W146" s="227">
        <f t="shared" si="67"/>
        <v>-4.8353076627731264</v>
      </c>
      <c r="X146" s="227" t="str">
        <f t="shared" si="55"/>
        <v>0.999999582196319-0.000190345720056489i</v>
      </c>
      <c r="Y146" s="227" t="str">
        <f t="shared" si="56"/>
        <v>62.5086170509493+11.523297416807i</v>
      </c>
      <c r="Z146" s="227" t="str">
        <f t="shared" si="57"/>
        <v>32.5528903554433+5.99463216132301i</v>
      </c>
      <c r="AA146" s="227" t="str">
        <f t="shared" si="58"/>
        <v>17.6185193844412-4.70934047263808i</v>
      </c>
      <c r="AB146" s="227">
        <f t="shared" si="68"/>
        <v>25.219093346641912</v>
      </c>
      <c r="AC146" s="227">
        <f t="shared" si="69"/>
        <v>-14.96501761037567</v>
      </c>
      <c r="AD146" s="229">
        <f t="shared" si="70"/>
        <v>-1.6078737198516293</v>
      </c>
      <c r="AE146" s="229">
        <f t="shared" si="71"/>
        <v>109.49227143558498</v>
      </c>
      <c r="AF146" s="227">
        <f t="shared" si="59"/>
        <v>23.611219626790284</v>
      </c>
      <c r="AG146" s="227">
        <f t="shared" si="60"/>
        <v>94.527253825209314</v>
      </c>
      <c r="AH146" s="229" t="str">
        <f t="shared" si="61"/>
        <v>0.277291212012553-0.78338203174065i</v>
      </c>
    </row>
    <row r="147" spans="9:34" x14ac:dyDescent="0.2">
      <c r="I147" s="227">
        <v>143</v>
      </c>
      <c r="J147" s="227">
        <f t="shared" si="49"/>
        <v>2.3942675213300264</v>
      </c>
      <c r="K147" s="227">
        <f t="shared" si="72"/>
        <v>247.8948596517416</v>
      </c>
      <c r="L147" s="227">
        <f t="shared" si="62"/>
        <v>1557.5693398891685</v>
      </c>
      <c r="M147" s="227">
        <f t="shared" si="50"/>
        <v>5566.6376552605243</v>
      </c>
      <c r="N147" s="227">
        <f>SQRT((ABS(AC147)-171.5+'Small Signal'!C$59)^2)</f>
        <v>86.208879139678771</v>
      </c>
      <c r="O147" s="227">
        <f t="shared" si="63"/>
        <v>94.604852897486452</v>
      </c>
      <c r="P147" s="227">
        <f t="shared" si="64"/>
        <v>23.426648759059958</v>
      </c>
      <c r="Q147" s="227">
        <f t="shared" si="65"/>
        <v>247.8948596517416</v>
      </c>
      <c r="R147" s="227" t="str">
        <f t="shared" si="51"/>
        <v>0.0945666666666667+0.00732057589747909i</v>
      </c>
      <c r="S147" s="227" t="str">
        <f t="shared" si="52"/>
        <v>0.0085-24.5882294672998i</v>
      </c>
      <c r="T147" s="227" t="str">
        <f t="shared" si="53"/>
        <v>10.1986888390963-5.42883841003933i</v>
      </c>
      <c r="U147" s="227" t="str">
        <f t="shared" si="54"/>
        <v>79.2876931447636-6.86103346104877i</v>
      </c>
      <c r="V147" s="227">
        <f t="shared" si="66"/>
        <v>38.016514591839481</v>
      </c>
      <c r="W147" s="227">
        <f t="shared" si="67"/>
        <v>-4.9456785508779779</v>
      </c>
      <c r="X147" s="227" t="str">
        <f t="shared" si="55"/>
        <v>0.999999563008985-0.000194667404571759i</v>
      </c>
      <c r="Y147" s="227" t="str">
        <f t="shared" si="56"/>
        <v>62.5608034553646+11.7836347365676i</v>
      </c>
      <c r="Z147" s="227" t="str">
        <f t="shared" si="57"/>
        <v>32.5801184477357+6.13005834080507i</v>
      </c>
      <c r="AA147" s="227" t="str">
        <f t="shared" si="58"/>
        <v>17.5669951996156-4.80286008789788i</v>
      </c>
      <c r="AB147" s="227">
        <f t="shared" si="68"/>
        <v>25.207019814561981</v>
      </c>
      <c r="AC147" s="227">
        <f t="shared" si="69"/>
        <v>-15.291120860321232</v>
      </c>
      <c r="AD147" s="229">
        <f t="shared" si="70"/>
        <v>-1.7803710555020249</v>
      </c>
      <c r="AE147" s="229">
        <f t="shared" si="71"/>
        <v>109.89597375780768</v>
      </c>
      <c r="AF147" s="227">
        <f t="shared" si="59"/>
        <v>23.426648759059958</v>
      </c>
      <c r="AG147" s="227">
        <f t="shared" si="60"/>
        <v>94.604852897486452</v>
      </c>
      <c r="AH147" s="229" t="str">
        <f t="shared" si="61"/>
        <v>0.277243001460121-0.766043524631287i</v>
      </c>
    </row>
    <row r="148" spans="9:34" x14ac:dyDescent="0.2">
      <c r="I148" s="227">
        <v>144</v>
      </c>
      <c r="J148" s="227">
        <f t="shared" si="49"/>
        <v>2.4040176438568097</v>
      </c>
      <c r="K148" s="227">
        <f t="shared" si="72"/>
        <v>253.52316259469112</v>
      </c>
      <c r="L148" s="227">
        <f t="shared" si="62"/>
        <v>1592.9330102446645</v>
      </c>
      <c r="M148" s="227">
        <f t="shared" si="50"/>
        <v>5560.8815651014047</v>
      </c>
      <c r="N148" s="227">
        <f>SQRT((ABS(AC148)-171.5+'Small Signal'!C$59)^2)</f>
        <v>85.876274171026637</v>
      </c>
      <c r="O148" s="227">
        <f t="shared" si="63"/>
        <v>94.682979292059144</v>
      </c>
      <c r="P148" s="227">
        <f t="shared" si="64"/>
        <v>23.242468752664848</v>
      </c>
      <c r="Q148" s="227">
        <f t="shared" si="65"/>
        <v>253.52316259469112</v>
      </c>
      <c r="R148" s="227" t="str">
        <f t="shared" si="51"/>
        <v>0.0945666666666667+0.00748678514814992i</v>
      </c>
      <c r="S148" s="227" t="str">
        <f t="shared" si="52"/>
        <v>0.0085-24.0423621672221i</v>
      </c>
      <c r="T148" s="227" t="str">
        <f t="shared" si="53"/>
        <v>10.0962696785909-5.49629413140146i</v>
      </c>
      <c r="U148" s="227" t="str">
        <f t="shared" si="54"/>
        <v>79.2824044727168-7.01802167131005i</v>
      </c>
      <c r="V148" s="227">
        <f t="shared" si="66"/>
        <v>38.017433482638843</v>
      </c>
      <c r="W148" s="227">
        <f t="shared" si="67"/>
        <v>-5.0585963824151978</v>
      </c>
      <c r="X148" s="227" t="str">
        <f t="shared" si="55"/>
        <v>0.999999542940487-0.000199087210321611i</v>
      </c>
      <c r="Y148" s="227" t="str">
        <f t="shared" si="56"/>
        <v>62.6154018846189+12.0497910341911i</v>
      </c>
      <c r="Z148" s="227" t="str">
        <f t="shared" si="57"/>
        <v>32.6086049775297+6.26851109375813i</v>
      </c>
      <c r="AA148" s="227" t="str">
        <f t="shared" si="58"/>
        <v>17.5134107416877-4.8976505877127i</v>
      </c>
      <c r="AB148" s="227">
        <f t="shared" si="68"/>
        <v>25.194427797110567</v>
      </c>
      <c r="AC148" s="227">
        <f t="shared" si="69"/>
        <v>-15.623725828973361</v>
      </c>
      <c r="AD148" s="229">
        <f t="shared" si="70"/>
        <v>-1.9519590444457189</v>
      </c>
      <c r="AE148" s="229">
        <f t="shared" si="71"/>
        <v>110.30670512103251</v>
      </c>
      <c r="AF148" s="227">
        <f t="shared" si="59"/>
        <v>23.242468752664848</v>
      </c>
      <c r="AG148" s="227">
        <f t="shared" si="60"/>
        <v>94.682979292059144</v>
      </c>
      <c r="AH148" s="229" t="str">
        <f t="shared" si="61"/>
        <v>0.277196887084269-0.749091132485267i</v>
      </c>
    </row>
    <row r="149" spans="9:34" x14ac:dyDescent="0.2">
      <c r="I149" s="227">
        <v>145</v>
      </c>
      <c r="J149" s="227">
        <f t="shared" si="49"/>
        <v>2.413767766383593</v>
      </c>
      <c r="K149" s="227">
        <f t="shared" si="72"/>
        <v>259.27925275381034</v>
      </c>
      <c r="L149" s="227">
        <f t="shared" si="62"/>
        <v>1629.0995913592435</v>
      </c>
      <c r="M149" s="227">
        <f t="shared" si="50"/>
        <v>5554.9947863946172</v>
      </c>
      <c r="N149" s="227">
        <f>SQRT((ABS(AC149)-171.5+'Small Signal'!C$59)^2)</f>
        <v>85.537077131715137</v>
      </c>
      <c r="O149" s="227">
        <f t="shared" si="63"/>
        <v>94.761571486828245</v>
      </c>
      <c r="P149" s="227">
        <f t="shared" si="64"/>
        <v>23.058690504262408</v>
      </c>
      <c r="Q149" s="227">
        <f t="shared" si="65"/>
        <v>259.27925275381034</v>
      </c>
      <c r="R149" s="227" t="str">
        <f t="shared" si="51"/>
        <v>0.0945666666666667+0.00765676807938844i</v>
      </c>
      <c r="S149" s="227" t="str">
        <f t="shared" si="52"/>
        <v>0.0085-23.5086133122602i</v>
      </c>
      <c r="T149" s="227" t="str">
        <f t="shared" si="53"/>
        <v>9.99132684949991-5.56260819378538i</v>
      </c>
      <c r="U149" s="227" t="str">
        <f t="shared" si="54"/>
        <v>79.2768616573769-7.17865842040255i</v>
      </c>
      <c r="V149" s="227">
        <f t="shared" si="66"/>
        <v>38.018394277307074</v>
      </c>
      <c r="W149" s="227">
        <f t="shared" si="67"/>
        <v>-5.1741218507375919</v>
      </c>
      <c r="X149" s="227" t="str">
        <f t="shared" si="55"/>
        <v>0.999999521950358-0.000203607365089366i</v>
      </c>
      <c r="Y149" s="227" t="str">
        <f t="shared" si="56"/>
        <v>62.6725245481944+12.3218918145254i</v>
      </c>
      <c r="Z149" s="227" t="str">
        <f t="shared" si="57"/>
        <v>32.638408485712+6.41005566716368i</v>
      </c>
      <c r="AA149" s="227" t="str">
        <f t="shared" si="58"/>
        <v>17.4576972321757-4.99369031530327i</v>
      </c>
      <c r="AB149" s="227">
        <f t="shared" si="68"/>
        <v>25.181296635802557</v>
      </c>
      <c r="AC149" s="227">
        <f t="shared" si="69"/>
        <v>-15.962922868284853</v>
      </c>
      <c r="AD149" s="229">
        <f t="shared" si="70"/>
        <v>-2.1226061315401497</v>
      </c>
      <c r="AE149" s="229">
        <f t="shared" si="71"/>
        <v>110.72449435511309</v>
      </c>
      <c r="AF149" s="227">
        <f t="shared" si="59"/>
        <v>23.058690504262408</v>
      </c>
      <c r="AG149" s="227">
        <f t="shared" si="60"/>
        <v>94.761571486828245</v>
      </c>
      <c r="AH149" s="229" t="str">
        <f t="shared" si="61"/>
        <v>0.27715277589937-0.732516310893731i</v>
      </c>
    </row>
    <row r="150" spans="9:34" x14ac:dyDescent="0.2">
      <c r="I150" s="227">
        <v>146</v>
      </c>
      <c r="J150" s="227">
        <f t="shared" si="49"/>
        <v>2.4235178889103763</v>
      </c>
      <c r="K150" s="227">
        <f t="shared" si="72"/>
        <v>265.16603146059816</v>
      </c>
      <c r="L150" s="227">
        <f t="shared" si="62"/>
        <v>1666.0873128363503</v>
      </c>
      <c r="M150" s="227">
        <f t="shared" si="50"/>
        <v>5548.9743519356834</v>
      </c>
      <c r="N150" s="227">
        <f>SQRT((ABS(AC150)-171.5+'Small Signal'!C$59)^2)</f>
        <v>85.191198998963955</v>
      </c>
      <c r="O150" s="227">
        <f t="shared" si="63"/>
        <v>94.840563552246266</v>
      </c>
      <c r="P150" s="227">
        <f t="shared" si="64"/>
        <v>22.875324900267426</v>
      </c>
      <c r="Q150" s="227">
        <f t="shared" si="65"/>
        <v>265.16603146059816</v>
      </c>
      <c r="R150" s="227" t="str">
        <f t="shared" si="51"/>
        <v>0.0945666666666667+0.00783061037033085i</v>
      </c>
      <c r="S150" s="227" t="str">
        <f t="shared" si="52"/>
        <v>0.0085-22.986713868691i</v>
      </c>
      <c r="T150" s="227" t="str">
        <f t="shared" si="53"/>
        <v>9.8838755969174-5.62767074316779i</v>
      </c>
      <c r="U150" s="227" t="str">
        <f t="shared" si="54"/>
        <v>79.2710519631161-7.3430323813157i</v>
      </c>
      <c r="V150" s="227">
        <f t="shared" si="66"/>
        <v>38.019398872228798</v>
      </c>
      <c r="W150" s="227">
        <f t="shared" si="67"/>
        <v>-5.2923172277749204</v>
      </c>
      <c r="X150" s="227" t="str">
        <f t="shared" si="55"/>
        <v>0.999999499996272-0.000208230147238817i</v>
      </c>
      <c r="Y150" s="227" t="str">
        <f t="shared" si="56"/>
        <v>62.7322889427225+12.600064945739i</v>
      </c>
      <c r="Z150" s="227" t="str">
        <f t="shared" si="57"/>
        <v>32.669590271277+6.55475853433813i</v>
      </c>
      <c r="AA150" s="227" t="str">
        <f t="shared" si="58"/>
        <v>17.3997847817786-5.09095453397363i</v>
      </c>
      <c r="AB150" s="227">
        <f t="shared" si="68"/>
        <v>25.167604989035667</v>
      </c>
      <c r="AC150" s="227">
        <f t="shared" si="69"/>
        <v>-16.308801001036048</v>
      </c>
      <c r="AD150" s="229">
        <f t="shared" si="70"/>
        <v>-2.2922800887682397</v>
      </c>
      <c r="AE150" s="229">
        <f t="shared" si="71"/>
        <v>111.14936455328231</v>
      </c>
      <c r="AF150" s="227">
        <f t="shared" si="59"/>
        <v>22.875324900267426</v>
      </c>
      <c r="AG150" s="227">
        <f t="shared" si="60"/>
        <v>94.840563552246266</v>
      </c>
      <c r="AH150" s="229" t="str">
        <f t="shared" si="61"/>
        <v>0.277110578959024-0.716310705735698i</v>
      </c>
    </row>
    <row r="151" spans="9:34" x14ac:dyDescent="0.2">
      <c r="I151" s="227">
        <v>147</v>
      </c>
      <c r="J151" s="227">
        <f t="shared" si="49"/>
        <v>2.4332680114371597</v>
      </c>
      <c r="K151" s="227">
        <f t="shared" si="72"/>
        <v>271.18646591953211</v>
      </c>
      <c r="L151" s="227">
        <f t="shared" si="62"/>
        <v>1703.9148181715618</v>
      </c>
      <c r="M151" s="227">
        <f t="shared" si="50"/>
        <v>5542.8172271515414</v>
      </c>
      <c r="N151" s="227">
        <f>SQRT((ABS(AC151)-171.5+'Small Signal'!C$59)^2)</f>
        <v>84.838552281166784</v>
      </c>
      <c r="O151" s="227">
        <f t="shared" si="63"/>
        <v>94.919885010642901</v>
      </c>
      <c r="P151" s="227">
        <f t="shared" si="64"/>
        <v>22.692382786139962</v>
      </c>
      <c r="Q151" s="227">
        <f t="shared" si="65"/>
        <v>271.18646591953211</v>
      </c>
      <c r="R151" s="227" t="str">
        <f t="shared" si="51"/>
        <v>0.0945666666666667+0.00800839964540634i</v>
      </c>
      <c r="S151" s="227" t="str">
        <f t="shared" si="52"/>
        <v>0.0085-22.4764007754345i</v>
      </c>
      <c r="T151" s="227" t="str">
        <f t="shared" si="53"/>
        <v>9.77393707833201-5.69137064108656i</v>
      </c>
      <c r="U151" s="227" t="str">
        <f t="shared" si="54"/>
        <v>79.2649619685952-7.5112346428866i</v>
      </c>
      <c r="V151" s="227">
        <f t="shared" si="66"/>
        <v>38.02044924820963</v>
      </c>
      <c r="W151" s="227">
        <f t="shared" si="67"/>
        <v>-5.4132464139481984</v>
      </c>
      <c r="X151" s="227" t="str">
        <f t="shared" si="55"/>
        <v>0.999999477033961-0.00021295788686263i</v>
      </c>
      <c r="Y151" s="227" t="str">
        <f t="shared" si="56"/>
        <v>62.794818107208+12.8844406760493i</v>
      </c>
      <c r="Z151" s="227" t="str">
        <f t="shared" si="57"/>
        <v>32.7022145244437+6.70268740341175i</v>
      </c>
      <c r="AA151" s="227" t="str">
        <f t="shared" si="58"/>
        <v>17.3396024840103-5.18941526865845i</v>
      </c>
      <c r="AB151" s="227">
        <f t="shared" si="68"/>
        <v>25.153330821685088</v>
      </c>
      <c r="AC151" s="227">
        <f t="shared" si="69"/>
        <v>-16.661447718833209</v>
      </c>
      <c r="AD151" s="229">
        <f t="shared" si="70"/>
        <v>-2.4609480355451265</v>
      </c>
      <c r="AE151" s="229">
        <f t="shared" si="71"/>
        <v>111.58133272947612</v>
      </c>
      <c r="AF151" s="227">
        <f t="shared" si="59"/>
        <v>22.692382786139962</v>
      </c>
      <c r="AG151" s="227">
        <f t="shared" si="60"/>
        <v>94.919885010642901</v>
      </c>
      <c r="AH151" s="229" t="str">
        <f t="shared" si="61"/>
        <v>0.277070211176709-0.70046614896877i</v>
      </c>
    </row>
    <row r="152" spans="9:34" x14ac:dyDescent="0.2">
      <c r="I152" s="227">
        <v>148</v>
      </c>
      <c r="J152" s="227">
        <f t="shared" si="49"/>
        <v>2.4430181339639434</v>
      </c>
      <c r="K152" s="227">
        <f t="shared" si="72"/>
        <v>277.34359070367395</v>
      </c>
      <c r="L152" s="227">
        <f t="shared" si="62"/>
        <v>1742.601174149753</v>
      </c>
      <c r="M152" s="227">
        <f t="shared" si="50"/>
        <v>5536.5203085709845</v>
      </c>
      <c r="N152" s="227">
        <f>SQRT((ABS(AC152)-171.5+'Small Signal'!C$59)^2)</f>
        <v>84.479051230200241</v>
      </c>
      <c r="O152" s="227">
        <f t="shared" si="63"/>
        <v>94.999460702305328</v>
      </c>
      <c r="P152" s="227">
        <f t="shared" si="64"/>
        <v>22.509874933295368</v>
      </c>
      <c r="Q152" s="227">
        <f t="shared" si="65"/>
        <v>277.34359070367395</v>
      </c>
      <c r="R152" s="227" t="str">
        <f t="shared" si="51"/>
        <v>0.0945666666666667+0.00819022551850384i</v>
      </c>
      <c r="S152" s="227" t="str">
        <f t="shared" si="52"/>
        <v>0.0085-21.9774168114582i</v>
      </c>
      <c r="T152" s="227" t="str">
        <f t="shared" si="53"/>
        <v>9.66153856933007-5.75359581723238i</v>
      </c>
      <c r="U152" s="227" t="str">
        <f t="shared" si="54"/>
        <v>79.2585775256747-7.68335879220814i</v>
      </c>
      <c r="V152" s="227">
        <f t="shared" si="66"/>
        <v>38.021547474096693</v>
      </c>
      <c r="W152" s="227">
        <f t="shared" si="67"/>
        <v>-5.536974990209484</v>
      </c>
      <c r="X152" s="227" t="str">
        <f t="shared" si="55"/>
        <v>0.999999453017121-0.000217792966956817i</v>
      </c>
      <c r="Y152" s="227" t="str">
        <f t="shared" si="56"/>
        <v>62.8602408911126+13.1751516478887i</v>
      </c>
      <c r="Z152" s="227" t="str">
        <f t="shared" si="57"/>
        <v>32.7363484664782+6.85391122445858i</v>
      </c>
      <c r="AA152" s="227" t="str">
        <f t="shared" si="58"/>
        <v>17.2770785210575-5.28904114586171i</v>
      </c>
      <c r="AB152" s="227">
        <f t="shared" si="68"/>
        <v>25.13845139568997</v>
      </c>
      <c r="AC152" s="227">
        <f t="shared" si="69"/>
        <v>-17.020948769799752</v>
      </c>
      <c r="AD152" s="229">
        <f t="shared" si="70"/>
        <v>-2.6285764623946029</v>
      </c>
      <c r="AE152" s="229">
        <f t="shared" si="71"/>
        <v>112.02040947210509</v>
      </c>
      <c r="AF152" s="227">
        <f t="shared" si="59"/>
        <v>22.509874933295368</v>
      </c>
      <c r="AG152" s="227">
        <f t="shared" si="60"/>
        <v>94.999460702305328</v>
      </c>
      <c r="AH152" s="229" t="str">
        <f t="shared" si="61"/>
        <v>0.277031591154217-0.684974654513519i</v>
      </c>
    </row>
    <row r="153" spans="9:34" x14ac:dyDescent="0.2">
      <c r="I153" s="227">
        <v>149</v>
      </c>
      <c r="J153" s="227">
        <f t="shared" si="49"/>
        <v>2.4527682564907263</v>
      </c>
      <c r="K153" s="227">
        <f t="shared" si="72"/>
        <v>283.64050928423097</v>
      </c>
      <c r="L153" s="227">
        <f t="shared" si="62"/>
        <v>1782.165880455615</v>
      </c>
      <c r="M153" s="227">
        <f t="shared" si="50"/>
        <v>5530.0804222603647</v>
      </c>
      <c r="N153" s="227">
        <f>SQRT((ABS(AC153)-171.5+'Small Signal'!C$59)^2)</f>
        <v>84.11261206411578</v>
      </c>
      <c r="O153" s="227">
        <f t="shared" si="63"/>
        <v>95.079210659710711</v>
      </c>
      <c r="P153" s="227">
        <f t="shared" si="64"/>
        <v>22.327812003603945</v>
      </c>
      <c r="Q153" s="227">
        <f t="shared" si="65"/>
        <v>283.64050928423097</v>
      </c>
      <c r="R153" s="227" t="str">
        <f t="shared" si="51"/>
        <v>0.0945666666666667+0.00837617963814139i</v>
      </c>
      <c r="S153" s="227" t="str">
        <f t="shared" si="52"/>
        <v>0.0085-21.4895104661271i</v>
      </c>
      <c r="T153" s="227" t="str">
        <f t="shared" si="53"/>
        <v>9.54671364681057-5.8142336468301i</v>
      </c>
      <c r="U153" s="227" t="str">
        <f t="shared" si="54"/>
        <v>79.2518837155269-7.85950100076702i</v>
      </c>
      <c r="V153" s="227">
        <f t="shared" si="66"/>
        <v>38.022695710541441</v>
      </c>
      <c r="W153" s="227">
        <f t="shared" si="67"/>
        <v>-5.663570272325634</v>
      </c>
      <c r="X153" s="227" t="str">
        <f t="shared" si="55"/>
        <v>0.999999427897326-0.000222737824621872i</v>
      </c>
      <c r="Y153" s="227" t="str">
        <f t="shared" si="56"/>
        <v>62.9286922359966+13.4723329092044i</v>
      </c>
      <c r="Z153" s="227" t="str">
        <f t="shared" si="57"/>
        <v>32.7720624965845+7.00850019511775i</v>
      </c>
      <c r="AA153" s="227" t="str">
        <f t="shared" si="58"/>
        <v>17.2121402825543-5.38979723268007i</v>
      </c>
      <c r="AB153" s="227">
        <f t="shared" si="68"/>
        <v>25.12294326175666</v>
      </c>
      <c r="AC153" s="227">
        <f t="shared" si="69"/>
        <v>-17.387387935884217</v>
      </c>
      <c r="AD153" s="229">
        <f t="shared" si="70"/>
        <v>-2.7951312581527139</v>
      </c>
      <c r="AE153" s="229">
        <f t="shared" si="71"/>
        <v>112.46659859559493</v>
      </c>
      <c r="AF153" s="227">
        <f t="shared" si="59"/>
        <v>22.327812003603945</v>
      </c>
      <c r="AG153" s="227">
        <f t="shared" si="60"/>
        <v>95.079210659710711</v>
      </c>
      <c r="AH153" s="229" t="str">
        <f t="shared" si="61"/>
        <v>0.276994641017524-0.6698284142295i</v>
      </c>
    </row>
    <row r="154" spans="9:34" x14ac:dyDescent="0.2">
      <c r="I154" s="227">
        <v>150</v>
      </c>
      <c r="J154" s="227">
        <f t="shared" si="49"/>
        <v>2.46251837901751</v>
      </c>
      <c r="K154" s="227">
        <f t="shared" si="72"/>
        <v>290.08039559485076</v>
      </c>
      <c r="L154" s="227">
        <f t="shared" si="62"/>
        <v>1822.6288795024082</v>
      </c>
      <c r="M154" s="227">
        <f t="shared" si="50"/>
        <v>5523.4943222237916</v>
      </c>
      <c r="N154" s="227">
        <f>SQRT((ABS(AC154)-171.5+'Small Signal'!C$59)^2)</f>
        <v>83.739153200251735</v>
      </c>
      <c r="O154" s="227">
        <f t="shared" si="63"/>
        <v>95.159049991407073</v>
      </c>
      <c r="P154" s="227">
        <f t="shared" si="64"/>
        <v>22.146204511462685</v>
      </c>
      <c r="Q154" s="227">
        <f t="shared" si="65"/>
        <v>290.08039559485076</v>
      </c>
      <c r="R154" s="227" t="str">
        <f t="shared" si="51"/>
        <v>0.0945666666666667+0.00856635573366132i</v>
      </c>
      <c r="S154" s="227" t="str">
        <f t="shared" si="52"/>
        <v>0.0085-21.01243581243i</v>
      </c>
      <c r="T154" s="227" t="str">
        <f t="shared" si="53"/>
        <v>9.42950234681757-5.87317135143249i</v>
      </c>
      <c r="U154" s="227" t="str">
        <f t="shared" si="54"/>
        <v>79.2448648017184-8.03976011451696i</v>
      </c>
      <c r="V154" s="227">
        <f t="shared" si="66"/>
        <v>38.023896213907115</v>
      </c>
      <c r="W154" s="227">
        <f t="shared" si="67"/>
        <v>-5.7931013675326675</v>
      </c>
      <c r="X154" s="227" t="str">
        <f t="shared" si="55"/>
        <v>0.999999401623922-0.000227794952291186i</v>
      </c>
      <c r="Y154" s="227" t="str">
        <f t="shared" si="56"/>
        <v>63.0003134714479+13.776121921553i</v>
      </c>
      <c r="Z154" s="227" t="str">
        <f t="shared" si="57"/>
        <v>32.8094303462442+7.16652576452873i</v>
      </c>
      <c r="AA154" s="227" t="str">
        <f t="shared" si="58"/>
        <v>17.1447144979541-5.49164487568985i</v>
      </c>
      <c r="AB154" s="227">
        <f t="shared" si="68"/>
        <v>25.106782252310129</v>
      </c>
      <c r="AC154" s="227">
        <f t="shared" si="69"/>
        <v>-17.760846799748276</v>
      </c>
      <c r="AD154" s="229">
        <f t="shared" si="70"/>
        <v>-2.9605777408474427</v>
      </c>
      <c r="AE154" s="229">
        <f t="shared" si="71"/>
        <v>112.91989679115535</v>
      </c>
      <c r="AF154" s="227">
        <f t="shared" si="59"/>
        <v>22.146204511462685</v>
      </c>
      <c r="AG154" s="227">
        <f t="shared" si="60"/>
        <v>95.159049991407073</v>
      </c>
      <c r="AH154" s="229" t="str">
        <f t="shared" si="61"/>
        <v>0.276959286259776-0.655019793980841i</v>
      </c>
    </row>
    <row r="155" spans="9:34" x14ac:dyDescent="0.2">
      <c r="I155" s="227">
        <v>151</v>
      </c>
      <c r="J155" s="227">
        <f t="shared" si="49"/>
        <v>2.4722685015442938</v>
      </c>
      <c r="K155" s="227">
        <f t="shared" si="72"/>
        <v>296.66649563142352</v>
      </c>
      <c r="L155" s="227">
        <f t="shared" si="62"/>
        <v>1864.0105664838172</v>
      </c>
      <c r="M155" s="227">
        <f t="shared" si="50"/>
        <v>5516.7586887670004</v>
      </c>
      <c r="N155" s="227">
        <f>SQRT((ABS(AC155)-171.5+'Small Signal'!C$59)^2)</f>
        <v>83.358595498741352</v>
      </c>
      <c r="O155" s="227">
        <f t="shared" si="63"/>
        <v>95.238888777110205</v>
      </c>
      <c r="P155" s="227">
        <f t="shared" si="64"/>
        <v>21.96506278343983</v>
      </c>
      <c r="Q155" s="227">
        <f t="shared" si="65"/>
        <v>296.66649563142352</v>
      </c>
      <c r="R155" s="227" t="str">
        <f t="shared" si="51"/>
        <v>0.0945666666666667+0.00876084966247394i</v>
      </c>
      <c r="S155" s="227" t="str">
        <f t="shared" si="52"/>
        <v>0.0085-20.5459523830216i</v>
      </c>
      <c r="T155" s="227" t="str">
        <f t="shared" si="53"/>
        <v>9.30995129415645-5.93029642140163i</v>
      </c>
      <c r="U155" s="227" t="str">
        <f t="shared" si="54"/>
        <v>79.2375041800364-8.22423774810566i</v>
      </c>
      <c r="V155" s="227">
        <f t="shared" si="66"/>
        <v>38.025151340326211</v>
      </c>
      <c r="W155" s="227">
        <f t="shared" si="67"/>
        <v>-5.9256392336949704</v>
      </c>
      <c r="X155" s="227" t="str">
        <f t="shared" si="55"/>
        <v>0.999999374143931-0.000232966898987341i</v>
      </c>
      <c r="Y155" s="227" t="str">
        <f t="shared" si="56"/>
        <v>63.0752526260799+14.0866585646233i</v>
      </c>
      <c r="Z155" s="227" t="str">
        <f t="shared" si="57"/>
        <v>32.8485292414133+7.32806063538836i</v>
      </c>
      <c r="AA155" s="227" t="str">
        <f t="shared" si="58"/>
        <v>17.0747273831592-5.59454154057151i</v>
      </c>
      <c r="AB155" s="227">
        <f t="shared" si="68"/>
        <v>25.089943475831689</v>
      </c>
      <c r="AC155" s="227">
        <f t="shared" si="69"/>
        <v>-18.141404501258663</v>
      </c>
      <c r="AD155" s="229">
        <f t="shared" si="70"/>
        <v>-3.1248806923918595</v>
      </c>
      <c r="AE155" s="229">
        <f t="shared" si="71"/>
        <v>113.38029327836887</v>
      </c>
      <c r="AF155" s="227">
        <f t="shared" si="59"/>
        <v>21.96506278343983</v>
      </c>
      <c r="AG155" s="227">
        <f t="shared" si="60"/>
        <v>95.238888777110205</v>
      </c>
      <c r="AH155" s="229" t="str">
        <f t="shared" si="61"/>
        <v>0.276925455591045-0.640541329789483i</v>
      </c>
    </row>
    <row r="156" spans="9:34" x14ac:dyDescent="0.2">
      <c r="I156" s="227">
        <v>152</v>
      </c>
      <c r="J156" s="227">
        <f t="shared" si="49"/>
        <v>2.4820186240710767</v>
      </c>
      <c r="K156" s="227">
        <f t="shared" si="72"/>
        <v>303.40212908821462</v>
      </c>
      <c r="L156" s="227">
        <f t="shared" si="62"/>
        <v>1906.3317996540743</v>
      </c>
      <c r="M156" s="227">
        <f t="shared" si="50"/>
        <v>5509.870126824072</v>
      </c>
      <c r="N156" s="227">
        <f>SQRT((ABS(AC156)-171.5+'Small Signal'!C$59)^2)</f>
        <v>82.970862516336837</v>
      </c>
      <c r="O156" s="227">
        <f t="shared" si="63"/>
        <v>95.318631975673497</v>
      </c>
      <c r="P156" s="227">
        <f t="shared" si="64"/>
        <v>21.784396915511646</v>
      </c>
      <c r="Q156" s="227">
        <f t="shared" si="65"/>
        <v>303.40212908821462</v>
      </c>
      <c r="R156" s="227" t="str">
        <f t="shared" si="51"/>
        <v>0.0945666666666667+0.00895975945837415i</v>
      </c>
      <c r="S156" s="227" t="str">
        <f t="shared" si="52"/>
        <v>0.0085-20.0898250490157i</v>
      </c>
      <c r="T156" s="227" t="str">
        <f t="shared" si="53"/>
        <v>9.18811380106007-5.98549705800113i</v>
      </c>
      <c r="U156" s="227" t="str">
        <f t="shared" si="54"/>
        <v>79.2297843248007-8.41303838348764i</v>
      </c>
      <c r="V156" s="227">
        <f t="shared" si="66"/>
        <v>38.026463549911519</v>
      </c>
      <c r="W156" s="227">
        <f t="shared" si="67"/>
        <v>-6.0612567411137395</v>
      </c>
      <c r="X156" s="227" t="str">
        <f t="shared" si="55"/>
        <v>0.999999345401942-0.000238256271606936i</v>
      </c>
      <c r="Y156" s="227" t="str">
        <f t="shared" si="56"/>
        <v>63.153664754425+14.4040851367794i</v>
      </c>
      <c r="Z156" s="227" t="str">
        <f t="shared" si="57"/>
        <v>32.8894400730052+7.49317876391589i</v>
      </c>
      <c r="AA156" s="227" t="str">
        <f t="shared" si="58"/>
        <v>17.0021048020387-5.69844065344086i</v>
      </c>
      <c r="AB156" s="227">
        <f t="shared" si="68"/>
        <v>25.072401312727173</v>
      </c>
      <c r="AC156" s="227">
        <f t="shared" si="69"/>
        <v>-18.529137483663163</v>
      </c>
      <c r="AD156" s="229">
        <f t="shared" si="70"/>
        <v>-3.2880043972155262</v>
      </c>
      <c r="AE156" s="229">
        <f t="shared" si="71"/>
        <v>113.84776945933666</v>
      </c>
      <c r="AF156" s="227">
        <f t="shared" si="59"/>
        <v>21.784396915511646</v>
      </c>
      <c r="AG156" s="227">
        <f t="shared" si="60"/>
        <v>95.318631975673497</v>
      </c>
      <c r="AH156" s="229" t="str">
        <f t="shared" si="61"/>
        <v>0.276893080794596-0.626385724074072i</v>
      </c>
    </row>
    <row r="157" spans="9:34" x14ac:dyDescent="0.2">
      <c r="I157" s="227">
        <v>153</v>
      </c>
      <c r="J157" s="227">
        <f t="shared" si="49"/>
        <v>2.4917687465978604</v>
      </c>
      <c r="K157" s="227">
        <f t="shared" si="72"/>
        <v>310.29069103114273</v>
      </c>
      <c r="L157" s="227">
        <f t="shared" si="62"/>
        <v>1949.6139108414766</v>
      </c>
      <c r="M157" s="227">
        <f t="shared" si="50"/>
        <v>5502.8251642461719</v>
      </c>
      <c r="N157" s="227">
        <f>SQRT((ABS(AC157)-171.5+'Small Signal'!C$59)^2)</f>
        <v>82.575880770402051</v>
      </c>
      <c r="O157" s="227">
        <f t="shared" si="63"/>
        <v>95.39817934764551</v>
      </c>
      <c r="P157" s="227">
        <f t="shared" si="64"/>
        <v>21.604216727934489</v>
      </c>
      <c r="Q157" s="227">
        <f t="shared" si="65"/>
        <v>310.29069103114273</v>
      </c>
      <c r="R157" s="227" t="str">
        <f t="shared" si="51"/>
        <v>0.0945666666666667+0.00916318538095494i</v>
      </c>
      <c r="S157" s="227" t="str">
        <f t="shared" si="52"/>
        <v>0.0085-19.6438239014696i</v>
      </c>
      <c r="T157" s="227" t="str">
        <f t="shared" si="53"/>
        <v>9.06404993231909-6.03866263267243i</v>
      </c>
      <c r="U157" s="227" t="str">
        <f t="shared" si="54"/>
        <v>79.2216867313742-8.60626947316556i</v>
      </c>
      <c r="V157" s="227">
        <f t="shared" si="66"/>
        <v>38.02783541112364</v>
      </c>
      <c r="W157" s="227">
        <f t="shared" si="67"/>
        <v>-6.2000287371370169</v>
      </c>
      <c r="X157" s="227" t="str">
        <f t="shared" si="55"/>
        <v>0.999999315339997-0.000243665736234583i</v>
      </c>
      <c r="Y157" s="227" t="str">
        <f t="shared" si="56"/>
        <v>63.2357122805908+14.7285463511808i</v>
      </c>
      <c r="Z157" s="227" t="str">
        <f t="shared" si="57"/>
        <v>32.9322475761127+7.66195535749391i</v>
      </c>
      <c r="AA157" s="227" t="str">
        <f t="shared" si="58"/>
        <v>16.9267724434278-5.80329144495726i</v>
      </c>
      <c r="AB157" s="227">
        <f t="shared" si="68"/>
        <v>25.054129412876666</v>
      </c>
      <c r="AC157" s="227">
        <f t="shared" si="69"/>
        <v>-18.924119229597959</v>
      </c>
      <c r="AD157" s="229">
        <f t="shared" si="70"/>
        <v>-3.4499126849421762</v>
      </c>
      <c r="AE157" s="229">
        <f t="shared" si="71"/>
        <v>114.32229857724347</v>
      </c>
      <c r="AF157" s="227">
        <f t="shared" si="59"/>
        <v>21.604216727934489</v>
      </c>
      <c r="AG157" s="227">
        <f t="shared" si="60"/>
        <v>95.39817934764551</v>
      </c>
      <c r="AH157" s="229" t="str">
        <f t="shared" si="61"/>
        <v>0.276862096589328-0.612545841972671i</v>
      </c>
    </row>
    <row r="158" spans="9:34" x14ac:dyDescent="0.2">
      <c r="I158" s="227">
        <v>154</v>
      </c>
      <c r="J158" s="227">
        <f t="shared" si="49"/>
        <v>2.5015188691246433</v>
      </c>
      <c r="K158" s="227">
        <f t="shared" si="72"/>
        <v>317.33565360904294</v>
      </c>
      <c r="L158" s="227">
        <f t="shared" si="62"/>
        <v>1993.8787162005692</v>
      </c>
      <c r="M158" s="227">
        <f t="shared" si="50"/>
        <v>5495.620250051421</v>
      </c>
      <c r="N158" s="227">
        <f>SQRT((ABS(AC158)-171.5+'Small Signal'!C$59)^2)</f>
        <v>82.173580012853193</v>
      </c>
      <c r="O158" s="227">
        <f t="shared" si="63"/>
        <v>95.477425394198008</v>
      </c>
      <c r="P158" s="227">
        <f t="shared" si="64"/>
        <v>21.424531717818329</v>
      </c>
      <c r="Q158" s="227">
        <f t="shared" si="65"/>
        <v>317.33565360904294</v>
      </c>
      <c r="R158" s="227" t="str">
        <f t="shared" si="51"/>
        <v>0.0945666666666667+0.00937122996614267i</v>
      </c>
      <c r="S158" s="227" t="str">
        <f t="shared" si="52"/>
        <v>0.0085-19.2077241355001i</v>
      </c>
      <c r="T158" s="227" t="str">
        <f t="shared" si="53"/>
        <v>8.93782653448451-6.08968416072458i</v>
      </c>
      <c r="U158" s="227" t="str">
        <f t="shared" si="54"/>
        <v>79.213191854585-8.80404154832113i</v>
      </c>
      <c r="V158" s="227">
        <f t="shared" si="66"/>
        <v>38.029269605300499</v>
      </c>
      <c r="W158" s="227">
        <f t="shared" si="67"/>
        <v>-6.3420321137350824</v>
      </c>
      <c r="X158" s="227" t="str">
        <f t="shared" si="55"/>
        <v>0.999999283897479-0.000249198019486731i</v>
      </c>
      <c r="Y158" s="227" t="str">
        <f t="shared" si="56"/>
        <v>63.3215653596171+15.0601893269913i</v>
      </c>
      <c r="Z158" s="227" t="str">
        <f t="shared" si="57"/>
        <v>32.9770405184575+7.83446686972944i</v>
      </c>
      <c r="AA158" s="227" t="str">
        <f t="shared" si="58"/>
        <v>16.8486560141508-5.9090387983818i</v>
      </c>
      <c r="AB158" s="227">
        <f t="shared" si="68"/>
        <v>25.035100695022127</v>
      </c>
      <c r="AC158" s="227">
        <f t="shared" si="69"/>
        <v>-19.326419987146814</v>
      </c>
      <c r="AD158" s="229">
        <f t="shared" si="70"/>
        <v>-3.6105689772037977</v>
      </c>
      <c r="AE158" s="229">
        <f t="shared" si="71"/>
        <v>114.80384538134481</v>
      </c>
      <c r="AF158" s="227">
        <f t="shared" si="59"/>
        <v>21.424531717818329</v>
      </c>
      <c r="AG158" s="227">
        <f t="shared" si="60"/>
        <v>95.477425394198008</v>
      </c>
      <c r="AH158" s="229" t="str">
        <f t="shared" si="61"/>
        <v>0.276832440498147-0.599014707747406i</v>
      </c>
    </row>
    <row r="159" spans="9:34" x14ac:dyDescent="0.2">
      <c r="I159" s="227">
        <v>155</v>
      </c>
      <c r="J159" s="227">
        <f t="shared" si="49"/>
        <v>2.511268991651427</v>
      </c>
      <c r="K159" s="227">
        <f t="shared" si="72"/>
        <v>324.54056780379432</v>
      </c>
      <c r="L159" s="227">
        <f t="shared" si="62"/>
        <v>2039.1485272085208</v>
      </c>
      <c r="M159" s="227">
        <f t="shared" si="50"/>
        <v>5488.2517526350457</v>
      </c>
      <c r="N159" s="227">
        <f>SQRT((ABS(AC159)-171.5+'Small Signal'!C$59)^2)</f>
        <v>81.76389351374371</v>
      </c>
      <c r="O159" s="227">
        <f t="shared" si="63"/>
        <v>95.556259314243533</v>
      </c>
      <c r="P159" s="227">
        <f t="shared" si="64"/>
        <v>21.245351009492939</v>
      </c>
      <c r="Q159" s="227">
        <f t="shared" si="65"/>
        <v>324.54056780379432</v>
      </c>
      <c r="R159" s="227" t="str">
        <f t="shared" si="51"/>
        <v>0.0945666666666667+0.00958399807788005i</v>
      </c>
      <c r="S159" s="227" t="str">
        <f t="shared" si="52"/>
        <v>0.0085-18.7813059369702i</v>
      </c>
      <c r="T159" s="227" t="str">
        <f t="shared" si="53"/>
        <v>8.80951722699085-6.13845478633899i</v>
      </c>
      <c r="U159" s="227" t="str">
        <f t="shared" si="54"/>
        <v>79.2042790427075-9.00646833210608i</v>
      </c>
      <c r="V159" s="227">
        <f t="shared" si="66"/>
        <v>38.030768931349719</v>
      </c>
      <c r="W159" s="227">
        <f t="shared" si="67"/>
        <v>-6.487345878214926</v>
      </c>
      <c r="X159" s="227" t="str">
        <f t="shared" si="55"/>
        <v>0.999999251010986-0.000254855909886011i</v>
      </c>
      <c r="Y159" s="227" t="str">
        <f t="shared" si="56"/>
        <v>63.4114022575044+15.3991635751432i</v>
      </c>
      <c r="Z159" s="227" t="str">
        <f t="shared" si="57"/>
        <v>33.023911898573+8.01079099265561i</v>
      </c>
      <c r="AA159" s="227" t="str">
        <f t="shared" si="58"/>
        <v>16.7676814485442-6.01562310286305i</v>
      </c>
      <c r="AB159" s="227">
        <f t="shared" si="68"/>
        <v>25.015287348152782</v>
      </c>
      <c r="AC159" s="227">
        <f t="shared" si="69"/>
        <v>-19.736106486256297</v>
      </c>
      <c r="AD159" s="229">
        <f t="shared" si="70"/>
        <v>-3.7699363386598419</v>
      </c>
      <c r="AE159" s="229">
        <f t="shared" si="71"/>
        <v>115.29236580049984</v>
      </c>
      <c r="AF159" s="227">
        <f t="shared" si="59"/>
        <v>21.245351009492939</v>
      </c>
      <c r="AG159" s="227">
        <f t="shared" si="60"/>
        <v>95.556259314243533</v>
      </c>
      <c r="AH159" s="229" t="str">
        <f t="shared" si="61"/>
        <v>0.276804052721987-0.585785501269244i</v>
      </c>
    </row>
    <row r="160" spans="9:34" x14ac:dyDescent="0.2">
      <c r="I160" s="227">
        <v>156</v>
      </c>
      <c r="J160" s="227">
        <f t="shared" si="49"/>
        <v>2.5210191141782103</v>
      </c>
      <c r="K160" s="227">
        <f t="shared" si="72"/>
        <v>331.90906522016979</v>
      </c>
      <c r="L160" s="227">
        <f t="shared" si="62"/>
        <v>2085.4461619110821</v>
      </c>
      <c r="M160" s="227">
        <f t="shared" si="50"/>
        <v>5480.7159579388799</v>
      </c>
      <c r="N160" s="227">
        <f>SQRT((ABS(AC160)-171.5+'Small Signal'!C$59)^2)</f>
        <v>81.346758354109454</v>
      </c>
      <c r="O160" s="227">
        <f t="shared" si="63"/>
        <v>95.63456498160393</v>
      </c>
      <c r="P160" s="227">
        <f t="shared" si="64"/>
        <v>21.066683302790072</v>
      </c>
      <c r="Q160" s="227">
        <f t="shared" si="65"/>
        <v>331.90906522016979</v>
      </c>
      <c r="R160" s="227" t="str">
        <f t="shared" si="51"/>
        <v>0.0945666666666667+0.00980159696098208i</v>
      </c>
      <c r="S160" s="227" t="str">
        <f t="shared" si="52"/>
        <v>0.0085-18.3643543716946i</v>
      </c>
      <c r="T160" s="227" t="str">
        <f t="shared" si="53"/>
        <v>8.67920235333896-6.1848702754811i</v>
      </c>
      <c r="U160" s="227" t="str">
        <f t="shared" si="54"/>
        <v>79.1949264666664-9.21366685838546i</v>
      </c>
      <c r="V160" s="227">
        <f t="shared" si="66"/>
        <v>38.032336310609608</v>
      </c>
      <c r="W160" s="227">
        <f t="shared" si="67"/>
        <v>-6.6360512272601895</v>
      </c>
      <c r="X160" s="227" t="str">
        <f t="shared" si="55"/>
        <v>0.999999216614204-0.000260642259266771i</v>
      </c>
      <c r="Y160" s="227" t="str">
        <f t="shared" si="56"/>
        <v>63.5054097509652+15.7456209780651i</v>
      </c>
      <c r="Z160" s="227" t="str">
        <f t="shared" si="57"/>
        <v>33.072959154268+8.19100664576435i</v>
      </c>
      <c r="AA160" s="227" t="str">
        <f t="shared" si="58"/>
        <v>16.683775134889-6.12298011333369i</v>
      </c>
      <c r="AB160" s="227">
        <f t="shared" si="68"/>
        <v>24.994660835056031</v>
      </c>
      <c r="AC160" s="227">
        <f t="shared" si="69"/>
        <v>-20.15324164589056</v>
      </c>
      <c r="AD160" s="229">
        <f t="shared" si="70"/>
        <v>-3.9279775322659582</v>
      </c>
      <c r="AE160" s="229">
        <f t="shared" si="71"/>
        <v>115.78780662749449</v>
      </c>
      <c r="AF160" s="227">
        <f t="shared" si="59"/>
        <v>21.066683302790072</v>
      </c>
      <c r="AG160" s="227">
        <f t="shared" si="60"/>
        <v>95.63456498160393</v>
      </c>
      <c r="AH160" s="229" t="str">
        <f t="shared" si="61"/>
        <v>0.276776876019241-0.572851554581162i</v>
      </c>
    </row>
    <row r="161" spans="9:34" x14ac:dyDescent="0.2">
      <c r="I161" s="227">
        <v>157</v>
      </c>
      <c r="J161" s="227">
        <f t="shared" si="49"/>
        <v>2.5307692367049937</v>
      </c>
      <c r="K161" s="227">
        <f t="shared" si="72"/>
        <v>339.44485991633542</v>
      </c>
      <c r="L161" s="227">
        <f t="shared" si="62"/>
        <v>2132.7949564239516</v>
      </c>
      <c r="M161" s="227">
        <f t="shared" si="50"/>
        <v>5473.0090675793126</v>
      </c>
      <c r="N161" s="227">
        <f>SQRT((ABS(AC161)-171.5+'Small Signal'!C$59)^2)</f>
        <v>80.922115727591148</v>
      </c>
      <c r="O161" s="227">
        <f t="shared" si="63"/>
        <v>95.712220944097794</v>
      </c>
      <c r="P161" s="227">
        <f t="shared" si="64"/>
        <v>20.888536819390762</v>
      </c>
      <c r="Q161" s="227">
        <f t="shared" si="65"/>
        <v>339.44485991633542</v>
      </c>
      <c r="R161" s="227" t="str">
        <f t="shared" si="51"/>
        <v>0.0945666666666667+0.0100241362951926i</v>
      </c>
      <c r="S161" s="227" t="str">
        <f t="shared" si="52"/>
        <v>0.0085-17.9566592771015i</v>
      </c>
      <c r="T161" s="227" t="str">
        <f t="shared" si="53"/>
        <v>8.54696889080753-6.22882951303306i</v>
      </c>
      <c r="U161" s="227" t="str">
        <f t="shared" si="54"/>
        <v>79.1851110440577-9.42575759623657i</v>
      </c>
      <c r="V161" s="227">
        <f t="shared" si="66"/>
        <v>38.033974791880041</v>
      </c>
      <c r="W161" s="227">
        <f t="shared" si="67"/>
        <v>-6.7882316244945429</v>
      </c>
      <c r="X161" s="227" t="str">
        <f t="shared" si="55"/>
        <v>0.999999180637775-0.000266559984212537i</v>
      </c>
      <c r="Y161" s="227" t="str">
        <f t="shared" si="56"/>
        <v>63.6037835480048+16.0997157627326i</v>
      </c>
      <c r="Z161" s="227" t="str">
        <f t="shared" si="57"/>
        <v>33.1242843819471+8.37519396153432i</v>
      </c>
      <c r="AA161" s="227" t="str">
        <f t="shared" si="58"/>
        <v>16.5968641590647-6.23104081850552i</v>
      </c>
      <c r="AB161" s="227">
        <f t="shared" si="68"/>
        <v>24.973191898201812</v>
      </c>
      <c r="AC161" s="227">
        <f t="shared" si="69"/>
        <v>-20.577884272408841</v>
      </c>
      <c r="AD161" s="229">
        <f t="shared" si="70"/>
        <v>-4.0846550788110489</v>
      </c>
      <c r="AE161" s="229">
        <f t="shared" si="71"/>
        <v>116.29010521650663</v>
      </c>
      <c r="AF161" s="227">
        <f t="shared" si="59"/>
        <v>20.888536819390762</v>
      </c>
      <c r="AG161" s="227">
        <f t="shared" si="60"/>
        <v>95.712220944097794</v>
      </c>
      <c r="AH161" s="229" t="str">
        <f t="shared" si="61"/>
        <v>0.276750855590331-0.560206348537928i</v>
      </c>
    </row>
    <row r="162" spans="9:34" x14ac:dyDescent="0.2">
      <c r="I162" s="227">
        <v>158</v>
      </c>
      <c r="J162" s="227">
        <f t="shared" si="49"/>
        <v>2.5405193592317774</v>
      </c>
      <c r="K162" s="227">
        <f t="shared" si="72"/>
        <v>347.15175027590294</v>
      </c>
      <c r="L162" s="227">
        <f t="shared" si="62"/>
        <v>2181.2187766952302</v>
      </c>
      <c r="M162" s="227">
        <f t="shared" si="50"/>
        <v>5465.127196932729</v>
      </c>
      <c r="N162" s="227">
        <f>SQRT((ABS(AC162)-171.5+'Small Signal'!C$59)^2)</f>
        <v>80.489911250250742</v>
      </c>
      <c r="O162" s="227">
        <f t="shared" si="63"/>
        <v>95.789100446413457</v>
      </c>
      <c r="P162" s="227">
        <f t="shared" si="64"/>
        <v>20.7109192474216</v>
      </c>
      <c r="Q162" s="227">
        <f t="shared" si="65"/>
        <v>347.15175027590294</v>
      </c>
      <c r="R162" s="227" t="str">
        <f t="shared" si="51"/>
        <v>0.0945666666666667+0.0102517282504676i</v>
      </c>
      <c r="S162" s="227" t="str">
        <f t="shared" si="52"/>
        <v>0.0085-17.5580151563021i</v>
      </c>
      <c r="T162" s="227" t="str">
        <f t="shared" si="53"/>
        <v>8.41291031754191-6.27023500021431i</v>
      </c>
      <c r="U162" s="227" t="str">
        <f t="shared" si="54"/>
        <v>79.1748083575631-9.64286458052576i</v>
      </c>
      <c r="V162" s="227">
        <f t="shared" si="66"/>
        <v>38.03568755662593</v>
      </c>
      <c r="W162" s="227">
        <f t="shared" si="67"/>
        <v>-6.9439728817799917</v>
      </c>
      <c r="X162" s="227" t="str">
        <f t="shared" si="55"/>
        <v>0.999999143009154-0.000272612067526099i</v>
      </c>
      <c r="Y162" s="227" t="str">
        <f t="shared" si="56"/>
        <v>63.7067287304972+16.4616044663289i</v>
      </c>
      <c r="Z162" s="227" t="str">
        <f t="shared" si="57"/>
        <v>33.1779945673968+8.56343426708101i</v>
      </c>
      <c r="AA162" s="227" t="str">
        <f t="shared" si="58"/>
        <v>16.5068765656359-6.33973131855401i</v>
      </c>
      <c r="AB162" s="227">
        <f t="shared" si="68"/>
        <v>24.950850568132093</v>
      </c>
      <c r="AC162" s="227">
        <f t="shared" si="69"/>
        <v>-21.010088749749269</v>
      </c>
      <c r="AD162" s="229">
        <f t="shared" si="70"/>
        <v>-4.2399313207104932</v>
      </c>
      <c r="AE162" s="229">
        <f t="shared" si="71"/>
        <v>116.79918919616273</v>
      </c>
      <c r="AF162" s="227">
        <f t="shared" si="59"/>
        <v>20.7109192474216</v>
      </c>
      <c r="AG162" s="227">
        <f t="shared" si="60"/>
        <v>95.789100446413457</v>
      </c>
      <c r="AH162" s="229" t="str">
        <f t="shared" si="61"/>
        <v>0.276725938967222-0.547843509520868i</v>
      </c>
    </row>
    <row r="163" spans="9:34" x14ac:dyDescent="0.2">
      <c r="I163" s="227">
        <v>159</v>
      </c>
      <c r="J163" s="227">
        <f t="shared" si="49"/>
        <v>2.5502694817585607</v>
      </c>
      <c r="K163" s="227">
        <f t="shared" si="72"/>
        <v>355.03362092248625</v>
      </c>
      <c r="L163" s="227">
        <f t="shared" si="62"/>
        <v>2230.7420305349324</v>
      </c>
      <c r="M163" s="227">
        <f t="shared" si="50"/>
        <v>5457.066373177483</v>
      </c>
      <c r="N163" s="227">
        <f>SQRT((ABS(AC163)-171.5+'Small Signal'!C$59)^2)</f>
        <v>80.050095277894343</v>
      </c>
      <c r="O163" s="227">
        <f t="shared" si="63"/>
        <v>95.865071478610318</v>
      </c>
      <c r="P163" s="227">
        <f t="shared" si="64"/>
        <v>20.533837684517103</v>
      </c>
      <c r="Q163" s="227">
        <f t="shared" si="65"/>
        <v>355.03362092248625</v>
      </c>
      <c r="R163" s="227" t="str">
        <f t="shared" si="51"/>
        <v>0.0945666666666667+0.0104844875435142i</v>
      </c>
      <c r="S163" s="227" t="str">
        <f t="shared" si="52"/>
        <v>0.0085-17.1682210745102i</v>
      </c>
      <c r="T163" s="227" t="str">
        <f t="shared" si="53"/>
        <v>8.27712643628037-6.30899334815517i</v>
      </c>
      <c r="U163" s="227" t="str">
        <f t="shared" si="54"/>
        <v>79.163992567301-9.86511554890527i</v>
      </c>
      <c r="V163" s="227">
        <f t="shared" si="66"/>
        <v>38.037477924356324</v>
      </c>
      <c r="W163" s="227">
        <f t="shared" si="67"/>
        <v>-7.1033632444769932</v>
      </c>
      <c r="X163" s="227" t="str">
        <f t="shared" si="55"/>
        <v>0.999999103652466-0.000278801559732982i</v>
      </c>
      <c r="Y163" s="227" t="str">
        <f t="shared" si="56"/>
        <v>63.8144602200125+16.8314458937397i</v>
      </c>
      <c r="Z163" s="227" t="str">
        <f t="shared" si="57"/>
        <v>33.2342018286893+8.75581006152286i</v>
      </c>
      <c r="AA163" s="227" t="str">
        <f t="shared" si="58"/>
        <v>16.413741636467-6.44897271418296i</v>
      </c>
      <c r="AB163" s="227">
        <f t="shared" si="68"/>
        <v>24.927606174530602</v>
      </c>
      <c r="AC163" s="227">
        <f t="shared" si="69"/>
        <v>-21.449904722105661</v>
      </c>
      <c r="AD163" s="229">
        <f t="shared" si="70"/>
        <v>-4.3937684900135014</v>
      </c>
      <c r="AE163" s="229">
        <f t="shared" si="71"/>
        <v>117.31497620071598</v>
      </c>
      <c r="AF163" s="227">
        <f t="shared" si="59"/>
        <v>20.533837684517103</v>
      </c>
      <c r="AG163" s="227">
        <f t="shared" si="60"/>
        <v>95.865071478610318</v>
      </c>
      <c r="AH163" s="229" t="str">
        <f t="shared" si="61"/>
        <v>0.27670207590762-0.535756806225884i</v>
      </c>
    </row>
    <row r="164" spans="9:34" x14ac:dyDescent="0.2">
      <c r="I164" s="227">
        <v>160</v>
      </c>
      <c r="J164" s="227">
        <f t="shared" si="49"/>
        <v>2.560019604285344</v>
      </c>
      <c r="K164" s="227">
        <f t="shared" si="72"/>
        <v>363.09444467773227</v>
      </c>
      <c r="L164" s="227">
        <f t="shared" si="62"/>
        <v>2281.3896799176587</v>
      </c>
      <c r="M164" s="227">
        <f t="shared" si="50"/>
        <v>5448.8225332914144</v>
      </c>
      <c r="N164" s="227">
        <f>SQRT((ABS(AC164)-171.5+'Small Signal'!C$59)^2)</f>
        <v>79.602623230099283</v>
      </c>
      <c r="O164" s="227">
        <f t="shared" si="63"/>
        <v>95.939996852037098</v>
      </c>
      <c r="P164" s="227">
        <f t="shared" si="64"/>
        <v>20.357298579598613</v>
      </c>
      <c r="Q164" s="227">
        <f t="shared" si="65"/>
        <v>363.09444467773227</v>
      </c>
      <c r="R164" s="227" t="str">
        <f t="shared" si="51"/>
        <v>0.0945666666666667+0.010722531495613i</v>
      </c>
      <c r="S164" s="227" t="str">
        <f t="shared" si="52"/>
        <v>0.0085-16.7870805577624i</v>
      </c>
      <c r="T164" s="227" t="str">
        <f t="shared" si="53"/>
        <v>8.13972315442863-6.34501576333238i</v>
      </c>
      <c r="U164" s="227" t="str">
        <f t="shared" si="54"/>
        <v>79.1526363165975-10.0926420855859i</v>
      </c>
      <c r="V164" s="227">
        <f t="shared" si="66"/>
        <v>38.039349358179408</v>
      </c>
      <c r="W164" s="227">
        <f t="shared" si="67"/>
        <v>-7.2664934809066946</v>
      </c>
      <c r="X164" s="227" t="str">
        <f t="shared" si="55"/>
        <v>0.99999906248835-0.000285131580619048i</v>
      </c>
      <c r="Y164" s="227" t="str">
        <f t="shared" si="56"/>
        <v>63.9272032682135+17.2094010660229i</v>
      </c>
      <c r="Z164" s="227" t="str">
        <f t="shared" si="57"/>
        <v>33.293023671892+8.95240498861356i</v>
      </c>
      <c r="AA164" s="227" t="str">
        <f t="shared" si="58"/>
        <v>16.3173901868173-6.55868100885189i</v>
      </c>
      <c r="AB164" s="227">
        <f t="shared" si="68"/>
        <v>24.903427360144185</v>
      </c>
      <c r="AC164" s="227">
        <f t="shared" si="69"/>
        <v>-21.897376769900724</v>
      </c>
      <c r="AD164" s="229">
        <f t="shared" si="70"/>
        <v>-4.5461287805455717</v>
      </c>
      <c r="AE164" s="229">
        <f t="shared" si="71"/>
        <v>117.83737362193783</v>
      </c>
      <c r="AF164" s="227">
        <f t="shared" si="59"/>
        <v>20.357298579598613</v>
      </c>
      <c r="AG164" s="227">
        <f t="shared" si="60"/>
        <v>95.939996852037098</v>
      </c>
      <c r="AH164" s="229" t="str">
        <f t="shared" si="61"/>
        <v>0.276679218293667-0.523940146523206i</v>
      </c>
    </row>
    <row r="165" spans="9:34" x14ac:dyDescent="0.2">
      <c r="I165" s="227">
        <v>161</v>
      </c>
      <c r="J165" s="227">
        <f t="shared" si="49"/>
        <v>2.5697697268121273</v>
      </c>
      <c r="K165" s="227">
        <f t="shared" si="72"/>
        <v>371.33828456380047</v>
      </c>
      <c r="L165" s="227">
        <f t="shared" si="62"/>
        <v>2333.1872535645434</v>
      </c>
      <c r="M165" s="227">
        <f t="shared" si="50"/>
        <v>5440.3915220039016</v>
      </c>
      <c r="N165" s="227">
        <f>SQRT((ABS(AC165)-171.5+'Small Signal'!C$59)^2)</f>
        <v>79.147455920022082</v>
      </c>
      <c r="O165" s="227">
        <f t="shared" si="63"/>
        <v>96.013734304385338</v>
      </c>
      <c r="P165" s="227">
        <f t="shared" si="64"/>
        <v>20.181307673657606</v>
      </c>
      <c r="Q165" s="227">
        <f t="shared" si="65"/>
        <v>371.33828456380047</v>
      </c>
      <c r="R165" s="227" t="str">
        <f t="shared" si="51"/>
        <v>0.0945666666666667+0.0109659800917534i</v>
      </c>
      <c r="S165" s="227" t="str">
        <f t="shared" si="52"/>
        <v>0.0085-16.414401493886i</v>
      </c>
      <c r="T165" s="227" t="str">
        <f t="shared" si="53"/>
        <v>8.00081222066822-6.37821852047433i</v>
      </c>
      <c r="U165" s="227" t="str">
        <f t="shared" si="54"/>
        <v>79.1407106306366-10.3255797722662i</v>
      </c>
      <c r="V165" s="227">
        <f t="shared" si="66"/>
        <v>38.041305470535775</v>
      </c>
      <c r="W165" s="227">
        <f t="shared" si="67"/>
        <v>-7.4334569762742859</v>
      </c>
      <c r="X165" s="227" t="str">
        <f t="shared" si="55"/>
        <v>0.999999019433802-0.000291605320803014i</v>
      </c>
      <c r="Y165" s="227" t="str">
        <f t="shared" si="56"/>
        <v>64.045193973229+17.5956331589152i</v>
      </c>
      <c r="Z165" s="227" t="str">
        <f t="shared" si="57"/>
        <v>33.3545832603152+9.15330380414968i</v>
      </c>
      <c r="AA165" s="227" t="str">
        <f t="shared" si="58"/>
        <v>16.2177548787249-6.66876702603806i</v>
      </c>
      <c r="AB165" s="227">
        <f t="shared" si="68"/>
        <v>24.878282097730491</v>
      </c>
      <c r="AC165" s="227">
        <f t="shared" si="69"/>
        <v>-22.35254407997791</v>
      </c>
      <c r="AD165" s="229">
        <f t="shared" si="70"/>
        <v>-4.6969744240728852</v>
      </c>
      <c r="AE165" s="229">
        <f t="shared" si="71"/>
        <v>118.36627838436326</v>
      </c>
      <c r="AF165" s="227">
        <f t="shared" si="59"/>
        <v>20.181307673657606</v>
      </c>
      <c r="AG165" s="227">
        <f t="shared" si="60"/>
        <v>96.013734304385338</v>
      </c>
      <c r="AH165" s="229" t="str">
        <f t="shared" si="61"/>
        <v>0.27665732003492-0.512387574387206i</v>
      </c>
    </row>
    <row r="166" spans="9:34" x14ac:dyDescent="0.2">
      <c r="I166" s="227">
        <v>162</v>
      </c>
      <c r="J166" s="227">
        <f t="shared" si="49"/>
        <v>2.5795198493389107</v>
      </c>
      <c r="K166" s="227">
        <f t="shared" si="72"/>
        <v>379.76929585131342</v>
      </c>
      <c r="L166" s="227">
        <f t="shared" si="62"/>
        <v>2386.1608598109096</v>
      </c>
      <c r="M166" s="227">
        <f t="shared" si="50"/>
        <v>5431.7690897014136</v>
      </c>
      <c r="N166" s="227">
        <f>SQRT((ABS(AC166)-171.5+'Small Signal'!C$59)^2)</f>
        <v>78.68455988894155</v>
      </c>
      <c r="O166" s="227">
        <f t="shared" si="63"/>
        <v>96.086136635487264</v>
      </c>
      <c r="P166" s="227">
        <f t="shared" si="64"/>
        <v>20.005869939865967</v>
      </c>
      <c r="Q166" s="227">
        <f t="shared" si="65"/>
        <v>379.76929585131342</v>
      </c>
      <c r="R166" s="227" t="str">
        <f t="shared" si="51"/>
        <v>0.0945666666666667+0.0112149560411113i</v>
      </c>
      <c r="S166" s="227" t="str">
        <f t="shared" si="52"/>
        <v>0.0085-16.0499960356656i</v>
      </c>
      <c r="T166" s="227" t="str">
        <f t="shared" si="53"/>
        <v>7.86051091878116-6.40852341850026i</v>
      </c>
      <c r="U166" s="227" t="str">
        <f t="shared" si="54"/>
        <v>79.1281848073725-10.5640683466123i</v>
      </c>
      <c r="V166" s="227">
        <f t="shared" si="66"/>
        <v>38.043350029108481</v>
      </c>
      <c r="W166" s="227">
        <f t="shared" si="67"/>
        <v>-7.6043498313278546</v>
      </c>
      <c r="X166" s="227" t="str">
        <f t="shared" si="55"/>
        <v>0.999998974402005-0.000298226043344664i</v>
      </c>
      <c r="Y166" s="227" t="str">
        <f t="shared" si="56"/>
        <v>64.1686798234874+17.9903074303358i</v>
      </c>
      <c r="Z166" s="227" t="str">
        <f t="shared" si="57"/>
        <v>33.41900969807+9.35859233760942i</v>
      </c>
      <c r="AA166" s="227" t="str">
        <f t="shared" si="58"/>
        <v>16.1147705513127-6.77913634347901i</v>
      </c>
      <c r="AB166" s="227">
        <f t="shared" si="68"/>
        <v>24.852137710200534</v>
      </c>
      <c r="AC166" s="227">
        <f t="shared" si="69"/>
        <v>-22.815440111058447</v>
      </c>
      <c r="AD166" s="229">
        <f t="shared" si="70"/>
        <v>-4.846267770334566</v>
      </c>
      <c r="AE166" s="229">
        <f t="shared" si="71"/>
        <v>118.90157674654571</v>
      </c>
      <c r="AF166" s="227">
        <f t="shared" si="59"/>
        <v>20.005869939865967</v>
      </c>
      <c r="AG166" s="227">
        <f t="shared" si="60"/>
        <v>96.086136635487264</v>
      </c>
      <c r="AH166" s="229" t="str">
        <f t="shared" si="61"/>
        <v>0.276636336975421-0.501093266894794i</v>
      </c>
    </row>
    <row r="167" spans="9:34" x14ac:dyDescent="0.2">
      <c r="I167" s="227">
        <v>163</v>
      </c>
      <c r="J167" s="227">
        <f t="shared" si="49"/>
        <v>2.5892699718656944</v>
      </c>
      <c r="K167" s="227">
        <f t="shared" si="72"/>
        <v>388.39172815380175</v>
      </c>
      <c r="L167" s="227">
        <f t="shared" si="62"/>
        <v>2440.3371997660552</v>
      </c>
      <c r="M167" s="227">
        <f t="shared" si="50"/>
        <v>5422.9508902855141</v>
      </c>
      <c r="N167" s="227">
        <f>SQRT((ABS(AC167)-171.5+'Small Signal'!C$59)^2)</f>
        <v>78.213907744363809</v>
      </c>
      <c r="O167" s="227">
        <f t="shared" si="63"/>
        <v>96.157051875340699</v>
      </c>
      <c r="P167" s="227">
        <f t="shared" si="64"/>
        <v>19.830989523371848</v>
      </c>
      <c r="Q167" s="227">
        <f t="shared" si="65"/>
        <v>388.39172815380175</v>
      </c>
      <c r="R167" s="227" t="str">
        <f t="shared" si="51"/>
        <v>0.0945666666666667+0.0114695848389005i</v>
      </c>
      <c r="S167" s="227" t="str">
        <f t="shared" si="52"/>
        <v>0.0085-15.69368050616i</v>
      </c>
      <c r="T167" s="227" t="str">
        <f t="shared" si="53"/>
        <v>7.7189417198838-6.43585821507745i</v>
      </c>
      <c r="U167" s="227" t="str">
        <f t="shared" si="54"/>
        <v>79.1150263000684-10.8082518687109i</v>
      </c>
      <c r="V167" s="227">
        <f t="shared" si="66"/>
        <v>38.045486962911866</v>
      </c>
      <c r="W167" s="227">
        <f t="shared" si="67"/>
        <v>-7.7792709660483643</v>
      </c>
      <c r="X167" s="227" t="str">
        <f t="shared" si="55"/>
        <v>0.999998927302155-0.000304997085389582i</v>
      </c>
      <c r="Y167" s="227" t="str">
        <f t="shared" si="56"/>
        <v>64.2979202706164+18.3935911357513i</v>
      </c>
      <c r="Z167" s="227" t="str">
        <f t="shared" si="57"/>
        <v>33.4864383287737+9.56835744742809i</v>
      </c>
      <c r="AA167" s="227" t="str">
        <f t="shared" si="58"/>
        <v>16.0083745674673-6.88968924640629i</v>
      </c>
      <c r="AB167" s="227">
        <f t="shared" si="68"/>
        <v>24.824960894121567</v>
      </c>
      <c r="AC167" s="227">
        <f t="shared" si="69"/>
        <v>-23.286092255636191</v>
      </c>
      <c r="AD167" s="229">
        <f t="shared" si="70"/>
        <v>-4.9939713707497182</v>
      </c>
      <c r="AE167" s="229">
        <f t="shared" si="71"/>
        <v>119.44314413097689</v>
      </c>
      <c r="AF167" s="227">
        <f t="shared" si="59"/>
        <v>19.830989523371848</v>
      </c>
      <c r="AG167" s="227">
        <f t="shared" si="60"/>
        <v>96.157051875340699</v>
      </c>
      <c r="AH167" s="229" t="str">
        <f t="shared" si="61"/>
        <v>0.276616226804656-0.490051531290845i</v>
      </c>
    </row>
    <row r="168" spans="9:34" x14ac:dyDescent="0.2">
      <c r="I168" s="227">
        <v>164</v>
      </c>
      <c r="J168" s="227">
        <f t="shared" si="49"/>
        <v>2.5990200943924777</v>
      </c>
      <c r="K168" s="227">
        <f t="shared" si="72"/>
        <v>397.20992756970054</v>
      </c>
      <c r="L168" s="227">
        <f t="shared" si="62"/>
        <v>2495.7435807718102</v>
      </c>
      <c r="M168" s="227">
        <f t="shared" si="50"/>
        <v>5413.9324789822304</v>
      </c>
      <c r="N168" s="227">
        <f>SQRT((ABS(AC168)-171.5+'Small Signal'!C$59)^2)</f>
        <v>77.735478500375109</v>
      </c>
      <c r="O168" s="227">
        <f t="shared" si="63"/>
        <v>96.226323485669937</v>
      </c>
      <c r="P168" s="227">
        <f t="shared" si="64"/>
        <v>19.656669681176968</v>
      </c>
      <c r="Q168" s="227">
        <f t="shared" si="65"/>
        <v>397.20992756970054</v>
      </c>
      <c r="R168" s="227" t="str">
        <f t="shared" si="51"/>
        <v>0.0945666666666667+0.0117299948296275i</v>
      </c>
      <c r="S168" s="227" t="str">
        <f t="shared" si="52"/>
        <v>0.0085-15.3452753061201i</v>
      </c>
      <c r="T168" s="227" t="str">
        <f t="shared" si="53"/>
        <v>7.57623189477465-6.46015703546465i</v>
      </c>
      <c r="U168" s="227" t="str">
        <f t="shared" si="54"/>
        <v>79.1012005907204-11.0582788959301i</v>
      </c>
      <c r="V168" s="227">
        <f t="shared" si="66"/>
        <v>38.047720368555048</v>
      </c>
      <c r="W168" s="227">
        <f t="shared" si="67"/>
        <v>-7.9583222286844872</v>
      </c>
      <c r="X168" s="227" t="str">
        <f t="shared" si="55"/>
        <v>0.999998878039278-0.000311921859851226i</v>
      </c>
      <c r="Y168" s="227" t="str">
        <f t="shared" si="56"/>
        <v>64.4331873330627+18.8056534301454i</v>
      </c>
      <c r="Z168" s="227" t="str">
        <f t="shared" si="57"/>
        <v>33.5570110502626+9.7826869692531i</v>
      </c>
      <c r="AA168" s="227" t="str">
        <f t="shared" si="58"/>
        <v>15.8985071761399-7.0003207018338i</v>
      </c>
      <c r="AB168" s="227">
        <f t="shared" si="68"/>
        <v>24.79671774674026</v>
      </c>
      <c r="AC168" s="227">
        <f t="shared" si="69"/>
        <v>-23.764521499624877</v>
      </c>
      <c r="AD168" s="229">
        <f t="shared" si="70"/>
        <v>-5.140048065563291</v>
      </c>
      <c r="AE168" s="229">
        <f t="shared" si="71"/>
        <v>119.99084498529481</v>
      </c>
      <c r="AF168" s="227">
        <f t="shared" si="59"/>
        <v>19.656669681176968</v>
      </c>
      <c r="AG168" s="227">
        <f t="shared" si="60"/>
        <v>96.226323485669937</v>
      </c>
      <c r="AH168" s="229" t="str">
        <f t="shared" si="61"/>
        <v>0.276596948972242-0.479256802119199i</v>
      </c>
    </row>
    <row r="169" spans="9:34" x14ac:dyDescent="0.2">
      <c r="I169" s="227">
        <v>165</v>
      </c>
      <c r="J169" s="227">
        <f t="shared" si="49"/>
        <v>2.608770216919261</v>
      </c>
      <c r="K169" s="227">
        <f t="shared" si="72"/>
        <v>406.22833887298515</v>
      </c>
      <c r="L169" s="227">
        <f t="shared" si="62"/>
        <v>2552.4079301667102</v>
      </c>
      <c r="M169" s="227">
        <f t="shared" si="50"/>
        <v>5404.709310101679</v>
      </c>
      <c r="N169" s="227">
        <f>SQRT((ABS(AC169)-171.5+'Small Signal'!C$59)^2)</f>
        <v>77.249257918804631</v>
      </c>
      <c r="O169" s="227">
        <f t="shared" si="63"/>
        <v>96.293790596147304</v>
      </c>
      <c r="P169" s="227">
        <f t="shared" si="64"/>
        <v>19.482912722522705</v>
      </c>
      <c r="Q169" s="227">
        <f t="shared" si="65"/>
        <v>406.22833887298515</v>
      </c>
      <c r="R169" s="227" t="str">
        <f t="shared" si="51"/>
        <v>0.0945666666666667+0.0119963172717835i</v>
      </c>
      <c r="S169" s="227" t="str">
        <f t="shared" si="52"/>
        <v>0.0085-15.0046048234634i</v>
      </c>
      <c r="T169" s="227" t="str">
        <f t="shared" si="53"/>
        <v>7.43251308861092-6.481360751461i</v>
      </c>
      <c r="U169" s="227" t="str">
        <f t="shared" si="54"/>
        <v>79.0866710536017-11.3143026666521i</v>
      </c>
      <c r="V169" s="227">
        <f t="shared" si="66"/>
        <v>38.050054516679729</v>
      </c>
      <c r="W169" s="227">
        <f t="shared" si="67"/>
        <v>-8.1416085104694318</v>
      </c>
      <c r="X169" s="227" t="str">
        <f t="shared" si="55"/>
        <v>0.999998826514039-0.000319003857131192i</v>
      </c>
      <c r="Y169" s="227" t="str">
        <f t="shared" si="56"/>
        <v>64.5747662322472+19.2266652552112i</v>
      </c>
      <c r="Z169" s="227" t="str">
        <f t="shared" si="57"/>
        <v>33.6308766462583+10.0016696564552i</v>
      </c>
      <c r="AA169" s="227" t="str">
        <f t="shared" si="58"/>
        <v>15.7851118892971-7.11092035599116i</v>
      </c>
      <c r="AB169" s="227">
        <f t="shared" si="68"/>
        <v>24.767373796675059</v>
      </c>
      <c r="AC169" s="227">
        <f t="shared" si="69"/>
        <v>-24.250742081195369</v>
      </c>
      <c r="AD169" s="229">
        <f t="shared" si="70"/>
        <v>-5.2844610741523557</v>
      </c>
      <c r="AE169" s="229">
        <f t="shared" si="71"/>
        <v>120.54453267734267</v>
      </c>
      <c r="AF169" s="227">
        <f t="shared" si="59"/>
        <v>19.482912722522705</v>
      </c>
      <c r="AG169" s="227">
        <f t="shared" si="60"/>
        <v>96.293790596147304</v>
      </c>
      <c r="AH169" s="229" t="str">
        <f t="shared" si="61"/>
        <v>0.276578464606167-0.468703638417783i</v>
      </c>
    </row>
    <row r="170" spans="9:34" x14ac:dyDescent="0.2">
      <c r="I170" s="227">
        <v>166</v>
      </c>
      <c r="J170" s="227">
        <f t="shared" si="49"/>
        <v>2.6185203394460448</v>
      </c>
      <c r="K170" s="227">
        <f t="shared" si="72"/>
        <v>415.45150775353579</v>
      </c>
      <c r="L170" s="227">
        <f t="shared" si="62"/>
        <v>2610.3588093626222</v>
      </c>
      <c r="M170" s="227">
        <f t="shared" si="50"/>
        <v>5395.2767347468416</v>
      </c>
      <c r="N170" s="227">
        <f>SQRT((ABS(AC170)-171.5+'Small Signal'!C$59)^2)</f>
        <v>76.755238849609697</v>
      </c>
      <c r="O170" s="227">
        <f t="shared" si="63"/>
        <v>96.359288276156221</v>
      </c>
      <c r="P170" s="227">
        <f t="shared" si="64"/>
        <v>19.309719950248095</v>
      </c>
      <c r="Q170" s="227">
        <f t="shared" si="65"/>
        <v>415.45150775353579</v>
      </c>
      <c r="R170" s="227" t="str">
        <f t="shared" si="51"/>
        <v>0.0945666666666667+0.0122686864040043i</v>
      </c>
      <c r="S170" s="227" t="str">
        <f t="shared" si="52"/>
        <v>0.0085-14.6714973447565i</v>
      </c>
      <c r="T170" s="227" t="str">
        <f t="shared" si="53"/>
        <v>7.28792086062071-6.49941732649721i</v>
      </c>
      <c r="U170" s="227" t="str">
        <f t="shared" si="54"/>
        <v>79.0713988080582-11.5764812933574i</v>
      </c>
      <c r="V170" s="227">
        <f t="shared" si="66"/>
        <v>38.052493858567217</v>
      </c>
      <c r="W170" s="227">
        <f t="shared" si="67"/>
        <v>-8.329237866378568</v>
      </c>
      <c r="X170" s="227" t="str">
        <f t="shared" si="55"/>
        <v>0.99999877262254-0.000326246646878531i</v>
      </c>
      <c r="Y170" s="227" t="str">
        <f t="shared" si="56"/>
        <v>64.7229560631342+19.6567992102466i</v>
      </c>
      <c r="Z170" s="227" t="str">
        <f t="shared" si="57"/>
        <v>33.7081911359652+10.2253951121012i</v>
      </c>
      <c r="AA170" s="227" t="str">
        <f t="shared" si="58"/>
        <v>15.668135872321-7.22137255701049i</v>
      </c>
      <c r="AB170" s="227">
        <f t="shared" si="68"/>
        <v>24.736894038418956</v>
      </c>
      <c r="AC170" s="227">
        <f t="shared" si="69"/>
        <v>-24.744761150390314</v>
      </c>
      <c r="AD170" s="229">
        <f t="shared" si="70"/>
        <v>-5.4271740881708617</v>
      </c>
      <c r="AE170" s="229">
        <f t="shared" si="71"/>
        <v>121.10404942654654</v>
      </c>
      <c r="AF170" s="227">
        <f t="shared" si="59"/>
        <v>19.309719950248095</v>
      </c>
      <c r="AG170" s="227">
        <f t="shared" si="60"/>
        <v>96.359288276156221</v>
      </c>
      <c r="AH170" s="229" t="str">
        <f t="shared" si="61"/>
        <v>0.276560736434411-0.458386720976459i</v>
      </c>
    </row>
    <row r="171" spans="9:34" x14ac:dyDescent="0.2">
      <c r="I171" s="227">
        <v>167</v>
      </c>
      <c r="J171" s="227">
        <f t="shared" si="49"/>
        <v>2.6282704619728277</v>
      </c>
      <c r="K171" s="227">
        <f t="shared" si="72"/>
        <v>424.88408310837343</v>
      </c>
      <c r="L171" s="227">
        <f t="shared" si="62"/>
        <v>2669.6254282410023</v>
      </c>
      <c r="M171" s="227">
        <f t="shared" si="50"/>
        <v>5385.6299984702964</v>
      </c>
      <c r="N171" s="227">
        <f>SQRT((ABS(AC171)-171.5+'Small Signal'!C$59)^2)</f>
        <v>76.253421568771472</v>
      </c>
      <c r="O171" s="227">
        <f t="shared" si="63"/>
        <v>96.422647842730015</v>
      </c>
      <c r="P171" s="227">
        <f t="shared" si="64"/>
        <v>19.137091603610148</v>
      </c>
      <c r="Q171" s="227">
        <f t="shared" si="65"/>
        <v>424.88408310837343</v>
      </c>
      <c r="R171" s="227" t="str">
        <f t="shared" si="51"/>
        <v>0.0945666666666667+0.0125472395127327i</v>
      </c>
      <c r="S171" s="227" t="str">
        <f t="shared" si="52"/>
        <v>0.0085-14.345784968665i</v>
      </c>
      <c r="T171" s="227" t="str">
        <f t="shared" si="53"/>
        <v>7.14259419202943-6.5142821231879i</v>
      </c>
      <c r="U171" s="227" t="str">
        <f t="shared" si="54"/>
        <v>79.0553425596238-11.8449779655673i</v>
      </c>
      <c r="V171" s="227">
        <f t="shared" si="66"/>
        <v>38.055043032910071</v>
      </c>
      <c r="W171" s="227">
        <f t="shared" si="67"/>
        <v>-8.5213216423138078</v>
      </c>
      <c r="X171" s="227" t="str">
        <f t="shared" si="55"/>
        <v>0.999998716256113-0.000333653879789022i</v>
      </c>
      <c r="Y171" s="227" t="str">
        <f t="shared" si="56"/>
        <v>64.8780705012462+20.0962294050694i</v>
      </c>
      <c r="Z171" s="227" t="str">
        <f t="shared" si="57"/>
        <v>33.789118142656+10.4539537115075i</v>
      </c>
      <c r="AA171" s="227" t="str">
        <f t="shared" si="58"/>
        <v>15.5475303464083-7.33155640495871i</v>
      </c>
      <c r="AB171" s="227">
        <f t="shared" si="68"/>
        <v>24.705242970778265</v>
      </c>
      <c r="AC171" s="227">
        <f t="shared" si="69"/>
        <v>-25.246578431228524</v>
      </c>
      <c r="AD171" s="229">
        <f t="shared" si="70"/>
        <v>-5.5681513671681158</v>
      </c>
      <c r="AE171" s="229">
        <f t="shared" si="71"/>
        <v>121.66922627395854</v>
      </c>
      <c r="AF171" s="227">
        <f t="shared" si="59"/>
        <v>19.137091603610148</v>
      </c>
      <c r="AG171" s="227">
        <f t="shared" si="60"/>
        <v>96.422647842730015</v>
      </c>
      <c r="AH171" s="229" t="str">
        <f t="shared" si="61"/>
        <v>0.276543728709797-0.448300849656193i</v>
      </c>
    </row>
    <row r="172" spans="9:34" x14ac:dyDescent="0.2">
      <c r="I172" s="227">
        <v>168</v>
      </c>
      <c r="J172" s="227">
        <f t="shared" si="49"/>
        <v>2.6380205844996114</v>
      </c>
      <c r="K172" s="227">
        <f t="shared" si="72"/>
        <v>434.53081938491835</v>
      </c>
      <c r="L172" s="227">
        <f t="shared" si="62"/>
        <v>2730.2376598760256</v>
      </c>
      <c r="M172" s="227">
        <f t="shared" si="50"/>
        <v>5375.764238877774</v>
      </c>
      <c r="N172" s="227">
        <f>SQRT((ABS(AC172)-171.5+'Small Signal'!C$59)^2)</f>
        <v>75.743814111838844</v>
      </c>
      <c r="O172" s="227">
        <f t="shared" si="63"/>
        <v>96.483697204988488</v>
      </c>
      <c r="P172" s="227">
        <f t="shared" si="64"/>
        <v>18.965026803085408</v>
      </c>
      <c r="Q172" s="227">
        <f t="shared" si="65"/>
        <v>434.53081938491835</v>
      </c>
      <c r="R172" s="227" t="str">
        <f t="shared" si="51"/>
        <v>0.0945666666666667+0.0128321170014173i</v>
      </c>
      <c r="S172" s="227" t="str">
        <f t="shared" si="52"/>
        <v>0.0085-14.0273035213222i</v>
      </c>
      <c r="T172" s="227" t="str">
        <f t="shared" si="53"/>
        <v>6.99667496581192-6.52591817000845i</v>
      </c>
      <c r="U172" s="227" t="str">
        <f t="shared" si="54"/>
        <v>79.0384584284314-12.1199611631703i</v>
      </c>
      <c r="V172" s="227">
        <f t="shared" si="66"/>
        <v>38.057706872741662</v>
      </c>
      <c r="W172" s="227">
        <f t="shared" si="67"/>
        <v>-8.7179746091253438</v>
      </c>
      <c r="X172" s="227" t="str">
        <f t="shared" si="55"/>
        <v>0.999998657301099-0.000341229289445283i</v>
      </c>
      <c r="Y172" s="227" t="str">
        <f t="shared" si="56"/>
        <v>65.0404385482596+20.54513129311i</v>
      </c>
      <c r="Z172" s="227" t="str">
        <f t="shared" si="57"/>
        <v>33.8738292823581+10.6874365144116i</v>
      </c>
      <c r="AA172" s="227" t="str">
        <f t="shared" si="58"/>
        <v>15.4232510012616-7.44134583127572i</v>
      </c>
      <c r="AB172" s="227">
        <f t="shared" si="68"/>
        <v>24.672384639358931</v>
      </c>
      <c r="AC172" s="227">
        <f t="shared" si="69"/>
        <v>-25.756185888161163</v>
      </c>
      <c r="AD172" s="229">
        <f t="shared" si="70"/>
        <v>-5.7073578362735242</v>
      </c>
      <c r="AE172" s="229">
        <f t="shared" si="71"/>
        <v>122.23988309314964</v>
      </c>
      <c r="AF172" s="227">
        <f t="shared" si="59"/>
        <v>18.965026803085408</v>
      </c>
      <c r="AG172" s="227">
        <f t="shared" si="60"/>
        <v>96.483697204988488</v>
      </c>
      <c r="AH172" s="229" t="str">
        <f t="shared" si="61"/>
        <v>0.276527407137906-0.438440940768196i</v>
      </c>
    </row>
    <row r="173" spans="9:34" x14ac:dyDescent="0.2">
      <c r="I173" s="227">
        <v>169</v>
      </c>
      <c r="J173" s="227">
        <f t="shared" si="49"/>
        <v>2.6477707070263943</v>
      </c>
      <c r="K173" s="227">
        <f t="shared" si="72"/>
        <v>444.39657897744132</v>
      </c>
      <c r="L173" s="227">
        <f t="shared" si="62"/>
        <v>2792.226055591932</v>
      </c>
      <c r="M173" s="227">
        <f t="shared" si="50"/>
        <v>5365.6744831772739</v>
      </c>
      <c r="N173" s="227">
        <f>SQRT((ABS(AC173)-171.5+'Small Signal'!C$59)^2)</f>
        <v>75.226432601142619</v>
      </c>
      <c r="O173" s="227">
        <f t="shared" si="63"/>
        <v>96.54226124508763</v>
      </c>
      <c r="P173" s="227">
        <f t="shared" si="64"/>
        <v>18.793523497696068</v>
      </c>
      <c r="Q173" s="227">
        <f t="shared" si="65"/>
        <v>444.39657897744132</v>
      </c>
      <c r="R173" s="227" t="str">
        <f t="shared" si="51"/>
        <v>0.0945666666666667+0.0131234624612821i</v>
      </c>
      <c r="S173" s="227" t="str">
        <f t="shared" si="52"/>
        <v>0.0085-13.7158924735793i</v>
      </c>
      <c r="T173" s="227" t="str">
        <f t="shared" si="53"/>
        <v>6.85030742227886-6.53429638416091i</v>
      </c>
      <c r="U173" s="227" t="str">
        <f t="shared" si="54"/>
        <v>79.0206997637997-12.4016048806804i</v>
      </c>
      <c r="V173" s="227">
        <f t="shared" si="66"/>
        <v>38.060490412515165</v>
      </c>
      <c r="W173" s="227">
        <f t="shared" si="67"/>
        <v>-8.9193151039104883</v>
      </c>
      <c r="X173" s="227" t="str">
        <f t="shared" si="55"/>
        <v>0.999998595638618-0.000348976694198667i</v>
      </c>
      <c r="Y173" s="227" t="str">
        <f t="shared" si="56"/>
        <v>65.2104053184564+21.0036814826315i</v>
      </c>
      <c r="Z173" s="227" t="str">
        <f t="shared" si="57"/>
        <v>33.9625045738233+10.9259351656883i</v>
      </c>
      <c r="AA173" s="227" t="str">
        <f t="shared" si="58"/>
        <v>15.2952584161019-7.5506097096092i</v>
      </c>
      <c r="AB173" s="227">
        <f t="shared" si="68"/>
        <v>24.638282683194209</v>
      </c>
      <c r="AC173" s="227">
        <f t="shared" si="69"/>
        <v>-26.273567398857391</v>
      </c>
      <c r="AD173" s="229">
        <f t="shared" si="70"/>
        <v>-5.8447591854981411</v>
      </c>
      <c r="AE173" s="229">
        <f t="shared" si="71"/>
        <v>122.81582864394503</v>
      </c>
      <c r="AF173" s="227">
        <f t="shared" si="59"/>
        <v>18.793523497696068</v>
      </c>
      <c r="AG173" s="227">
        <f t="shared" si="60"/>
        <v>96.54226124508763</v>
      </c>
      <c r="AH173" s="229" t="str">
        <f t="shared" si="61"/>
        <v>0.276511738807935-0.428802024511749i</v>
      </c>
    </row>
    <row r="174" spans="9:34" x14ac:dyDescent="0.2">
      <c r="I174" s="227">
        <v>170</v>
      </c>
      <c r="J174" s="227">
        <f t="shared" si="49"/>
        <v>2.657520829553178</v>
      </c>
      <c r="K174" s="227">
        <f t="shared" si="72"/>
        <v>454.4863346779407</v>
      </c>
      <c r="L174" s="227">
        <f t="shared" si="62"/>
        <v>2855.6218603623411</v>
      </c>
      <c r="M174" s="227">
        <f t="shared" si="50"/>
        <v>5355.3556456725682</v>
      </c>
      <c r="N174" s="227">
        <f>SQRT((ABS(AC174)-171.5+'Small Signal'!C$59)^2)</f>
        <v>74.701301564558406</v>
      </c>
      <c r="O174" s="227">
        <f t="shared" si="63"/>
        <v>96.59816223532367</v>
      </c>
      <c r="P174" s="227">
        <f t="shared" si="64"/>
        <v>18.622578415417735</v>
      </c>
      <c r="Q174" s="227">
        <f t="shared" si="65"/>
        <v>454.4863346779407</v>
      </c>
      <c r="R174" s="227" t="str">
        <f t="shared" si="51"/>
        <v>0.0945666666666667+0.013421422743703i</v>
      </c>
      <c r="S174" s="227" t="str">
        <f t="shared" si="52"/>
        <v>0.0085-13.4113948600905i</v>
      </c>
      <c r="T174" s="227" t="str">
        <f t="shared" si="53"/>
        <v>6.70363759484438-6.53939574814666i</v>
      </c>
      <c r="U174" s="227" t="str">
        <f t="shared" si="54"/>
        <v>79.0020169437591-12.6900888629975i</v>
      </c>
      <c r="V174" s="227">
        <f t="shared" si="66"/>
        <v>38.06339889532012</v>
      </c>
      <c r="W174" s="227">
        <f t="shared" si="67"/>
        <v>-9.1254651790616421</v>
      </c>
      <c r="X174" s="227" t="str">
        <f t="shared" si="55"/>
        <v>0.999998531144331-0.00035689999909389i</v>
      </c>
      <c r="Y174" s="227" t="str">
        <f t="shared" si="56"/>
        <v>65.3883328684491+21.4720575238297i</v>
      </c>
      <c r="Z174" s="227" t="str">
        <f t="shared" si="57"/>
        <v>34.0553328710402+11.169541783437i</v>
      </c>
      <c r="AA174" s="227" t="str">
        <f t="shared" si="58"/>
        <v>15.1635184867501-7.65921199994188i</v>
      </c>
      <c r="AB174" s="227">
        <f t="shared" si="68"/>
        <v>24.602900385583347</v>
      </c>
      <c r="AC174" s="227">
        <f t="shared" si="69"/>
        <v>-26.798698435441583</v>
      </c>
      <c r="AD174" s="229">
        <f t="shared" si="70"/>
        <v>-5.9803219701656127</v>
      </c>
      <c r="AE174" s="229">
        <f t="shared" si="71"/>
        <v>123.39686067076525</v>
      </c>
      <c r="AF174" s="227">
        <f t="shared" si="59"/>
        <v>18.622578415417735</v>
      </c>
      <c r="AG174" s="227">
        <f t="shared" si="60"/>
        <v>96.59816223532367</v>
      </c>
      <c r="AH174" s="229" t="str">
        <f t="shared" si="61"/>
        <v>0.276496692126335-0.419379242469385i</v>
      </c>
    </row>
    <row r="175" spans="9:34" x14ac:dyDescent="0.2">
      <c r="I175" s="227">
        <v>171</v>
      </c>
      <c r="J175" s="227">
        <f t="shared" si="49"/>
        <v>2.6672709520799618</v>
      </c>
      <c r="K175" s="227">
        <f t="shared" si="72"/>
        <v>464.80517218264703</v>
      </c>
      <c r="L175" s="227">
        <f t="shared" si="62"/>
        <v>2920.4570285590858</v>
      </c>
      <c r="M175" s="227">
        <f t="shared" si="50"/>
        <v>5344.8025251997642</v>
      </c>
      <c r="N175" s="227">
        <f>SQRT((ABS(AC175)-171.5+'Small Signal'!C$59)^2)</f>
        <v>74.168454243590986</v>
      </c>
      <c r="O175" s="227">
        <f t="shared" si="63"/>
        <v>96.651220290667183</v>
      </c>
      <c r="P175" s="227">
        <f t="shared" si="64"/>
        <v>18.452187017245532</v>
      </c>
      <c r="Q175" s="227">
        <f t="shared" si="65"/>
        <v>464.80517218264703</v>
      </c>
      <c r="R175" s="227" t="str">
        <f t="shared" si="51"/>
        <v>0.0945666666666667+0.0137261480342277i</v>
      </c>
      <c r="S175" s="227" t="str">
        <f t="shared" si="52"/>
        <v>0.0085-13.1136572001955i</v>
      </c>
      <c r="T175" s="227" t="str">
        <f t="shared" si="53"/>
        <v>6.55681273060959-6.5412034380603i</v>
      </c>
      <c r="U175" s="227" t="str">
        <f t="shared" si="54"/>
        <v>78.9823571581936-12.9855988532617i</v>
      </c>
      <c r="V175" s="227">
        <f t="shared" si="66"/>
        <v>38.066437780225748</v>
      </c>
      <c r="W175" s="227">
        <f t="shared" si="67"/>
        <v>-9.3365507595659274</v>
      </c>
      <c r="X175" s="227" t="str">
        <f t="shared" si="55"/>
        <v>0.999998463688191-0.000365003197837345i</v>
      </c>
      <c r="Y175" s="227" t="str">
        <f t="shared" si="56"/>
        <v>65.5746010727457+21.9504376693253i</v>
      </c>
      <c r="Z175" s="227" t="str">
        <f t="shared" si="57"/>
        <v>34.1525123196238+11.4183488331377i</v>
      </c>
      <c r="AA175" s="227" t="str">
        <f t="shared" si="58"/>
        <v>15.0280028562603-7.76701192777702i</v>
      </c>
      <c r="AB175" s="227">
        <f t="shared" si="68"/>
        <v>24.566200729192957</v>
      </c>
      <c r="AC175" s="227">
        <f t="shared" si="69"/>
        <v>-27.331545756409014</v>
      </c>
      <c r="AD175" s="229">
        <f t="shared" si="70"/>
        <v>-6.1140137119474245</v>
      </c>
      <c r="AE175" s="229">
        <f t="shared" si="71"/>
        <v>123.9827660470762</v>
      </c>
      <c r="AF175" s="227">
        <f t="shared" si="59"/>
        <v>18.452187017245532</v>
      </c>
      <c r="AG175" s="227">
        <f t="shared" si="60"/>
        <v>96.651220290667183</v>
      </c>
      <c r="AH175" s="229" t="str">
        <f t="shared" si="61"/>
        <v>0.276482236753115-0.410167845158187i</v>
      </c>
    </row>
    <row r="176" spans="9:34" x14ac:dyDescent="0.2">
      <c r="I176" s="227">
        <v>172</v>
      </c>
      <c r="J176" s="227">
        <f t="shared" si="49"/>
        <v>2.6770210746067447</v>
      </c>
      <c r="K176" s="227">
        <f t="shared" si="72"/>
        <v>475.35829265545095</v>
      </c>
      <c r="L176" s="227">
        <f t="shared" si="62"/>
        <v>2986.7642400587033</v>
      </c>
      <c r="M176" s="227">
        <f t="shared" si="50"/>
        <v>5334.0098025056868</v>
      </c>
      <c r="N176" s="227">
        <f>SQRT((ABS(AC176)-171.5+'Small Signal'!C$59)^2)</f>
        <v>73.627932888434884</v>
      </c>
      <c r="O176" s="227">
        <f t="shared" si="63"/>
        <v>96.701253855588291</v>
      </c>
      <c r="P176" s="227">
        <f t="shared" si="64"/>
        <v>18.282343455495571</v>
      </c>
      <c r="Q176" s="227">
        <f t="shared" si="65"/>
        <v>475.35829265545095</v>
      </c>
      <c r="R176" s="227" t="str">
        <f t="shared" si="51"/>
        <v>0.0945666666666667+0.0140377919282759i</v>
      </c>
      <c r="S176" s="227" t="str">
        <f t="shared" si="52"/>
        <v>0.0085-12.8225294205588i</v>
      </c>
      <c r="T176" s="227" t="str">
        <f t="shared" si="53"/>
        <v>6.40998070061442-6.53971490215176i</v>
      </c>
      <c r="U176" s="227" t="str">
        <f t="shared" si="54"/>
        <v>78.961664174104-13.2883268534096i</v>
      </c>
      <c r="V176" s="227">
        <f t="shared" si="66"/>
        <v>38.069612749732627</v>
      </c>
      <c r="W176" s="227">
        <f t="shared" si="67"/>
        <v>-9.5527018090965949</v>
      </c>
      <c r="X176" s="227" t="str">
        <f t="shared" si="55"/>
        <v>0.999998393134177-0.000373290374810114i</v>
      </c>
      <c r="Y176" s="227" t="str">
        <f t="shared" si="56"/>
        <v>65.7696085478686+22.4390006052934i</v>
      </c>
      <c r="Z176" s="227" t="str">
        <f t="shared" si="57"/>
        <v>34.254250838495+11.6724489864367i</v>
      </c>
      <c r="AA176" s="227" t="str">
        <f t="shared" si="58"/>
        <v>14.8886893463014-7.87386419997869i</v>
      </c>
      <c r="AB176" s="227">
        <f t="shared" si="68"/>
        <v>24.528146455440446</v>
      </c>
      <c r="AC176" s="227">
        <f t="shared" si="69"/>
        <v>-27.872067111565105</v>
      </c>
      <c r="AD176" s="229">
        <f t="shared" si="70"/>
        <v>-6.2458029999448765</v>
      </c>
      <c r="AE176" s="229">
        <f t="shared" si="71"/>
        <v>124.57332096715339</v>
      </c>
      <c r="AF176" s="227">
        <f t="shared" si="59"/>
        <v>18.282343455495571</v>
      </c>
      <c r="AG176" s="227">
        <f t="shared" si="60"/>
        <v>96.701253855588291</v>
      </c>
      <c r="AH176" s="229" t="str">
        <f t="shared" si="61"/>
        <v>0.276468343540662-0.401163189635957i</v>
      </c>
    </row>
    <row r="177" spans="9:34" x14ac:dyDescent="0.2">
      <c r="I177" s="227">
        <v>173</v>
      </c>
      <c r="J177" s="227">
        <f t="shared" si="49"/>
        <v>2.6867711971335284</v>
      </c>
      <c r="K177" s="227">
        <f t="shared" si="72"/>
        <v>486.15101534952782</v>
      </c>
      <c r="L177" s="227">
        <f t="shared" si="62"/>
        <v>3054.5769167145909</v>
      </c>
      <c r="M177" s="227">
        <f t="shared" si="50"/>
        <v>5322.9720375667384</v>
      </c>
      <c r="N177" s="227">
        <f>SQRT((ABS(AC177)-171.5+'Small Signal'!C$59)^2)</f>
        <v>73.079789037565803</v>
      </c>
      <c r="O177" s="227">
        <f t="shared" si="63"/>
        <v>96.748080223609307</v>
      </c>
      <c r="P177" s="227">
        <f t="shared" si="64"/>
        <v>18.113040536924629</v>
      </c>
      <c r="Q177" s="227">
        <f t="shared" si="65"/>
        <v>486.15101534952782</v>
      </c>
      <c r="R177" s="227" t="str">
        <f t="shared" si="51"/>
        <v>0.0945666666666667+0.0143565115085586i</v>
      </c>
      <c r="S177" s="227" t="str">
        <f t="shared" si="52"/>
        <v>0.0085-12.5378647795249i</v>
      </c>
      <c r="T177" s="227" t="str">
        <f t="shared" si="53"/>
        <v>6.26328940476072-6.53493388876293i</v>
      </c>
      <c r="U177" s="227" t="str">
        <f t="shared" si="54"/>
        <v>78.9398780814025-13.5984713980638i</v>
      </c>
      <c r="V177" s="227">
        <f t="shared" si="66"/>
        <v>38.072929717316242</v>
      </c>
      <c r="W177" s="227">
        <f t="shared" si="67"/>
        <v>-9.7740525054730032</v>
      </c>
      <c r="X177" s="227" t="str">
        <f t="shared" si="55"/>
        <v>0.99999831934002-0.000381765707126687i</v>
      </c>
      <c r="Y177" s="227" t="str">
        <f t="shared" si="56"/>
        <v>65.9737736279156+22.9379251502019i</v>
      </c>
      <c r="Z177" s="227" t="str">
        <f t="shared" si="57"/>
        <v>34.360766628352+11.9319349629789i</v>
      </c>
      <c r="AA177" s="227" t="str">
        <f t="shared" si="58"/>
        <v>14.7455623862214-7.97961925866416i</v>
      </c>
      <c r="AB177" s="227">
        <f t="shared" si="68"/>
        <v>24.488700128155145</v>
      </c>
      <c r="AC177" s="227">
        <f t="shared" si="69"/>
        <v>-28.420210962434208</v>
      </c>
      <c r="AD177" s="229">
        <f t="shared" si="70"/>
        <v>-6.3756595912305141</v>
      </c>
      <c r="AE177" s="229">
        <f t="shared" si="71"/>
        <v>125.16829118604352</v>
      </c>
      <c r="AF177" s="227">
        <f t="shared" si="59"/>
        <v>18.113040536924629</v>
      </c>
      <c r="AG177" s="227">
        <f t="shared" si="60"/>
        <v>96.748080223609307</v>
      </c>
      <c r="AH177" s="229" t="str">
        <f t="shared" si="61"/>
        <v>0.276454984474977-0.392360737161057i</v>
      </c>
    </row>
    <row r="178" spans="9:34" x14ac:dyDescent="0.2">
      <c r="I178" s="227">
        <v>174</v>
      </c>
      <c r="J178" s="227">
        <f t="shared" si="49"/>
        <v>2.6965213196603117</v>
      </c>
      <c r="K178" s="227">
        <f t="shared" si="72"/>
        <v>497.18878028847678</v>
      </c>
      <c r="L178" s="227">
        <f t="shared" si="62"/>
        <v>3123.9292392030966</v>
      </c>
      <c r="M178" s="227">
        <f t="shared" si="50"/>
        <v>5311.6836668468677</v>
      </c>
      <c r="N178" s="227">
        <f>SQRT((ABS(AC178)-171.5+'Small Signal'!C$59)^2)</f>
        <v>72.524083779349155</v>
      </c>
      <c r="O178" s="227">
        <f t="shared" si="63"/>
        <v>96.791516087596975</v>
      </c>
      <c r="P178" s="227">
        <f t="shared" si="64"/>
        <v>17.944269691239342</v>
      </c>
      <c r="Q178" s="227">
        <f t="shared" si="65"/>
        <v>497.18878028847678</v>
      </c>
      <c r="R178" s="227" t="str">
        <f t="shared" si="51"/>
        <v>0.0945666666666667+0.0146824674242546i</v>
      </c>
      <c r="S178" s="227" t="str">
        <f t="shared" si="52"/>
        <v>0.0085-12.2595197931548i</v>
      </c>
      <c r="T178" s="227" t="str">
        <f t="shared" si="53"/>
        <v>6.11688617648941-6.52687242332009i</v>
      </c>
      <c r="U178" s="227" t="str">
        <f t="shared" si="54"/>
        <v>78.9169350174552-13.9162378423949i</v>
      </c>
      <c r="V178" s="227">
        <f t="shared" si="66"/>
        <v>38.076394835038236</v>
      </c>
      <c r="W178" s="227">
        <f t="shared" si="67"/>
        <v>-10.000741426105259</v>
      </c>
      <c r="X178" s="227" t="str">
        <f t="shared" si="55"/>
        <v>0.999998242156919-0.000390433466740408i</v>
      </c>
      <c r="Y178" s="227" t="str">
        <f t="shared" si="56"/>
        <v>66.1875353946232+23.4473899177891i</v>
      </c>
      <c r="Z178" s="227" t="str">
        <f t="shared" si="57"/>
        <v>34.4722887085263+12.196899353524i</v>
      </c>
      <c r="AA178" s="227" t="str">
        <f t="shared" si="58"/>
        <v>14.598613436464-8.08412357429459i</v>
      </c>
      <c r="AB178" s="227">
        <f t="shared" si="68"/>
        <v>24.447824201476781</v>
      </c>
      <c r="AC178" s="227">
        <f t="shared" si="69"/>
        <v>-28.975916220650834</v>
      </c>
      <c r="AD178" s="229">
        <f t="shared" si="70"/>
        <v>-6.503554510237441</v>
      </c>
      <c r="AE178" s="229">
        <f t="shared" si="71"/>
        <v>125.76743230824781</v>
      </c>
      <c r="AF178" s="227">
        <f t="shared" si="59"/>
        <v>17.944269691239342</v>
      </c>
      <c r="AG178" s="227">
        <f t="shared" si="60"/>
        <v>96.791516087596975</v>
      </c>
      <c r="AH178" s="229" t="str">
        <f t="shared" si="61"/>
        <v>0.276442132619197-0.383756050904761i</v>
      </c>
    </row>
    <row r="179" spans="9:34" x14ac:dyDescent="0.2">
      <c r="I179" s="227">
        <v>175</v>
      </c>
      <c r="J179" s="227">
        <f t="shared" si="49"/>
        <v>2.706271442187095</v>
      </c>
      <c r="K179" s="227">
        <f t="shared" si="72"/>
        <v>508.47715100834768</v>
      </c>
      <c r="L179" s="227">
        <f t="shared" si="62"/>
        <v>3194.8561642521859</v>
      </c>
      <c r="M179" s="227">
        <f t="shared" si="50"/>
        <v>5300.1390004933037</v>
      </c>
      <c r="N179" s="227">
        <f>SQRT((ABS(AC179)-171.5+'Small Signal'!C$59)^2)</f>
        <v>71.960887993064176</v>
      </c>
      <c r="O179" s="227">
        <f t="shared" si="63"/>
        <v>96.831378118341718</v>
      </c>
      <c r="P179" s="227">
        <f t="shared" si="64"/>
        <v>17.776020945552855</v>
      </c>
      <c r="Q179" s="227">
        <f t="shared" si="65"/>
        <v>508.47715100834768</v>
      </c>
      <c r="R179" s="227" t="str">
        <f t="shared" si="51"/>
        <v>0.0945666666666667+0.0150158239719853i</v>
      </c>
      <c r="S179" s="227" t="str">
        <f t="shared" si="52"/>
        <v>0.0085-11.9873541629032i</v>
      </c>
      <c r="T179" s="227" t="str">
        <f t="shared" si="53"/>
        <v>5.97091719229554-6.51555073464459i</v>
      </c>
      <c r="U179" s="227" t="str">
        <f t="shared" si="54"/>
        <v>78.8927668684464-14.2418386646167i</v>
      </c>
      <c r="V179" s="227">
        <f t="shared" si="66"/>
        <v>38.080014501200267</v>
      </c>
      <c r="W179" s="227">
        <f t="shared" si="67"/>
        <v>-10.232911744086216</v>
      </c>
      <c r="X179" s="227" t="str">
        <f t="shared" si="55"/>
        <v>0.99999816142924-0.000399298022596742i</v>
      </c>
      <c r="Y179" s="227" t="str">
        <f t="shared" si="56"/>
        <v>66.4113547651646+23.9675729405699i</v>
      </c>
      <c r="Z179" s="227" t="str">
        <f t="shared" si="57"/>
        <v>34.5890574839033+12.4674344224096i</v>
      </c>
      <c r="AA179" s="227" t="str">
        <f t="shared" si="58"/>
        <v>14.4478414027646-8.1872199788363i</v>
      </c>
      <c r="AB179" s="227">
        <f t="shared" si="68"/>
        <v>24.405481091920109</v>
      </c>
      <c r="AC179" s="227">
        <f t="shared" si="69"/>
        <v>-29.539112006935817</v>
      </c>
      <c r="AD179" s="229">
        <f t="shared" si="70"/>
        <v>-6.6294601463672542</v>
      </c>
      <c r="AE179" s="229">
        <f t="shared" si="71"/>
        <v>126.37049012527754</v>
      </c>
      <c r="AF179" s="227">
        <f t="shared" si="59"/>
        <v>17.776020945552855</v>
      </c>
      <c r="AG179" s="227">
        <f t="shared" si="60"/>
        <v>96.831378118341718</v>
      </c>
      <c r="AH179" s="229" t="str">
        <f t="shared" si="61"/>
        <v>0.276429762059277-0.375344793714904i</v>
      </c>
    </row>
    <row r="180" spans="9:34" x14ac:dyDescent="0.2">
      <c r="I180" s="227">
        <v>176</v>
      </c>
      <c r="J180" s="227">
        <f t="shared" si="49"/>
        <v>2.7160215647138783</v>
      </c>
      <c r="K180" s="227">
        <f t="shared" si="72"/>
        <v>520.02181736191153</v>
      </c>
      <c r="L180" s="227">
        <f t="shared" si="62"/>
        <v>3267.3934422611887</v>
      </c>
      <c r="M180" s="227">
        <f t="shared" si="50"/>
        <v>5288.332219468607</v>
      </c>
      <c r="N180" s="227">
        <f>SQRT((ABS(AC180)-171.5+'Small Signal'!C$59)^2)</f>
        <v>71.390282566713807</v>
      </c>
      <c r="O180" s="227">
        <f t="shared" si="63"/>
        <v>96.86748356853937</v>
      </c>
      <c r="P180" s="227">
        <f t="shared" si="64"/>
        <v>17.608282905324206</v>
      </c>
      <c r="Q180" s="227">
        <f t="shared" si="65"/>
        <v>520.02181736191153</v>
      </c>
      <c r="R180" s="227" t="str">
        <f t="shared" si="51"/>
        <v>0.0945666666666667+0.0153567491786276i</v>
      </c>
      <c r="S180" s="227" t="str">
        <f t="shared" si="52"/>
        <v>0.0085-11.7212307049015i</v>
      </c>
      <c r="T180" s="227" t="str">
        <f t="shared" si="53"/>
        <v>5.82552689109551-6.50099713142022i</v>
      </c>
      <c r="U180" s="227" t="str">
        <f t="shared" si="54"/>
        <v>78.8673009454348-14.5754937837787i</v>
      </c>
      <c r="V180" s="227">
        <f t="shared" si="66"/>
        <v>38.083795368009127</v>
      </c>
      <c r="W180" s="227">
        <f t="shared" si="67"/>
        <v>-10.470711435637563</v>
      </c>
      <c r="X180" s="227" t="str">
        <f t="shared" si="55"/>
        <v>0.999998076994201-0.000408363842835421i</v>
      </c>
      <c r="Y180" s="227" t="str">
        <f t="shared" si="56"/>
        <v>66.645715641118+24.4986512497548i</v>
      </c>
      <c r="Z180" s="227" t="str">
        <f t="shared" si="57"/>
        <v>34.711325343695+12.7436318872078i</v>
      </c>
      <c r="AA180" s="227" t="str">
        <f t="shared" si="58"/>
        <v>14.2932530373292-8.28874803953559i</v>
      </c>
      <c r="AB180" s="227">
        <f t="shared" si="68"/>
        <v>24.361633254496088</v>
      </c>
      <c r="AC180" s="227">
        <f t="shared" si="69"/>
        <v>-30.109717433286193</v>
      </c>
      <c r="AD180" s="229">
        <f t="shared" si="70"/>
        <v>-6.7533503491718827</v>
      </c>
      <c r="AE180" s="229">
        <f t="shared" si="71"/>
        <v>126.97720100182556</v>
      </c>
      <c r="AF180" s="227">
        <f t="shared" si="59"/>
        <v>17.608282905324206</v>
      </c>
      <c r="AG180" s="227">
        <f t="shared" si="60"/>
        <v>96.86748356853937</v>
      </c>
      <c r="AH180" s="229" t="str">
        <f t="shared" si="61"/>
        <v>0.276417847851749-0.367122725929781i</v>
      </c>
    </row>
    <row r="181" spans="9:34" x14ac:dyDescent="0.2">
      <c r="I181" s="227">
        <v>177</v>
      </c>
      <c r="J181" s="227">
        <f t="shared" si="49"/>
        <v>2.7257716872406617</v>
      </c>
      <c r="K181" s="227">
        <f t="shared" si="72"/>
        <v>531.82859838660806</v>
      </c>
      <c r="L181" s="227">
        <f t="shared" si="62"/>
        <v>3341.5776353206488</v>
      </c>
      <c r="M181" s="227">
        <f t="shared" si="50"/>
        <v>5276.2573726176097</v>
      </c>
      <c r="N181" s="227">
        <f>SQRT((ABS(AC181)-171.5+'Small Signal'!C$59)^2)</f>
        <v>70.812358588956386</v>
      </c>
      <c r="O181" s="227">
        <f t="shared" si="63"/>
        <v>96.899650898840477</v>
      </c>
      <c r="P181" s="227">
        <f t="shared" si="64"/>
        <v>17.441042742281944</v>
      </c>
      <c r="Q181" s="227">
        <f t="shared" si="65"/>
        <v>531.82859838660806</v>
      </c>
      <c r="R181" s="227" t="str">
        <f t="shared" si="51"/>
        <v>0.0945666666666667+0.015705414886007i</v>
      </c>
      <c r="S181" s="227" t="str">
        <f t="shared" si="52"/>
        <v>0.0085-11.4610152808108i</v>
      </c>
      <c r="T181" s="227" t="str">
        <f t="shared" si="53"/>
        <v>5.68085740831823-6.48324783021778i</v>
      </c>
      <c r="U181" s="227" t="str">
        <f t="shared" si="54"/>
        <v>78.8404596327786-14.9174308935255i</v>
      </c>
      <c r="V181" s="227">
        <f t="shared" si="66"/>
        <v>38.087744349218234</v>
      </c>
      <c r="W181" s="227">
        <f t="shared" si="67"/>
        <v>-10.714293499665969</v>
      </c>
      <c r="X181" s="227" t="str">
        <f t="shared" si="55"/>
        <v>0.999997988681543-0.000417635497042587i</v>
      </c>
      <c r="Y181" s="227" t="str">
        <f t="shared" si="56"/>
        <v>66.8911261222245+25.0408004070268i</v>
      </c>
      <c r="Z181" s="227" t="str">
        <f t="shared" si="57"/>
        <v>34.8393572939463+13.0255826731972i</v>
      </c>
      <c r="AA181" s="227" t="str">
        <f t="shared" si="58"/>
        <v>14.1348633230033-8.38854447349294i</v>
      </c>
      <c r="AB181" s="227">
        <f t="shared" si="68"/>
        <v>24.316243262742823</v>
      </c>
      <c r="AC181" s="227">
        <f t="shared" si="69"/>
        <v>-30.687641411043625</v>
      </c>
      <c r="AD181" s="229">
        <f t="shared" si="70"/>
        <v>-6.875200520460881</v>
      </c>
      <c r="AE181" s="229">
        <f t="shared" si="71"/>
        <v>127.58729230988411</v>
      </c>
      <c r="AF181" s="227">
        <f t="shared" si="59"/>
        <v>17.441042742281944</v>
      </c>
      <c r="AG181" s="227">
        <f t="shared" si="60"/>
        <v>96.899650898840477</v>
      </c>
      <c r="AH181" s="229" t="str">
        <f t="shared" si="61"/>
        <v>0.276406365973424-0.359085703241133i</v>
      </c>
    </row>
    <row r="182" spans="9:34" x14ac:dyDescent="0.2">
      <c r="I182" s="227">
        <v>178</v>
      </c>
      <c r="J182" s="227">
        <f t="shared" si="49"/>
        <v>2.7355218097674454</v>
      </c>
      <c r="K182" s="227">
        <f t="shared" si="72"/>
        <v>543.90344523760564</v>
      </c>
      <c r="L182" s="227">
        <f t="shared" si="62"/>
        <v>3417.4461356412803</v>
      </c>
      <c r="M182" s="227">
        <f t="shared" si="50"/>
        <v>5263.9083736677649</v>
      </c>
      <c r="N182" s="227">
        <f>SQRT((ABS(AC182)-171.5+'Small Signal'!C$59)^2)</f>
        <v>70.22721751250134</v>
      </c>
      <c r="O182" s="227">
        <f t="shared" si="63"/>
        <v>96.927700422211174</v>
      </c>
      <c r="P182" s="227">
        <f t="shared" si="64"/>
        <v>17.274286189793393</v>
      </c>
      <c r="Q182" s="227">
        <f t="shared" si="65"/>
        <v>543.90344523760564</v>
      </c>
      <c r="R182" s="227" t="str">
        <f t="shared" si="51"/>
        <v>0.0945666666666667+0.016061996837514i</v>
      </c>
      <c r="S182" s="227" t="str">
        <f t="shared" si="52"/>
        <v>0.0085-11.2065767302105i</v>
      </c>
      <c r="T182" s="227" t="str">
        <f t="shared" si="53"/>
        <v>5.53704802937659-6.46234673701136i</v>
      </c>
      <c r="U182" s="227" t="str">
        <f t="shared" si="54"/>
        <v>78.8121600063625-15.2678858124927i</v>
      </c>
      <c r="V182" s="227">
        <f t="shared" si="66"/>
        <v>38.091868627702844</v>
      </c>
      <c r="W182" s="227">
        <f t="shared" si="67"/>
        <v>-10.96381619024133</v>
      </c>
      <c r="X182" s="227" t="str">
        <f t="shared" si="55"/>
        <v>0.999997896313189-0.000427117658554073i</v>
      </c>
      <c r="Y182" s="227" t="str">
        <f t="shared" si="56"/>
        <v>67.1481197887651+25.5941939831237i</v>
      </c>
      <c r="Z182" s="227" t="str">
        <f t="shared" si="57"/>
        <v>34.9734316257662+13.3133766400094i</v>
      </c>
      <c r="AA182" s="227" t="str">
        <f t="shared" si="58"/>
        <v>13.9726958362735-8.48644360282096i</v>
      </c>
      <c r="AB182" s="227">
        <f t="shared" si="68"/>
        <v>24.269273892477507</v>
      </c>
      <c r="AC182" s="227">
        <f t="shared" si="69"/>
        <v>-31.27278248749867</v>
      </c>
      <c r="AD182" s="229">
        <f t="shared" si="70"/>
        <v>-6.9949877026841136</v>
      </c>
      <c r="AE182" s="229">
        <f t="shared" si="71"/>
        <v>128.20048290970985</v>
      </c>
      <c r="AF182" s="227">
        <f t="shared" si="59"/>
        <v>17.274286189793393</v>
      </c>
      <c r="AG182" s="227">
        <f t="shared" si="60"/>
        <v>96.927700422211174</v>
      </c>
      <c r="AH182" s="229" t="str">
        <f t="shared" si="61"/>
        <v>0.276395293272971-0.351229674605181i</v>
      </c>
    </row>
    <row r="183" spans="9:34" x14ac:dyDescent="0.2">
      <c r="I183" s="227">
        <v>179</v>
      </c>
      <c r="J183" s="227">
        <f t="shared" si="49"/>
        <v>2.7452719322942287</v>
      </c>
      <c r="K183" s="227">
        <f t="shared" si="72"/>
        <v>556.25244418745012</v>
      </c>
      <c r="L183" s="227">
        <f t="shared" si="62"/>
        <v>3495.0371844013193</v>
      </c>
      <c r="M183" s="227">
        <f t="shared" si="50"/>
        <v>5251.2789981613851</v>
      </c>
      <c r="N183" s="227">
        <f>SQRT((ABS(AC183)-171.5+'Small Signal'!C$59)^2)</f>
        <v>69.634971286338754</v>
      </c>
      <c r="O183" s="227">
        <f t="shared" si="63"/>
        <v>96.951454962437737</v>
      </c>
      <c r="P183" s="227">
        <f t="shared" si="64"/>
        <v>17.107997546091831</v>
      </c>
      <c r="Q183" s="227">
        <f t="shared" si="65"/>
        <v>556.25244418745012</v>
      </c>
      <c r="R183" s="227" t="str">
        <f t="shared" si="51"/>
        <v>0.0945666666666667+0.0164266747666862i</v>
      </c>
      <c r="S183" s="227" t="str">
        <f t="shared" si="52"/>
        <v>0.0085-10.9577868044874i</v>
      </c>
      <c r="T183" s="227" t="str">
        <f t="shared" si="53"/>
        <v>5.39423466689852-6.43834518462281i</v>
      </c>
      <c r="U183" s="227" t="str">
        <f t="shared" si="54"/>
        <v>78.7823134188304-15.6271028519979i</v>
      </c>
      <c r="V183" s="227">
        <f t="shared" si="66"/>
        <v>38.096175662922583</v>
      </c>
      <c r="W183" s="227">
        <f t="shared" si="67"/>
        <v>-11.219443262861926</v>
      </c>
      <c r="X183" s="227" t="str">
        <f t="shared" si="55"/>
        <v>0.999997799702886-0.000436815106810979i</v>
      </c>
      <c r="Y183" s="227" t="str">
        <f t="shared" si="56"/>
        <v>67.4172570566014+26.1590029776379i</v>
      </c>
      <c r="Z183" s="227" t="str">
        <f t="shared" si="57"/>
        <v>35.113840621385+13.6071022775303i</v>
      </c>
      <c r="AA183" s="227" t="str">
        <f t="shared" si="58"/>
        <v>13.8067830848242-8.58227784974003i</v>
      </c>
      <c r="AB183" s="227">
        <f t="shared" si="68"/>
        <v>24.220688209041164</v>
      </c>
      <c r="AC183" s="227">
        <f t="shared" si="69"/>
        <v>-31.865028713661243</v>
      </c>
      <c r="AD183" s="229">
        <f t="shared" si="70"/>
        <v>-7.1126906629493325</v>
      </c>
      <c r="AE183" s="229">
        <f t="shared" si="71"/>
        <v>128.81648367609898</v>
      </c>
      <c r="AF183" s="227">
        <f t="shared" si="59"/>
        <v>17.107997546091831</v>
      </c>
      <c r="AG183" s="227">
        <f t="shared" si="60"/>
        <v>96.951454962437737</v>
      </c>
      <c r="AH183" s="229" t="str">
        <f t="shared" si="61"/>
        <v>0.276384607424242-0.343550680200633i</v>
      </c>
    </row>
    <row r="184" spans="9:34" x14ac:dyDescent="0.2">
      <c r="I184" s="227">
        <v>180</v>
      </c>
      <c r="J184" s="227">
        <f t="shared" si="49"/>
        <v>2.755022054821012</v>
      </c>
      <c r="K184" s="227">
        <f t="shared" si="72"/>
        <v>568.88181969383027</v>
      </c>
      <c r="L184" s="227">
        <f t="shared" si="62"/>
        <v>3574.3898910218609</v>
      </c>
      <c r="M184" s="227">
        <f t="shared" si="50"/>
        <v>5238.3628803182337</v>
      </c>
      <c r="N184" s="227">
        <f>SQRT((ABS(AC184)-171.5+'Small Signal'!C$59)^2)</f>
        <v>69.035742454219303</v>
      </c>
      <c r="O184" s="227">
        <f t="shared" si="63"/>
        <v>96.970740522221675</v>
      </c>
      <c r="P184" s="227">
        <f t="shared" si="64"/>
        <v>16.942159685713914</v>
      </c>
      <c r="Q184" s="227">
        <f t="shared" si="65"/>
        <v>568.88181969383027</v>
      </c>
      <c r="R184" s="227" t="str">
        <f t="shared" si="51"/>
        <v>0.0945666666666667+0.0167996324878027i</v>
      </c>
      <c r="S184" s="227" t="str">
        <f t="shared" si="52"/>
        <v>0.0085-10.714520102192i</v>
      </c>
      <c r="T184" s="227" t="str">
        <f t="shared" si="53"/>
        <v>5.25254936575968-6.41130162898803i</v>
      </c>
      <c r="U184" s="227" t="str">
        <f t="shared" si="54"/>
        <v>78.7508250487301-15.9953352016717i</v>
      </c>
      <c r="V184" s="227">
        <f t="shared" si="66"/>
        <v>38.100673198214771</v>
      </c>
      <c r="W184" s="227">
        <f t="shared" si="67"/>
        <v>-11.481344235437573</v>
      </c>
      <c r="X184" s="227" t="str">
        <f t="shared" si="55"/>
        <v>0.999997698655824-0.000446732729768724i</v>
      </c>
      <c r="Y184" s="227" t="str">
        <f t="shared" si="56"/>
        <v>67.6991266091201+26.7353951738245i</v>
      </c>
      <c r="Z184" s="227" t="str">
        <f t="shared" si="57"/>
        <v>35.2608913002429+13.9068463678136i</v>
      </c>
      <c r="AA184" s="227" t="str">
        <f t="shared" si="58"/>
        <v>13.6371668152875-8.67587827050153i</v>
      </c>
      <c r="AB184" s="227">
        <f t="shared" si="68"/>
        <v>24.170449657762695</v>
      </c>
      <c r="AC184" s="227">
        <f t="shared" si="69"/>
        <v>-32.464257545780683</v>
      </c>
      <c r="AD184" s="229">
        <f t="shared" si="70"/>
        <v>-7.2282899720487803</v>
      </c>
      <c r="AE184" s="229">
        <f t="shared" si="71"/>
        <v>129.43499806800236</v>
      </c>
      <c r="AF184" s="227">
        <f t="shared" si="59"/>
        <v>16.942159685713914</v>
      </c>
      <c r="AG184" s="227">
        <f t="shared" si="60"/>
        <v>96.970740522221675</v>
      </c>
      <c r="AH184" s="229" t="str">
        <f t="shared" si="61"/>
        <v>0.276374286881255-0.336044849432635i</v>
      </c>
    </row>
    <row r="185" spans="9:34" x14ac:dyDescent="0.2">
      <c r="I185" s="227">
        <v>181</v>
      </c>
      <c r="J185" s="227">
        <f t="shared" si="49"/>
        <v>2.7647721773477953</v>
      </c>
      <c r="K185" s="227">
        <f t="shared" si="72"/>
        <v>581.79793753698118</v>
      </c>
      <c r="L185" s="227">
        <f t="shared" si="62"/>
        <v>3655.5442528797466</v>
      </c>
      <c r="M185" s="227">
        <f t="shared" si="50"/>
        <v>5225.1535098268823</v>
      </c>
      <c r="N185" s="227">
        <f>SQRT((ABS(AC185)-171.5+'Small Signal'!C$59)^2)</f>
        <v>68.429664216913523</v>
      </c>
      <c r="O185" s="227">
        <f t="shared" si="63"/>
        <v>96.98538695599558</v>
      </c>
      <c r="P185" s="227">
        <f t="shared" si="64"/>
        <v>16.776754079435957</v>
      </c>
      <c r="Q185" s="227">
        <f t="shared" si="65"/>
        <v>581.79793753698118</v>
      </c>
      <c r="R185" s="227" t="str">
        <f t="shared" si="51"/>
        <v>0.0945666666666667+0.0171810579885348i</v>
      </c>
      <c r="S185" s="227" t="str">
        <f t="shared" si="52"/>
        <v>0.0085-10.4766540058311i</v>
      </c>
      <c r="T185" s="227" t="str">
        <f t="shared" si="53"/>
        <v>5.11211983957167-6.38128130754527i</v>
      </c>
      <c r="U185" s="227" t="str">
        <f t="shared" si="54"/>
        <v>78.7175934102023-16.3728453336417i</v>
      </c>
      <c r="V185" s="227">
        <f t="shared" si="66"/>
        <v>38.105369267857299</v>
      </c>
      <c r="W185" s="227">
        <f t="shared" si="67"/>
        <v>-11.749694664980291</v>
      </c>
      <c r="X185" s="227" t="str">
        <f t="shared" si="55"/>
        <v>0.999997592968248-0.000456875526360802i</v>
      </c>
      <c r="Y185" s="227" t="str">
        <f t="shared" si="56"/>
        <v>67.994346910575+27.3235344215345i</v>
      </c>
      <c r="Z185" s="227" t="str">
        <f t="shared" si="57"/>
        <v>35.4149062074433+14.2126936094099i</v>
      </c>
      <c r="AA185" s="227" t="str">
        <f t="shared" si="58"/>
        <v>13.4638982868059-8.76707512653558i</v>
      </c>
      <c r="AB185" s="227">
        <f t="shared" si="68"/>
        <v>24.118522157327856</v>
      </c>
      <c r="AC185" s="227">
        <f t="shared" si="69"/>
        <v>-33.070335783086485</v>
      </c>
      <c r="AD185" s="229">
        <f t="shared" si="70"/>
        <v>-7.3417680778918983</v>
      </c>
      <c r="AE185" s="229">
        <f t="shared" si="71"/>
        <v>130.05572273908206</v>
      </c>
      <c r="AF185" s="227">
        <f t="shared" si="59"/>
        <v>16.776754079435957</v>
      </c>
      <c r="AG185" s="227">
        <f t="shared" si="60"/>
        <v>96.98538695599558</v>
      </c>
      <c r="AH185" s="229" t="str">
        <f t="shared" si="61"/>
        <v>0.276364310834758-0.328708398981666i</v>
      </c>
    </row>
    <row r="186" spans="9:34" x14ac:dyDescent="0.2">
      <c r="I186" s="227">
        <v>182</v>
      </c>
      <c r="J186" s="227">
        <f t="shared" si="49"/>
        <v>2.7745222998745787</v>
      </c>
      <c r="K186" s="227">
        <f t="shared" si="72"/>
        <v>595.00730802833243</v>
      </c>
      <c r="L186" s="227">
        <f t="shared" si="62"/>
        <v>3738.5411754680968</v>
      </c>
      <c r="M186" s="227">
        <f t="shared" si="50"/>
        <v>5211.6442285632156</v>
      </c>
      <c r="N186" s="227">
        <f>SQRT((ABS(AC186)-171.5+'Small Signal'!C$59)^2)</f>
        <v>67.816880455867164</v>
      </c>
      <c r="O186" s="227">
        <f t="shared" si="63"/>
        <v>96.995228642260798</v>
      </c>
      <c r="P186" s="227">
        <f t="shared" si="64"/>
        <v>16.61176082292253</v>
      </c>
      <c r="Q186" s="227">
        <f t="shared" si="65"/>
        <v>595.00730802833243</v>
      </c>
      <c r="R186" s="227" t="str">
        <f t="shared" si="51"/>
        <v>0.0945666666666667+0.0175711435247001i</v>
      </c>
      <c r="S186" s="227" t="str">
        <f t="shared" si="52"/>
        <v>0.0085-10.2440686200628i</v>
      </c>
      <c r="T186" s="227" t="str">
        <f t="shared" si="53"/>
        <v>4.97306904184619-6.34835586339592i</v>
      </c>
      <c r="U186" s="227" t="str">
        <f t="shared" si="54"/>
        <v>78.6825098194787-16.7599054258427i</v>
      </c>
      <c r="V186" s="227">
        <f t="shared" si="66"/>
        <v>38.110272203826774</v>
      </c>
      <c r="W186" s="227">
        <f t="shared" si="67"/>
        <v>-12.024676441066793</v>
      </c>
      <c r="X186" s="227" t="str">
        <f t="shared" si="55"/>
        <v>0.999997482427046-0.000467248609018468i</v>
      </c>
      <c r="Y186" s="227" t="str">
        <f t="shared" si="56"/>
        <v>68.3035678054916+27.9235798406373i</v>
      </c>
      <c r="Z186" s="227" t="str">
        <f t="shared" si="57"/>
        <v>35.576224246995+14.5247262001238i</v>
      </c>
      <c r="AA186" s="227" t="str">
        <f t="shared" si="58"/>
        <v>13.2870385060495-8.85569849071602i</v>
      </c>
      <c r="AB186" s="227">
        <f t="shared" si="68"/>
        <v>24.064870195694329</v>
      </c>
      <c r="AC186" s="227">
        <f t="shared" si="69"/>
        <v>-33.683119544132843</v>
      </c>
      <c r="AD186" s="229">
        <f t="shared" si="70"/>
        <v>-7.4531093727717979</v>
      </c>
      <c r="AE186" s="229">
        <f t="shared" si="71"/>
        <v>130.67834818639363</v>
      </c>
      <c r="AF186" s="227">
        <f t="shared" si="59"/>
        <v>16.61176082292253</v>
      </c>
      <c r="AG186" s="227">
        <f t="shared" si="60"/>
        <v>96.995228642260798</v>
      </c>
      <c r="AH186" s="229" t="str">
        <f t="shared" si="61"/>
        <v>0.276354659170292-0.321537630896405i</v>
      </c>
    </row>
    <row r="187" spans="9:34" x14ac:dyDescent="0.2">
      <c r="I187" s="227">
        <v>183</v>
      </c>
      <c r="J187" s="227">
        <f t="shared" si="49"/>
        <v>2.7842724224013624</v>
      </c>
      <c r="K187" s="227">
        <f t="shared" si="72"/>
        <v>608.51658929199937</v>
      </c>
      <c r="L187" s="227">
        <f t="shared" si="62"/>
        <v>3823.4224930145251</v>
      </c>
      <c r="M187" s="227">
        <f t="shared" si="50"/>
        <v>5197.8282272344377</v>
      </c>
      <c r="N187" s="227">
        <f>SQRT((ABS(AC187)-171.5+'Small Signal'!C$59)^2)</f>
        <v>67.197545716060802</v>
      </c>
      <c r="O187" s="227">
        <f t="shared" si="63"/>
        <v>97.000105150041293</v>
      </c>
      <c r="P187" s="227">
        <f t="shared" si="64"/>
        <v>16.447158674218233</v>
      </c>
      <c r="Q187" s="227">
        <f t="shared" si="65"/>
        <v>608.51658929199937</v>
      </c>
      <c r="R187" s="227" t="str">
        <f t="shared" si="51"/>
        <v>0.0945666666666667+0.0179700857171683i</v>
      </c>
      <c r="S187" s="227" t="str">
        <f t="shared" si="52"/>
        <v>0.0085-10.0166467112637i</v>
      </c>
      <c r="T187" s="227" t="str">
        <f t="shared" si="53"/>
        <v>4.83551477458977-6.31260293917629i</v>
      </c>
      <c r="U187" s="227" t="str">
        <f t="shared" si="54"/>
        <v>78.6454578141149-17.1567978049706i</v>
      </c>
      <c r="V187" s="227">
        <f t="shared" si="66"/>
        <v>38.115390642170311</v>
      </c>
      <c r="W187" s="227">
        <f t="shared" si="67"/>
        <v>-12.306478097207995</v>
      </c>
      <c r="X187" s="227" t="str">
        <f t="shared" si="55"/>
        <v>0.999997366809319-0.000477857206247642i</v>
      </c>
      <c r="Y187" s="227" t="str">
        <f t="shared" si="56"/>
        <v>68.6274722090724+28.5356849364418i</v>
      </c>
      <c r="Z187" s="227" t="str">
        <f t="shared" si="57"/>
        <v>35.745201562407+14.8430233737645i</v>
      </c>
      <c r="AA187" s="227" t="str">
        <f t="shared" si="58"/>
        <v>13.1066584194264-8.94157888610209i</v>
      </c>
      <c r="AB187" s="227">
        <f t="shared" si="68"/>
        <v>24.009458928150679</v>
      </c>
      <c r="AC187" s="227">
        <f t="shared" si="69"/>
        <v>-34.302454283939198</v>
      </c>
      <c r="AD187" s="229">
        <f t="shared" si="70"/>
        <v>-7.5623002539324453</v>
      </c>
      <c r="AE187" s="229">
        <f t="shared" si="71"/>
        <v>131.30255943398049</v>
      </c>
      <c r="AF187" s="227">
        <f t="shared" si="59"/>
        <v>16.447158674218233</v>
      </c>
      <c r="AG187" s="227">
        <f t="shared" si="60"/>
        <v>97.000105150041293</v>
      </c>
      <c r="AH187" s="229" t="str">
        <f t="shared" si="61"/>
        <v>0.276345312427637-0.314528930729581i</v>
      </c>
    </row>
    <row r="188" spans="9:34" x14ac:dyDescent="0.2">
      <c r="I188" s="227">
        <v>184</v>
      </c>
      <c r="J188" s="227">
        <f t="shared" si="49"/>
        <v>2.7940225449281457</v>
      </c>
      <c r="K188" s="227">
        <f t="shared" si="72"/>
        <v>622.33259062077764</v>
      </c>
      <c r="L188" s="227">
        <f t="shared" si="62"/>
        <v>3910.2309895674784</v>
      </c>
      <c r="M188" s="227">
        <f t="shared" si="50"/>
        <v>5183.698541946871</v>
      </c>
      <c r="N188" s="227">
        <f>SQRT((ABS(AC188)-171.5+'Small Signal'!C$59)^2)</f>
        <v>66.571825146033888</v>
      </c>
      <c r="O188" s="227">
        <f t="shared" si="63"/>
        <v>96.999861893832161</v>
      </c>
      <c r="P188" s="227">
        <f t="shared" si="64"/>
        <v>16.282925100130644</v>
      </c>
      <c r="Q188" s="227">
        <f t="shared" si="65"/>
        <v>622.33259062077764</v>
      </c>
      <c r="R188" s="227" t="str">
        <f t="shared" si="51"/>
        <v>0.0945666666666667+0.0183780856509671i</v>
      </c>
      <c r="S188" s="227" t="str">
        <f t="shared" si="52"/>
        <v>0.0085-9.79427364843781i</v>
      </c>
      <c r="T188" s="227" t="str">
        <f t="shared" si="53"/>
        <v>4.69956933659188-6.27410574480303i</v>
      </c>
      <c r="U188" s="227" t="str">
        <f t="shared" si="54"/>
        <v>78.6063125204691-17.5638154095227i</v>
      </c>
      <c r="V188" s="227">
        <f t="shared" si="66"/>
        <v>38.120733528896736</v>
      </c>
      <c r="W188" s="227">
        <f t="shared" si="67"/>
        <v>-12.595295141341118</v>
      </c>
      <c r="X188" s="227" t="str">
        <f t="shared" si="55"/>
        <v>0.999997245881932-0.000488706665264306i</v>
      </c>
      <c r="Y188" s="227" t="str">
        <f t="shared" si="56"/>
        <v>68.9667778937033+29.1599966177009i</v>
      </c>
      <c r="Z188" s="227" t="str">
        <f t="shared" si="57"/>
        <v>35.9222124672855+15.167660885973i</v>
      </c>
      <c r="AA188" s="227" t="str">
        <f t="shared" si="58"/>
        <v>12.9228390583804-9.02454795399693i</v>
      </c>
      <c r="AB188" s="227">
        <f t="shared" si="68"/>
        <v>23.952254277078019</v>
      </c>
      <c r="AC188" s="227">
        <f t="shared" si="69"/>
        <v>-34.928174853966112</v>
      </c>
      <c r="AD188" s="229">
        <f t="shared" si="70"/>
        <v>-7.6693291769473761</v>
      </c>
      <c r="AE188" s="229">
        <f t="shared" si="71"/>
        <v>131.92803674779827</v>
      </c>
      <c r="AF188" s="227">
        <f t="shared" si="59"/>
        <v>16.282925100130644</v>
      </c>
      <c r="AG188" s="227">
        <f t="shared" si="60"/>
        <v>96.999861893832161</v>
      </c>
      <c r="AH188" s="229" t="str">
        <f t="shared" si="61"/>
        <v>0.276336251761582-0.30767876571588i</v>
      </c>
    </row>
    <row r="189" spans="9:34" x14ac:dyDescent="0.2">
      <c r="I189" s="227">
        <v>185</v>
      </c>
      <c r="J189" s="227">
        <f t="shared" si="49"/>
        <v>2.803772667454929</v>
      </c>
      <c r="K189" s="227">
        <f t="shared" si="72"/>
        <v>636.46227590834371</v>
      </c>
      <c r="L189" s="227">
        <f t="shared" si="62"/>
        <v>3999.0104205613852</v>
      </c>
      <c r="M189" s="227">
        <f t="shared" si="50"/>
        <v>5169.2480506958473</v>
      </c>
      <c r="N189" s="227">
        <f>SQRT((ABS(AC189)-171.5+'Small Signal'!C$59)^2)</f>
        <v>65.93989439329539</v>
      </c>
      <c r="O189" s="227">
        <f t="shared" si="63"/>
        <v>96.994350771342809</v>
      </c>
      <c r="P189" s="227">
        <f t="shared" si="64"/>
        <v>16.119036331457963</v>
      </c>
      <c r="Q189" s="227">
        <f t="shared" si="65"/>
        <v>636.46227590834371</v>
      </c>
      <c r="R189" s="227" t="str">
        <f t="shared" si="51"/>
        <v>0.0945666666666667+0.0187953489766385i</v>
      </c>
      <c r="S189" s="227" t="str">
        <f t="shared" si="52"/>
        <v>0.0085-9.57683734543734i</v>
      </c>
      <c r="T189" s="227" t="str">
        <f t="shared" si="53"/>
        <v>4.56533921316169-6.23295260341245i</v>
      </c>
      <c r="U189" s="227" t="str">
        <f t="shared" si="54"/>
        <v>78.5649399644888-17.9812622732648i</v>
      </c>
      <c r="V189" s="227">
        <f t="shared" si="66"/>
        <v>38.126310125278856</v>
      </c>
      <c r="W189" s="227">
        <f t="shared" si="67"/>
        <v>-12.891330406741314</v>
      </c>
      <c r="X189" s="227" t="str">
        <f t="shared" si="55"/>
        <v>0.999997119401041-0.000499802454689752i</v>
      </c>
      <c r="Y189" s="227" t="str">
        <f t="shared" si="56"/>
        <v>69.3222393769113+29.796654106719i</v>
      </c>
      <c r="Z189" s="227" t="str">
        <f t="shared" si="57"/>
        <v>36.1076504287077+15.4987104436532i</v>
      </c>
      <c r="AA189" s="227" t="str">
        <f t="shared" si="58"/>
        <v>12.7356716338981-9.10443914762379i</v>
      </c>
      <c r="AB189" s="227">
        <f t="shared" si="68"/>
        <v>23.893223032930994</v>
      </c>
      <c r="AC189" s="227">
        <f t="shared" si="69"/>
        <v>-35.560105606704596</v>
      </c>
      <c r="AD189" s="229">
        <f t="shared" si="70"/>
        <v>-7.7741867014730301</v>
      </c>
      <c r="AE189" s="229">
        <f t="shared" si="71"/>
        <v>132.5544563780474</v>
      </c>
      <c r="AF189" s="227">
        <f t="shared" si="59"/>
        <v>16.119036331457963</v>
      </c>
      <c r="AG189" s="227">
        <f t="shared" si="60"/>
        <v>96.994350771342809</v>
      </c>
      <c r="AH189" s="229" t="str">
        <f t="shared" si="61"/>
        <v>0.276327458903944-0.300983682990997i</v>
      </c>
    </row>
    <row r="190" spans="9:34" x14ac:dyDescent="0.2">
      <c r="I190" s="227">
        <v>186</v>
      </c>
      <c r="J190" s="227">
        <f t="shared" si="49"/>
        <v>2.8135227899817123</v>
      </c>
      <c r="K190" s="227">
        <f t="shared" si="72"/>
        <v>650.91276715936772</v>
      </c>
      <c r="L190" s="227">
        <f t="shared" si="62"/>
        <v>4089.8055348713465</v>
      </c>
      <c r="M190" s="227">
        <f t="shared" si="50"/>
        <v>5154.4694697758832</v>
      </c>
      <c r="N190" s="227">
        <f>SQRT((ABS(AC190)-171.5+'Small Signal'!C$59)^2)</f>
        <v>65.301939453565637</v>
      </c>
      <c r="O190" s="227">
        <f t="shared" si="63"/>
        <v>96.983430778255936</v>
      </c>
      <c r="P190" s="227">
        <f t="shared" si="64"/>
        <v>15.955467426921757</v>
      </c>
      <c r="Q190" s="227">
        <f t="shared" si="65"/>
        <v>650.91276715936772</v>
      </c>
      <c r="R190" s="227" t="str">
        <f t="shared" si="51"/>
        <v>0.0945666666666667+0.0192220860138953i</v>
      </c>
      <c r="S190" s="227" t="str">
        <f t="shared" si="52"/>
        <v>0.0085-9.36422820446651i</v>
      </c>
      <c r="T190" s="227" t="str">
        <f t="shared" si="53"/>
        <v>4.43292480855531-6.18923647990433i</v>
      </c>
      <c r="U190" s="227" t="str">
        <f t="shared" si="54"/>
        <v>78.5211963203906-18.4094540293474i</v>
      </c>
      <c r="V190" s="227">
        <f t="shared" si="66"/>
        <v>38.132130012445636</v>
      </c>
      <c r="W190" s="227">
        <f t="shared" si="67"/>
        <v>-13.194794424741181</v>
      </c>
      <c r="X190" s="227" t="str">
        <f t="shared" si="55"/>
        <v>0.999996987111606-0.000511150167307011i</v>
      </c>
      <c r="Y190" s="227" t="str">
        <f t="shared" si="56"/>
        <v>69.6946499162765+30.4457877299237i</v>
      </c>
      <c r="Z190" s="227" t="str">
        <f t="shared" si="57"/>
        <v>36.3019291062302+15.8362390719306i</v>
      </c>
      <c r="AA190" s="227" t="str">
        <f t="shared" si="58"/>
        <v>12.5452575766428-9.18108844721555i</v>
      </c>
      <c r="AB190" s="227">
        <f t="shared" si="68"/>
        <v>23.832332955919849</v>
      </c>
      <c r="AC190" s="227">
        <f t="shared" si="69"/>
        <v>-36.198060546434348</v>
      </c>
      <c r="AD190" s="229">
        <f t="shared" si="70"/>
        <v>-7.876865528998092</v>
      </c>
      <c r="AE190" s="229">
        <f t="shared" si="71"/>
        <v>133.18149132469028</v>
      </c>
      <c r="AF190" s="227">
        <f t="shared" si="59"/>
        <v>15.955467426921757</v>
      </c>
      <c r="AG190" s="227">
        <f t="shared" si="60"/>
        <v>96.983430778255936</v>
      </c>
      <c r="AH190" s="229" t="str">
        <f t="shared" si="61"/>
        <v>0.276318916126755-0.294440307850924i</v>
      </c>
    </row>
    <row r="191" spans="9:34" x14ac:dyDescent="0.2">
      <c r="I191" s="227">
        <v>187</v>
      </c>
      <c r="J191" s="227">
        <f t="shared" si="49"/>
        <v>2.8232729125084957</v>
      </c>
      <c r="K191" s="227">
        <f t="shared" si="72"/>
        <v>665.6913480793321</v>
      </c>
      <c r="L191" s="227">
        <f t="shared" si="62"/>
        <v>4182.6620973686313</v>
      </c>
      <c r="M191" s="227">
        <f t="shared" si="50"/>
        <v>5139.3553501093647</v>
      </c>
      <c r="N191" s="227">
        <f>SQRT((ABS(AC191)-171.5+'Small Signal'!C$59)^2)</f>
        <v>64.658156472610159</v>
      </c>
      <c r="O191" s="227">
        <f t="shared" si="63"/>
        <v>96.966968594280559</v>
      </c>
      <c r="P191" s="227">
        <f t="shared" si="64"/>
        <v>15.79219234556569</v>
      </c>
      <c r="Q191" s="227">
        <f t="shared" si="65"/>
        <v>665.6913480793321</v>
      </c>
      <c r="R191" s="227" t="str">
        <f t="shared" si="51"/>
        <v>0.0945666666666667+0.0196585118576326i</v>
      </c>
      <c r="S191" s="227" t="str">
        <f t="shared" si="52"/>
        <v>0.0085-9.15633906083864i</v>
      </c>
      <c r="T191" s="227" t="str">
        <f t="shared" si="53"/>
        <v>4.30242022182435-6.14305449652631i</v>
      </c>
      <c r="U191" s="227" t="str">
        <f t="shared" si="54"/>
        <v>78.4749270912613-18.8487184351324i</v>
      </c>
      <c r="V191" s="227">
        <f t="shared" si="66"/>
        <v>38.138203095123885</v>
      </c>
      <c r="W191" s="227">
        <f t="shared" si="67"/>
        <v>-13.505905820740487</v>
      </c>
      <c r="X191" s="227" t="str">
        <f t="shared" si="55"/>
        <v>0.999996848746874-0.000522755522879873i</v>
      </c>
      <c r="Y191" s="227" t="str">
        <f t="shared" si="56"/>
        <v>70.0848436170009+31.1075175759538i</v>
      </c>
      <c r="Z191" s="227" t="str">
        <f t="shared" si="57"/>
        <v>36.5054834494879+16.1803084118782i</v>
      </c>
      <c r="AA191" s="227" t="str">
        <f t="shared" si="58"/>
        <v>12.3517085195015-9.254335091811i</v>
      </c>
      <c r="AB191" s="227">
        <f t="shared" si="68"/>
        <v>23.769552877839551</v>
      </c>
      <c r="AC191" s="227">
        <f t="shared" si="69"/>
        <v>-36.841843527389848</v>
      </c>
      <c r="AD191" s="229">
        <f t="shared" si="70"/>
        <v>-7.9773605322738614</v>
      </c>
      <c r="AE191" s="229">
        <f t="shared" si="71"/>
        <v>133.8088121216704</v>
      </c>
      <c r="AF191" s="227">
        <f t="shared" si="59"/>
        <v>15.79219234556569</v>
      </c>
      <c r="AG191" s="227">
        <f t="shared" si="60"/>
        <v>96.966968594280559</v>
      </c>
      <c r="AH191" s="229" t="str">
        <f t="shared" si="61"/>
        <v>0.276310606206518-0.288045342050588i</v>
      </c>
    </row>
    <row r="192" spans="9:34" x14ac:dyDescent="0.2">
      <c r="I192" s="227">
        <v>188</v>
      </c>
      <c r="J192" s="227">
        <f t="shared" si="49"/>
        <v>2.8330230350352794</v>
      </c>
      <c r="K192" s="227">
        <f t="shared" si="72"/>
        <v>680.80546774585071</v>
      </c>
      <c r="L192" s="227">
        <f t="shared" si="62"/>
        <v>4277.6269119882545</v>
      </c>
      <c r="M192" s="227">
        <f t="shared" si="50"/>
        <v>5123.8980734918778</v>
      </c>
      <c r="N192" s="227">
        <f>SQRT((ABS(AC192)-171.5+'Small Signal'!C$59)^2)</f>
        <v>64.008751499738906</v>
      </c>
      <c r="O192" s="227">
        <f t="shared" si="63"/>
        <v>96.944839134884006</v>
      </c>
      <c r="P192" s="227">
        <f t="shared" si="64"/>
        <v>15.629184027289044</v>
      </c>
      <c r="Q192" s="227">
        <f t="shared" si="65"/>
        <v>680.80546774585071</v>
      </c>
      <c r="R192" s="227" t="str">
        <f t="shared" si="51"/>
        <v>0.0945666666666667+0.0201048464863448i</v>
      </c>
      <c r="S192" s="227" t="str">
        <f t="shared" si="52"/>
        <v>0.0085-8.95306512896065i</v>
      </c>
      <c r="T192" s="227" t="str">
        <f t="shared" si="53"/>
        <v>4.17391306632049-6.0945074398989i</v>
      </c>
      <c r="U192" s="227" t="str">
        <f t="shared" si="54"/>
        <v>78.4259662150404-19.2993959175991i</v>
      </c>
      <c r="V192" s="227">
        <f t="shared" si="66"/>
        <v>38.144539604373058</v>
      </c>
      <c r="W192" s="227">
        <f t="shared" si="67"/>
        <v>-13.824891735085549</v>
      </c>
      <c r="X192" s="227" t="str">
        <f t="shared" si="55"/>
        <v>0.999996704027841-0.000534624371035908i</v>
      </c>
      <c r="Y192" s="227" t="str">
        <f t="shared" si="56"/>
        <v>70.4936976579568+31.7819520068568i</v>
      </c>
      <c r="Z192" s="227" t="str">
        <f t="shared" si="57"/>
        <v>36.7187708574012+16.5309739414885i</v>
      </c>
      <c r="AA192" s="227" t="str">
        <f t="shared" si="58"/>
        <v>12.1551462197745-9.32402232259618i</v>
      </c>
      <c r="AB192" s="227">
        <f t="shared" si="68"/>
        <v>23.704852803466014</v>
      </c>
      <c r="AC192" s="227">
        <f t="shared" si="69"/>
        <v>-37.491248500261101</v>
      </c>
      <c r="AD192" s="229">
        <f t="shared" si="70"/>
        <v>-8.0756687761769701</v>
      </c>
      <c r="AE192" s="229">
        <f t="shared" si="71"/>
        <v>134.4360876351451</v>
      </c>
      <c r="AF192" s="227">
        <f t="shared" si="59"/>
        <v>15.629184027289044</v>
      </c>
      <c r="AG192" s="227">
        <f t="shared" si="60"/>
        <v>96.944839134884006</v>
      </c>
      <c r="AH192" s="229" t="str">
        <f t="shared" si="61"/>
        <v>0.276302512389513-0.281795562140997i</v>
      </c>
    </row>
    <row r="193" spans="9:34" x14ac:dyDescent="0.2">
      <c r="I193" s="227">
        <v>189</v>
      </c>
      <c r="J193" s="227">
        <f t="shared" si="49"/>
        <v>2.8427731575620623</v>
      </c>
      <c r="K193" s="227">
        <f t="shared" si="72"/>
        <v>696.26274436333722</v>
      </c>
      <c r="L193" s="227">
        <f t="shared" si="62"/>
        <v>4374.7478453202566</v>
      </c>
      <c r="M193" s="227">
        <f t="shared" si="50"/>
        <v>5108.0898487522772</v>
      </c>
      <c r="N193" s="227">
        <f>SQRT((ABS(AC193)-171.5+'Small Signal'!C$59)^2)</f>
        <v>63.353940192393651</v>
      </c>
      <c r="O193" s="227">
        <f t="shared" si="63"/>
        <v>96.916926063268676</v>
      </c>
      <c r="P193" s="227">
        <f t="shared" si="64"/>
        <v>15.466414481080921</v>
      </c>
      <c r="Q193" s="227">
        <f t="shared" si="65"/>
        <v>696.26274436333722</v>
      </c>
      <c r="R193" s="227" t="str">
        <f t="shared" si="51"/>
        <v>0.0945666666666667+0.0205613148730052i</v>
      </c>
      <c r="S193" s="227" t="str">
        <f t="shared" si="52"/>
        <v>0.0085-8.75430394951642i</v>
      </c>
      <c r="T193" s="227" t="str">
        <f t="shared" si="53"/>
        <v>4.04748433261014-6.04369926378388i</v>
      </c>
      <c r="U193" s="227" t="str">
        <f t="shared" si="54"/>
        <v>78.3741350886741-19.7618401389592i</v>
      </c>
      <c r="V193" s="227">
        <f t="shared" si="66"/>
        <v>38.151150099133602</v>
      </c>
      <c r="W193" s="227">
        <f t="shared" si="67"/>
        <v>-14.151988270505658</v>
      </c>
      <c r="X193" s="227" t="str">
        <f t="shared" si="55"/>
        <v>0.99999655266269-0.000546762694214941i</v>
      </c>
      <c r="Y193" s="227" t="str">
        <f t="shared" si="56"/>
        <v>70.9221346421488+32.4691860063653i</v>
      </c>
      <c r="Z193" s="227" t="str">
        <f t="shared" si="57"/>
        <v>36.942272402068+16.8882841115249i</v>
      </c>
      <c r="AA193" s="227" t="str">
        <f t="shared" si="58"/>
        <v>11.9557024187373-9.3899981322062i</v>
      </c>
      <c r="AB193" s="227">
        <f t="shared" si="68"/>
        <v>23.638204010910179</v>
      </c>
      <c r="AC193" s="227">
        <f t="shared" si="69"/>
        <v>-38.146059807606342</v>
      </c>
      <c r="AD193" s="229">
        <f t="shared" si="70"/>
        <v>-8.1717895298292582</v>
      </c>
      <c r="AE193" s="229">
        <f t="shared" si="71"/>
        <v>135.06298587087502</v>
      </c>
      <c r="AF193" s="227">
        <f t="shared" si="59"/>
        <v>15.466414481080921</v>
      </c>
      <c r="AG193" s="227">
        <f t="shared" si="60"/>
        <v>96.916926063268676</v>
      </c>
      <c r="AH193" s="229" t="str">
        <f t="shared" si="61"/>
        <v>0.276294618358019-0.275687817844045i</v>
      </c>
    </row>
    <row r="194" spans="9:34" x14ac:dyDescent="0.2">
      <c r="I194" s="227">
        <v>190</v>
      </c>
      <c r="J194" s="227">
        <f t="shared" si="49"/>
        <v>2.852523280088846</v>
      </c>
      <c r="K194" s="227">
        <f t="shared" si="72"/>
        <v>712.07096910293831</v>
      </c>
      <c r="L194" s="227">
        <f t="shared" si="62"/>
        <v>4474.0738507367114</v>
      </c>
      <c r="M194" s="227">
        <f t="shared" si="50"/>
        <v>5091.922707825589</v>
      </c>
      <c r="N194" s="227">
        <f>SQRT((ABS(AC194)-171.5+'Small Signal'!C$59)^2)</f>
        <v>62.693947471628491</v>
      </c>
      <c r="O194" s="227">
        <f t="shared" si="63"/>
        <v>96.883122257449799</v>
      </c>
      <c r="P194" s="227">
        <f t="shared" si="64"/>
        <v>15.303854880431976</v>
      </c>
      <c r="Q194" s="227">
        <f t="shared" si="65"/>
        <v>712.07096910293831</v>
      </c>
      <c r="R194" s="227" t="str">
        <f t="shared" si="51"/>
        <v>0.0945666666666667+0.0210281470984625i</v>
      </c>
      <c r="S194" s="227" t="str">
        <f t="shared" si="52"/>
        <v>0.0085-8.55995533782245i</v>
      </c>
      <c r="T194" s="227" t="str">
        <f t="shared" si="53"/>
        <v>3.92320829410234-5.99073659174799i</v>
      </c>
      <c r="U194" s="227" t="str">
        <f t="shared" si="54"/>
        <v>78.3192415025195-20.2364185818212i</v>
      </c>
      <c r="V194" s="227">
        <f t="shared" si="66"/>
        <v>38.158045466385666</v>
      </c>
      <c r="W194" s="227">
        <f t="shared" si="67"/>
        <v>-14.48744096790621</v>
      </c>
      <c r="X194" s="227" t="str">
        <f t="shared" si="55"/>
        <v>0.999996394346204-0.000559176610684482i</v>
      </c>
      <c r="Y194" s="227" t="str">
        <f t="shared" si="56"/>
        <v>71.3711250775778+33.1692993474086i</v>
      </c>
      <c r="Z194" s="227" t="str">
        <f t="shared" si="57"/>
        <v>37.176494120439+17.252279386938i</v>
      </c>
      <c r="AA194" s="227" t="str">
        <f t="shared" si="58"/>
        <v>11.7535186368796-9.4521160140389i</v>
      </c>
      <c r="AB194" s="227">
        <f t="shared" si="68"/>
        <v>23.56957915030344</v>
      </c>
      <c r="AC194" s="227">
        <f t="shared" si="69"/>
        <v>-38.806052528371517</v>
      </c>
      <c r="AD194" s="229">
        <f t="shared" si="70"/>
        <v>-8.2657242698714644</v>
      </c>
      <c r="AE194" s="229">
        <f t="shared" si="71"/>
        <v>135.68917478582131</v>
      </c>
      <c r="AF194" s="227">
        <f t="shared" si="59"/>
        <v>15.303854880431976</v>
      </c>
      <c r="AG194" s="227">
        <f t="shared" si="60"/>
        <v>96.883122257449799</v>
      </c>
      <c r="AH194" s="229" t="str">
        <f t="shared" si="61"/>
        <v>0.276286908197453-0.269719030464158i</v>
      </c>
    </row>
    <row r="195" spans="9:34" x14ac:dyDescent="0.2">
      <c r="I195" s="227">
        <v>191</v>
      </c>
      <c r="J195" s="227">
        <f t="shared" si="49"/>
        <v>2.8622734026156298</v>
      </c>
      <c r="K195" s="227">
        <f t="shared" si="72"/>
        <v>728.23811002962589</v>
      </c>
      <c r="L195" s="227">
        <f t="shared" si="62"/>
        <v>4575.6549930663759</v>
      </c>
      <c r="M195" s="227">
        <f t="shared" si="50"/>
        <v>5075.3885017367429</v>
      </c>
      <c r="N195" s="227">
        <f>SQRT((ABS(AC195)-171.5+'Small Signal'!C$59)^2)</f>
        <v>62.029007128679467</v>
      </c>
      <c r="O195" s="227">
        <f t="shared" si="63"/>
        <v>96.843330227618594</v>
      </c>
      <c r="P195" s="227">
        <f t="shared" si="64"/>
        <v>15.141475665309825</v>
      </c>
      <c r="Q195" s="227">
        <f t="shared" si="65"/>
        <v>728.23811002962589</v>
      </c>
      <c r="R195" s="227" t="str">
        <f t="shared" si="51"/>
        <v>0.0945666666666667+0.021505578467412i</v>
      </c>
      <c r="S195" s="227" t="str">
        <f t="shared" si="52"/>
        <v>0.0085-8.36992133333026i</v>
      </c>
      <c r="T195" s="227" t="str">
        <f t="shared" si="53"/>
        <v>3.80115245427621-5.93572822367698i</v>
      </c>
      <c r="U195" s="227" t="str">
        <f t="shared" si="54"/>
        <v>78.2610784763027-20.7235131528843i</v>
      </c>
      <c r="V195" s="227">
        <f t="shared" si="66"/>
        <v>38.165236919689299</v>
      </c>
      <c r="W195" s="227">
        <f t="shared" si="67"/>
        <v>-14.831505312428765</v>
      </c>
      <c r="X195" s="227" t="str">
        <f t="shared" si="55"/>
        <v>0.999996228759147-0.000571872377623601i</v>
      </c>
      <c r="Y195" s="227" t="str">
        <f t="shared" si="56"/>
        <v>71.8416899944627+33.882354558991i</v>
      </c>
      <c r="Z195" s="227" t="str">
        <f t="shared" si="57"/>
        <v>37.4219683768573+17.6229911834785i</v>
      </c>
      <c r="AA195" s="227" t="str">
        <f t="shared" si="58"/>
        <v>11.5487459037546-9.51023570533252i</v>
      </c>
      <c r="AB195" s="227">
        <f t="shared" si="68"/>
        <v>23.498952340175041</v>
      </c>
      <c r="AC195" s="227">
        <f t="shared" si="69"/>
        <v>-39.47099287132054</v>
      </c>
      <c r="AD195" s="229">
        <f t="shared" si="70"/>
        <v>-8.3574766748652163</v>
      </c>
      <c r="AE195" s="229">
        <f t="shared" si="71"/>
        <v>136.31432309893913</v>
      </c>
      <c r="AF195" s="227">
        <f t="shared" si="59"/>
        <v>15.141475665309825</v>
      </c>
      <c r="AG195" s="227">
        <f t="shared" si="60"/>
        <v>96.843330227618594</v>
      </c>
      <c r="AH195" s="229" t="str">
        <f t="shared" si="61"/>
        <v>0.276279366364289-0.263886191335965i</v>
      </c>
    </row>
    <row r="196" spans="9:34" x14ac:dyDescent="0.2">
      <c r="I196" s="227">
        <v>192</v>
      </c>
      <c r="J196" s="227">
        <f t="shared" ref="J196:J259" si="73">1+I196*(LOG(fsw)-1)/500</f>
        <v>2.8720235251424127</v>
      </c>
      <c r="K196" s="227">
        <f t="shared" si="72"/>
        <v>744.77231611847253</v>
      </c>
      <c r="L196" s="227">
        <f t="shared" si="62"/>
        <v>4679.542473829697</v>
      </c>
      <c r="M196" s="227">
        <f t="shared" ref="M196:M259" si="74">SQRT((Fco_target-K197)^2)</f>
        <v>5058.4788964931076</v>
      </c>
      <c r="N196" s="227">
        <f>SQRT((ABS(AC196)-171.5+'Small Signal'!C$59)^2)</f>
        <v>61.359361383246778</v>
      </c>
      <c r="O196" s="227">
        <f t="shared" si="63"/>
        <v>96.797462479421128</v>
      </c>
      <c r="P196" s="227">
        <f t="shared" si="64"/>
        <v>14.979246650001862</v>
      </c>
      <c r="Q196" s="227">
        <f t="shared" si="65"/>
        <v>744.77231611847253</v>
      </c>
      <c r="R196" s="227" t="str">
        <f t="shared" ref="R196:R259" si="75">IMSUM(COMPLEX(DCRss,Lss*L196),COMPLEX(Rdsonss,0),COMPLEX(40/3*Risense,0))</f>
        <v>0.0945666666666667+0.0219938496269996i</v>
      </c>
      <c r="S196" s="227" t="str">
        <f t="shared" ref="S196:S259" si="76">IMSUM(COMPLEX(ESRss,0),IMDIV(COMPLEX(1,0),COMPLEX(0,L196*Cbulkss)))</f>
        <v>0.0085-8.18410615024996i</v>
      </c>
      <c r="T196" s="227" t="str">
        <f t="shared" ref="T196:T259" si="77">IMDIV(IMPRODUCT(S196,COMPLEX(Ross,0)),IMSUM(S196,COMPLEX(Ross,0)))</f>
        <v>3.68137753401303-5.87878464985167i</v>
      </c>
      <c r="U196" s="227" t="str">
        <f t="shared" ref="U196:U259" si="78">IMPRODUCT(COMPLEX(Vinss,0),COMPLEX(M^2,0),IMDIV(IMSUB(COMPLEX(1,0),IMDIV(IMPRODUCT(R196,COMPLEX(M^2,0)),COMPLEX(Ross,0))),IMSUM(COMPLEX(1,0),IMDIV(IMPRODUCT(R196,COMPLEX(M^2,0)),T196))))</f>
        <v>78.1994229870669-21.223520803724i</v>
      </c>
      <c r="V196" s="227">
        <f t="shared" si="66"/>
        <v>38.172735995846345</v>
      </c>
      <c r="W196" s="227">
        <f t="shared" si="67"/>
        <v>-15.184447271817968</v>
      </c>
      <c r="X196" s="227" t="str">
        <f t="shared" ref="X196:X259" si="79">IMSUM(COMPLEX(1,L196/(wn*q0)),IMPOWER(COMPLEX(0,L196/wn),2))</f>
        <v>0.999996055567624-0.000584856394276839i</v>
      </c>
      <c r="Y196" s="227" t="str">
        <f t="shared" ref="Y196:Y259" si="80">IMPRODUCT(COMPLEX(2*Ioutss*M^2,0),IMDIV(IMSUM(COMPLEX(1,0),IMDIV(COMPLEX(Ross,0),IMPRODUCT(COMPLEX(2,0),S196))),IMSUM(COMPLEX(1,0),IMDIV(IMPRODUCT(R196,COMPLEX(M^2,0)),T196))))</f>
        <v>72.3349037047003+34.6083946703075i</v>
      </c>
      <c r="Z196" s="227" t="str">
        <f t="shared" ref="Z196:Z259" si="81">IMPRODUCT(COMPLEX(Fm*40/3*Risense,0),Y196,X196)</f>
        <v>37.6792552995017+18.000440687957i</v>
      </c>
      <c r="AA196" s="227" t="str">
        <f t="shared" ref="AA196:AA259" si="82">IMDIV(IMPRODUCT(COMPLEX(Fm,0),U196),IMSUM(COMPLEX(1,0),Z196))</f>
        <v>11.3415444220495-9.56422391752624i</v>
      </c>
      <c r="AB196" s="227">
        <f t="shared" si="68"/>
        <v>23.42629926087282</v>
      </c>
      <c r="AC196" s="227">
        <f t="shared" si="69"/>
        <v>-40.140638616753236</v>
      </c>
      <c r="AD196" s="229">
        <f t="shared" si="70"/>
        <v>-8.4470526108709585</v>
      </c>
      <c r="AE196" s="229">
        <f t="shared" si="71"/>
        <v>136.93810109617436</v>
      </c>
      <c r="AF196" s="227">
        <f t="shared" ref="AF196:AF259" si="83">AD196+AB196</f>
        <v>14.979246650001862</v>
      </c>
      <c r="AG196" s="227">
        <f t="shared" ref="AG196:AG259" si="84">AE196+AC196</f>
        <v>96.797462479421128</v>
      </c>
      <c r="AH196" s="229" t="str">
        <f t="shared" ref="AH196:AH259" si="85">IMDIV(IMPRODUCT(COMPLEX(gea*Rea*Rslss/(Rslss+Rshss),0),COMPLEX(1,L196*Ccompss*Rcompss),COMPLEX(1,k_3*L196*Cffss*Rshss)),IMPRODUCT(COMPLEX(1,L196*Rea*Ccompss),COMPLEX(1,L196*Rcompss*Chfss),COMPLEX(1,k_3*L196*Rffss*Cffss)))</f>
        <v>0.276271977654752-0.258186360307238i</v>
      </c>
    </row>
    <row r="197" spans="9:34" x14ac:dyDescent="0.2">
      <c r="I197" s="227">
        <v>193</v>
      </c>
      <c r="J197" s="227">
        <f t="shared" si="73"/>
        <v>2.8817736476691964</v>
      </c>
      <c r="K197" s="227">
        <f t="shared" si="72"/>
        <v>761.68192136210757</v>
      </c>
      <c r="L197" s="227">
        <f t="shared" ref="L197:L260" si="86">2*PI()*K197</f>
        <v>4785.7886570467117</v>
      </c>
      <c r="M197" s="227">
        <f t="shared" si="74"/>
        <v>5041.1853688837964</v>
      </c>
      <c r="N197" s="227">
        <f>SQRT((ABS(AC197)-171.5+'Small Signal'!C$59)^2)</f>
        <v>60.685260394524846</v>
      </c>
      <c r="O197" s="227">
        <f t="shared" ref="O197:O260" si="87">ABS(AG197)</f>
        <v>96.745441819257167</v>
      </c>
      <c r="P197" s="227">
        <f t="shared" ref="P197:P260" si="88">ABS(AF197)</f>
        <v>14.817137136052684</v>
      </c>
      <c r="Q197" s="227">
        <f t="shared" ref="Q197:Q260" si="89">K197</f>
        <v>761.68192136210757</v>
      </c>
      <c r="R197" s="227" t="str">
        <f t="shared" si="75"/>
        <v>0.0945666666666667+0.0224932066881195i</v>
      </c>
      <c r="S197" s="227" t="str">
        <f t="shared" si="76"/>
        <v>0.0085-8.00241612926948i</v>
      </c>
      <c r="T197" s="227" t="str">
        <f t="shared" si="77"/>
        <v>3.5639374972004-5.82001757602146i</v>
      </c>
      <c r="U197" s="227" t="str">
        <f t="shared" si="78"/>
        <v>78.1340345785949-21.7368541667046i</v>
      </c>
      <c r="V197" s="227">
        <f t="shared" ref="V197:V260" si="90">20*LOG(IMABS(U197))</f>
        <v>38.180554549389186</v>
      </c>
      <c r="W197" s="227">
        <f t="shared" ref="W197:W260" si="91">IF(DEGREES(IMARGUMENT(U197))&gt;0,DEGREES(IMARGUMENT(U197))-360, DEGREES(IMARGUMENT(U197)))</f>
        <v>-15.546543869255476</v>
      </c>
      <c r="X197" s="227" t="str">
        <f t="shared" si="79"/>
        <v>0.999995874422405-0.000598135205179719i</v>
      </c>
      <c r="Y197" s="227" t="str">
        <f t="shared" si="80"/>
        <v>72.851896709207+35.347440707452i</v>
      </c>
      <c r="Z197" s="227" t="str">
        <f t="shared" si="81"/>
        <v>37.9489442936452+18.3846375492931i</v>
      </c>
      <c r="AA197" s="227" t="str">
        <f t="shared" si="82"/>
        <v>11.1320831662073-9.61395504727986i</v>
      </c>
      <c r="AB197" s="227">
        <f t="shared" ref="AB197:AB260" si="92">20*LOG(IMABS(AA197))</f>
        <v>23.351597244379722</v>
      </c>
      <c r="AC197" s="227">
        <f t="shared" ref="AC197:AC260" si="93">IF(DEGREES(IMARGUMENT(AA197))&gt;0,DEGREES(IMARGUMENT(AA197))-360, DEGREES(IMARGUMENT(AA197)))</f>
        <v>-40.814739605475147</v>
      </c>
      <c r="AD197" s="229">
        <f t="shared" ref="AD197:AD260" si="94">20*LOG(IMABS(AH197))</f>
        <v>-8.5344601083270373</v>
      </c>
      <c r="AE197" s="229">
        <f t="shared" ref="AE197:AE260" si="95">180+DEGREES(IMARGUMENT(AH197))</f>
        <v>137.56018142473232</v>
      </c>
      <c r="AF197" s="227">
        <f t="shared" si="83"/>
        <v>14.817137136052684</v>
      </c>
      <c r="AG197" s="227">
        <f t="shared" si="84"/>
        <v>96.745441819257167</v>
      </c>
      <c r="AH197" s="229" t="str">
        <f t="shared" si="85"/>
        <v>0.276264727174195-0.252616664256299i</v>
      </c>
    </row>
    <row r="198" spans="9:34" x14ac:dyDescent="0.2">
      <c r="I198" s="227">
        <v>194</v>
      </c>
      <c r="J198" s="227">
        <f t="shared" si="73"/>
        <v>2.8915237701959793</v>
      </c>
      <c r="K198" s="227">
        <f t="shared" si="72"/>
        <v>778.97544897141847</v>
      </c>
      <c r="L198" s="227">
        <f t="shared" si="86"/>
        <v>4894.4470956308378</v>
      </c>
      <c r="M198" s="227">
        <f t="shared" si="74"/>
        <v>5023.4992021835633</v>
      </c>
      <c r="N198" s="227">
        <f>SQRT((ABS(AC198)-171.5+'Small Signal'!C$59)^2)</f>
        <v>60.006961726472582</v>
      </c>
      <c r="O198" s="227">
        <f t="shared" si="87"/>
        <v>96.687201598275408</v>
      </c>
      <c r="P198" s="227">
        <f t="shared" si="88"/>
        <v>14.6551160294583</v>
      </c>
      <c r="Q198" s="227">
        <f t="shared" si="89"/>
        <v>778.97544897141847</v>
      </c>
      <c r="R198" s="227" t="str">
        <f t="shared" si="75"/>
        <v>0.0945666666666667+0.0230039013494649i</v>
      </c>
      <c r="S198" s="227" t="str">
        <f t="shared" si="76"/>
        <v>0.0085-7.82475969034646i</v>
      </c>
      <c r="T198" s="227" t="str">
        <f t="shared" si="77"/>
        <v>3.44887961248454-5.75953946260589i</v>
      </c>
      <c r="U198" s="227" t="str">
        <f t="shared" si="78"/>
        <v>78.0646538407802-22.2639422034463i</v>
      </c>
      <c r="V198" s="227">
        <f t="shared" si="90"/>
        <v>38.188704744565513</v>
      </c>
      <c r="W198" s="227">
        <f t="shared" si="91"/>
        <v>-15.918083792955125</v>
      </c>
      <c r="X198" s="227" t="str">
        <f t="shared" si="79"/>
        <v>0.999995684958222-0.000611715503457481i</v>
      </c>
      <c r="Y198" s="227" t="str">
        <f t="shared" si="80"/>
        <v>73.393858758484+36.0994889152598i</v>
      </c>
      <c r="Z198" s="227" t="str">
        <f t="shared" si="81"/>
        <v>38.2316556344787+18.7755784260253i</v>
      </c>
      <c r="AA198" s="227" t="str">
        <f t="shared" si="82"/>
        <v>10.9205394166836-9.65931186146597i</v>
      </c>
      <c r="AB198" s="227">
        <f t="shared" si="92"/>
        <v>23.274825359885625</v>
      </c>
      <c r="AC198" s="227">
        <f t="shared" si="93"/>
        <v>-41.493038273527411</v>
      </c>
      <c r="AD198" s="229">
        <f t="shared" si="94"/>
        <v>-8.6197093304273249</v>
      </c>
      <c r="AE198" s="229">
        <f t="shared" si="95"/>
        <v>138.18023987180283</v>
      </c>
      <c r="AF198" s="227">
        <f t="shared" si="83"/>
        <v>14.6551160294583</v>
      </c>
      <c r="AG198" s="227">
        <f t="shared" si="84"/>
        <v>96.687201598275408</v>
      </c>
      <c r="AH198" s="229" t="str">
        <f t="shared" si="85"/>
        <v>0.276257600307082-0.247174295643171i</v>
      </c>
    </row>
    <row r="199" spans="9:34" x14ac:dyDescent="0.2">
      <c r="I199" s="227">
        <v>195</v>
      </c>
      <c r="J199" s="227">
        <f t="shared" si="73"/>
        <v>2.901273892722763</v>
      </c>
      <c r="K199" s="227">
        <f t="shared" si="72"/>
        <v>796.6616156716517</v>
      </c>
      <c r="L199" s="227">
        <f t="shared" si="86"/>
        <v>5005.5725583820722</v>
      </c>
      <c r="M199" s="227">
        <f t="shared" si="74"/>
        <v>5005.4114817591908</v>
      </c>
      <c r="N199" s="227">
        <f>SQRT((ABS(AC199)-171.5+'Small Signal'!C$59)^2)</f>
        <v>59.324729769223865</v>
      </c>
      <c r="O199" s="227">
        <f t="shared" si="87"/>
        <v>96.622685892336989</v>
      </c>
      <c r="P199" s="227">
        <f t="shared" si="88"/>
        <v>14.49315196122323</v>
      </c>
      <c r="Q199" s="227">
        <f t="shared" si="89"/>
        <v>796.6616156716517</v>
      </c>
      <c r="R199" s="227" t="str">
        <f t="shared" si="75"/>
        <v>0.0945666666666667+0.0235261910243957i</v>
      </c>
      <c r="S199" s="227" t="str">
        <f t="shared" si="76"/>
        <v>0.0085-7.65104728654745i</v>
      </c>
      <c r="T199" s="227" t="str">
        <f t="shared" si="77"/>
        <v>3.33624454879886-5.69746308082613i</v>
      </c>
      <c r="U199" s="227" t="str">
        <f t="shared" si="78"/>
        <v>77.9910007462652-22.8052308625333i</v>
      </c>
      <c r="V199" s="227">
        <f t="shared" si="90"/>
        <v>38.197199044442399</v>
      </c>
      <c r="W199" s="227">
        <f t="shared" si="91"/>
        <v>-16.299368044951084</v>
      </c>
      <c r="X199" s="227" t="str">
        <f t="shared" si="79"/>
        <v>0.999995486793032-0.000625604134198734i</v>
      </c>
      <c r="Y199" s="227" t="str">
        <f t="shared" si="80"/>
        <v>73.962042071195+36.8645076736959i</v>
      </c>
      <c r="Z199" s="227" t="str">
        <f t="shared" si="81"/>
        <v>38.5280421419605+19.1732453743248i</v>
      </c>
      <c r="AA199" s="227" t="str">
        <f t="shared" si="82"/>
        <v>10.7070982316852-9.70018614948853i</v>
      </c>
      <c r="AB199" s="227">
        <f t="shared" si="92"/>
        <v>23.195964494487839</v>
      </c>
      <c r="AC199" s="227">
        <f t="shared" si="93"/>
        <v>-42.175270230776135</v>
      </c>
      <c r="AD199" s="229">
        <f t="shared" si="94"/>
        <v>-8.7028125332646091</v>
      </c>
      <c r="AE199" s="229">
        <f t="shared" si="95"/>
        <v>138.79795612311312</v>
      </c>
      <c r="AF199" s="227">
        <f t="shared" si="83"/>
        <v>14.49315196122323</v>
      </c>
      <c r="AG199" s="227">
        <f t="shared" si="84"/>
        <v>96.622685892336989</v>
      </c>
      <c r="AH199" s="229" t="str">
        <f t="shared" si="85"/>
        <v>0.276250582687577-0.241856511093724i</v>
      </c>
    </row>
    <row r="200" spans="9:34" x14ac:dyDescent="0.2">
      <c r="I200" s="227">
        <v>196</v>
      </c>
      <c r="J200" s="227">
        <f t="shared" si="73"/>
        <v>2.9110240152495463</v>
      </c>
      <c r="K200" s="227">
        <f>10^(J200)</f>
        <v>814.74933609602397</v>
      </c>
      <c r="L200" s="227">
        <f t="shared" si="86"/>
        <v>5119.2210575928602</v>
      </c>
      <c r="M200" s="227">
        <f t="shared" si="74"/>
        <v>4986.9130905760994</v>
      </c>
      <c r="N200" s="227">
        <f>SQRT((ABS(AC200)-171.5+'Small Signal'!C$59)^2)</f>
        <v>58.638835118995928</v>
      </c>
      <c r="O200" s="227">
        <f t="shared" si="87"/>
        <v>96.55184961588219</v>
      </c>
      <c r="P200" s="227">
        <f t="shared" si="88"/>
        <v>14.331213410340624</v>
      </c>
      <c r="Q200" s="227">
        <f t="shared" si="89"/>
        <v>814.74933609602397</v>
      </c>
      <c r="R200" s="227" t="str">
        <f t="shared" si="75"/>
        <v>0.0945666666666667+0.0240603389706864i</v>
      </c>
      <c r="S200" s="227" t="str">
        <f t="shared" si="76"/>
        <v>0.0085-7.48119135891228i</v>
      </c>
      <c r="T200" s="227" t="str">
        <f t="shared" si="77"/>
        <v>3.22606650210065-5.63390108822854i</v>
      </c>
      <c r="U200" s="227" t="str">
        <f t="shared" si="78"/>
        <v>77.9127728304628-23.3611837422675i</v>
      </c>
      <c r="V200" s="227">
        <f t="shared" si="90"/>
        <v>38.206050196706997</v>
      </c>
      <c r="W200" s="227">
        <f t="shared" si="91"/>
        <v>-16.690710631642045</v>
      </c>
      <c r="X200" s="227" t="str">
        <f t="shared" si="79"/>
        <v>0.999995279527249-0.000639808097905682i</v>
      </c>
      <c r="Y200" s="227" t="str">
        <f t="shared" si="80"/>
        <v>74.5577647148942+37.6424340747187i</v>
      </c>
      <c r="Z200" s="227" t="str">
        <f t="shared" si="81"/>
        <v>38.8387909398036+19.5776040587389i</v>
      </c>
      <c r="AA200" s="227" t="str">
        <f t="shared" si="82"/>
        <v>10.4919518590156-9.73647933641094i</v>
      </c>
      <c r="AB200" s="227">
        <f t="shared" si="92"/>
        <v>23.114997428416054</v>
      </c>
      <c r="AC200" s="227">
        <f t="shared" si="93"/>
        <v>-42.861164881004079</v>
      </c>
      <c r="AD200" s="229">
        <f t="shared" si="94"/>
        <v>-8.7837840180754299</v>
      </c>
      <c r="AE200" s="229">
        <f t="shared" si="95"/>
        <v>139.41301449688626</v>
      </c>
      <c r="AF200" s="227">
        <f t="shared" si="83"/>
        <v>14.331213410340624</v>
      </c>
      <c r="AG200" s="227">
        <f t="shared" si="84"/>
        <v>96.55184961588219</v>
      </c>
      <c r="AH200" s="229" t="str">
        <f t="shared" si="85"/>
        <v>0.276243660170601-0.236660630016117i</v>
      </c>
    </row>
    <row r="201" spans="9:34" x14ac:dyDescent="0.2">
      <c r="I201" s="227">
        <v>197</v>
      </c>
      <c r="J201" s="227">
        <f t="shared" si="73"/>
        <v>2.9207741377763297</v>
      </c>
      <c r="K201" s="227">
        <f>10^(J201)</f>
        <v>833.24772727911602</v>
      </c>
      <c r="L201" s="227">
        <f t="shared" si="86"/>
        <v>5235.4498772809247</v>
      </c>
      <c r="M201" s="227">
        <f t="shared" si="74"/>
        <v>4967.9947046029502</v>
      </c>
      <c r="N201" s="227">
        <f>SQRT((ABS(AC201)-171.5+'Small Signal'!C$59)^2)</f>
        <v>57.949553919256118</v>
      </c>
      <c r="O201" s="227">
        <f t="shared" si="87"/>
        <v>96.474658568330028</v>
      </c>
      <c r="P201" s="227">
        <f t="shared" si="88"/>
        <v>14.169268828226077</v>
      </c>
      <c r="Q201" s="227">
        <f t="shared" si="89"/>
        <v>833.24772727911602</v>
      </c>
      <c r="R201" s="227" t="str">
        <f t="shared" si="75"/>
        <v>0.0945666666666667+0.0246066144232203i</v>
      </c>
      <c r="S201" s="227" t="str">
        <f t="shared" si="76"/>
        <v>0.0085-7.31510629232037i</v>
      </c>
      <c r="T201" s="227" t="str">
        <f t="shared" si="77"/>
        <v>3.11837335059345-5.568965625709i</v>
      </c>
      <c r="U201" s="227" t="str">
        <f t="shared" si="78"/>
        <v>77.8296431997153-23.9322827532361i</v>
      </c>
      <c r="V201" s="227">
        <f t="shared" si="90"/>
        <v>38.215271215684396</v>
      </c>
      <c r="W201" s="227">
        <f t="shared" si="91"/>
        <v>-17.092439298803818</v>
      </c>
      <c r="X201" s="227" t="str">
        <f t="shared" si="79"/>
        <v>0.999995062742933-0.000654334554022701i</v>
      </c>
      <c r="Y201" s="227" t="str">
        <f t="shared" si="80"/>
        <v>75.1824141520351+38.4331701216489i</v>
      </c>
      <c r="Z201" s="227" t="str">
        <f t="shared" si="81"/>
        <v>39.1646253001879+19.9886017658594i</v>
      </c>
      <c r="AA201" s="227" t="str">
        <f t="shared" si="82"/>
        <v>10.2752990914164-9.76810305061505i</v>
      </c>
      <c r="AB201" s="227">
        <f t="shared" si="92"/>
        <v>23.031908904208439</v>
      </c>
      <c r="AC201" s="227">
        <f t="shared" si="93"/>
        <v>-43.550446080743889</v>
      </c>
      <c r="AD201" s="229">
        <f t="shared" si="94"/>
        <v>-8.8626400759823625</v>
      </c>
      <c r="AE201" s="229">
        <f t="shared" si="95"/>
        <v>140.02510464907391</v>
      </c>
      <c r="AF201" s="227">
        <f t="shared" si="83"/>
        <v>14.169268828226077</v>
      </c>
      <c r="AG201" s="227">
        <f t="shared" si="84"/>
        <v>96.474658568330028</v>
      </c>
      <c r="AH201" s="229" t="str">
        <f t="shared" si="85"/>
        <v>0.27623681880336-0.231584033248803i</v>
      </c>
    </row>
    <row r="202" spans="9:34" x14ac:dyDescent="0.2">
      <c r="I202" s="227">
        <v>198</v>
      </c>
      <c r="J202" s="227">
        <f t="shared" si="73"/>
        <v>2.9305242603031134</v>
      </c>
      <c r="K202" s="227">
        <f>10^(J202)</f>
        <v>852.16611325226495</v>
      </c>
      <c r="L202" s="227">
        <f t="shared" si="86"/>
        <v>5354.3176020629662</v>
      </c>
      <c r="M202" s="227">
        <f t="shared" si="74"/>
        <v>4948.6467881119115</v>
      </c>
      <c r="N202" s="227">
        <f>SQRT((ABS(AC202)-171.5+'Small Signal'!C$59)^2)</f>
        <v>57.257167166308506</v>
      </c>
      <c r="O202" s="227">
        <f t="shared" si="87"/>
        <v>96.391089412335162</v>
      </c>
      <c r="P202" s="227">
        <f t="shared" si="88"/>
        <v>14.007286763614092</v>
      </c>
      <c r="Q202" s="227">
        <f t="shared" si="89"/>
        <v>852.16611325226495</v>
      </c>
      <c r="R202" s="227" t="str">
        <f t="shared" si="75"/>
        <v>0.0945666666666667+0.0251652927296959i</v>
      </c>
      <c r="S202" s="227" t="str">
        <f t="shared" si="76"/>
        <v>0.0085-7.1527083723367i</v>
      </c>
      <c r="T202" s="227" t="str">
        <f t="shared" si="77"/>
        <v>3.0131868356096-5.50276793779879i</v>
      </c>
      <c r="U202" s="227" t="str">
        <f t="shared" si="78"/>
        <v>77.7412583509007-24.5190287742078i</v>
      </c>
      <c r="V202" s="227">
        <f t="shared" si="90"/>
        <v>38.224875360032343</v>
      </c>
      <c r="W202" s="227">
        <f t="shared" si="91"/>
        <v>-17.504896313911079</v>
      </c>
      <c r="X202" s="227" t="str">
        <f t="shared" si="79"/>
        <v>0.999994836002954-0.000669190824545024i</v>
      </c>
      <c r="Y202" s="227" t="str">
        <f t="shared" si="80"/>
        <v>75.837450953155+39.2365785087682i</v>
      </c>
      <c r="Z202" s="227" t="str">
        <f t="shared" si="81"/>
        <v>39.5063065751296+20.4061651988661i</v>
      </c>
      <c r="AA202" s="227" t="str">
        <f t="shared" si="82"/>
        <v>10.0573445695329-9.79497964004467i</v>
      </c>
      <c r="AB202" s="227">
        <f t="shared" si="92"/>
        <v>22.946685689300644</v>
      </c>
      <c r="AC202" s="227">
        <f t="shared" si="93"/>
        <v>-44.242832833691494</v>
      </c>
      <c r="AD202" s="229">
        <f t="shared" si="94"/>
        <v>-8.939398925686552</v>
      </c>
      <c r="AE202" s="229">
        <f t="shared" si="95"/>
        <v>140.63392224602666</v>
      </c>
      <c r="AF202" s="227">
        <f t="shared" si="83"/>
        <v>14.007286763614092</v>
      </c>
      <c r="AG202" s="227">
        <f t="shared" si="84"/>
        <v>96.391089412335162</v>
      </c>
      <c r="AH202" s="229" t="str">
        <f t="shared" si="85"/>
        <v>0.276230044797252-0.226624161739446i</v>
      </c>
    </row>
    <row r="203" spans="9:34" x14ac:dyDescent="0.2">
      <c r="I203" s="227">
        <v>199</v>
      </c>
      <c r="J203" s="227">
        <f t="shared" si="73"/>
        <v>2.9402743828298967</v>
      </c>
      <c r="K203" s="227">
        <f>10^(J203)</f>
        <v>871.51402974330347</v>
      </c>
      <c r="L203" s="227">
        <f t="shared" si="86"/>
        <v>5475.8841466839976</v>
      </c>
      <c r="M203" s="227">
        <f t="shared" si="74"/>
        <v>4928.859588872213</v>
      </c>
      <c r="N203" s="227">
        <f>SQRT((ABS(AC203)-171.5+'Small Signal'!C$59)^2)</f>
        <v>56.561959982840733</v>
      </c>
      <c r="O203" s="227">
        <f t="shared" si="87"/>
        <v>96.301129583968361</v>
      </c>
      <c r="P203" s="227">
        <f t="shared" si="88"/>
        <v>13.845235986923635</v>
      </c>
      <c r="Q203" s="227">
        <f t="shared" si="89"/>
        <v>871.51402974330347</v>
      </c>
      <c r="R203" s="227" t="str">
        <f t="shared" si="75"/>
        <v>0.0945666666666667+0.0257366554894148i</v>
      </c>
      <c r="S203" s="227" t="str">
        <f t="shared" si="76"/>
        <v>0.0085-6.99391574301609i</v>
      </c>
      <c r="T203" s="227" t="str">
        <f t="shared" si="77"/>
        <v>2.91052276526329-5.43541801762133i</v>
      </c>
      <c r="U203" s="227" t="str">
        <f t="shared" si="78"/>
        <v>77.6472357842272-25.1219422934205i</v>
      </c>
      <c r="V203" s="227">
        <f t="shared" si="90"/>
        <v>38.234876105504057</v>
      </c>
      <c r="W203" s="227">
        <f t="shared" si="91"/>
        <v>-17.928439298755411</v>
      </c>
      <c r="X203" s="227" t="str">
        <f t="shared" si="79"/>
        <v>0.999994598850105-0.000684384397709361i</v>
      </c>
      <c r="Y203" s="227" t="str">
        <f t="shared" si="80"/>
        <v>76.5244126774886+40.0524779340694i</v>
      </c>
      <c r="Z203" s="227" t="str">
        <f t="shared" si="81"/>
        <v>39.8646362145814+20.8301980283936i</v>
      </c>
      <c r="AA203" s="227" t="str">
        <f t="shared" si="82"/>
        <v>9.83829803734064-9.817042631521i</v>
      </c>
      <c r="AB203" s="227">
        <f t="shared" si="92"/>
        <v>22.859316631536718</v>
      </c>
      <c r="AC203" s="227">
        <f t="shared" si="93"/>
        <v>-44.93804001715926</v>
      </c>
      <c r="AD203" s="229">
        <f t="shared" si="94"/>
        <v>-9.0140806446130828</v>
      </c>
      <c r="AE203" s="229">
        <f t="shared" si="95"/>
        <v>141.23916960112763</v>
      </c>
      <c r="AF203" s="227">
        <f t="shared" si="83"/>
        <v>13.845235986923635</v>
      </c>
      <c r="AG203" s="227">
        <f t="shared" si="84"/>
        <v>96.301129583968361</v>
      </c>
      <c r="AH203" s="229" t="str">
        <f t="shared" si="85"/>
        <v>0.276223324500127-0.221778515254066i</v>
      </c>
    </row>
    <row r="204" spans="9:34" x14ac:dyDescent="0.2">
      <c r="I204" s="227">
        <v>200</v>
      </c>
      <c r="J204" s="227">
        <f t="shared" si="73"/>
        <v>2.95002450535668</v>
      </c>
      <c r="K204" s="227">
        <f>10^(J204)</f>
        <v>891.30122898300249</v>
      </c>
      <c r="L204" s="227">
        <f t="shared" si="86"/>
        <v>5600.2107862171097</v>
      </c>
      <c r="M204" s="227">
        <f t="shared" si="74"/>
        <v>4908.6231332345806</v>
      </c>
      <c r="N204" s="227">
        <f>SQRT((ABS(AC204)-171.5+'Small Signal'!C$59)^2)</f>
        <v>55.864220863311957</v>
      </c>
      <c r="O204" s="227">
        <f t="shared" si="87"/>
        <v>96.204777135597155</v>
      </c>
      <c r="P204" s="227">
        <f t="shared" si="88"/>
        <v>13.683085613103572</v>
      </c>
      <c r="Q204" s="227">
        <f t="shared" si="89"/>
        <v>891.30122898300249</v>
      </c>
      <c r="R204" s="227" t="str">
        <f t="shared" si="75"/>
        <v>0.0945666666666667+0.0263209906952204i</v>
      </c>
      <c r="S204" s="227" t="str">
        <f t="shared" si="76"/>
        <v>0.0085-6.83864836564399i</v>
      </c>
      <c r="T204" s="227" t="str">
        <f t="shared" si="77"/>
        <v>2.81039123796407-5.36702427759184i</v>
      </c>
      <c r="U204" s="227" t="str">
        <f t="shared" si="78"/>
        <v>77.5471613892384-25.7415640255722i</v>
      </c>
      <c r="V204" s="227">
        <f t="shared" si="90"/>
        <v>38.245287112090132</v>
      </c>
      <c r="W204" s="227">
        <f t="shared" si="91"/>
        <v>-18.363442115471436</v>
      </c>
      <c r="X204" s="227" t="str">
        <f t="shared" si="79"/>
        <v>0.999994350806181-0.000699922931768308i</v>
      </c>
      <c r="Y204" s="227" t="str">
        <f t="shared" si="80"/>
        <v>77.2449179191659+40.8806378927408i</v>
      </c>
      <c r="Z204" s="227" t="str">
        <f t="shared" si="81"/>
        <v>40.2404578702346+21.2605781723883i</v>
      </c>
      <c r="AA204" s="227" t="str">
        <f t="shared" si="82"/>
        <v>9.61837355551916-9.83423712814044i</v>
      </c>
      <c r="AB204" s="227">
        <f t="shared" si="92"/>
        <v>22.76979270715966</v>
      </c>
      <c r="AC204" s="227">
        <f t="shared" si="93"/>
        <v>-45.635779136688043</v>
      </c>
      <c r="AD204" s="229">
        <f t="shared" si="94"/>
        <v>-9.0867070940560879</v>
      </c>
      <c r="AE204" s="229">
        <f t="shared" si="95"/>
        <v>141.8405562722852</v>
      </c>
      <c r="AF204" s="227">
        <f t="shared" si="83"/>
        <v>13.683085613103572</v>
      </c>
      <c r="AG204" s="227">
        <f t="shared" si="84"/>
        <v>96.204777135597155</v>
      </c>
      <c r="AH204" s="229" t="str">
        <f t="shared" si="85"/>
        <v>0.276216644368807-0.217044651115745i</v>
      </c>
    </row>
    <row r="205" spans="9:34" x14ac:dyDescent="0.2">
      <c r="I205" s="227">
        <v>201</v>
      </c>
      <c r="J205" s="227">
        <f t="shared" si="73"/>
        <v>2.9597746278834633</v>
      </c>
      <c r="K205" s="227">
        <f t="shared" ref="K205:K253" si="96">10^(J205)</f>
        <v>911.53768462063488</v>
      </c>
      <c r="L205" s="227">
        <f t="shared" si="86"/>
        <v>5727.360186948873</v>
      </c>
      <c r="M205" s="227">
        <f t="shared" si="74"/>
        <v>4887.9272211040607</v>
      </c>
      <c r="N205" s="227">
        <f>SQRT((ABS(AC205)-171.5+'Small Signal'!C$59)^2)</f>
        <v>55.164240895372416</v>
      </c>
      <c r="O205" s="227">
        <f t="shared" si="87"/>
        <v>96.10204051295915</v>
      </c>
      <c r="P205" s="227">
        <f t="shared" si="88"/>
        <v>13.520805221993433</v>
      </c>
      <c r="Q205" s="227">
        <f t="shared" si="89"/>
        <v>911.53768462063488</v>
      </c>
      <c r="R205" s="227" t="str">
        <f t="shared" si="75"/>
        <v>0.0945666666666667+0.0269185928786597i</v>
      </c>
      <c r="S205" s="227" t="str">
        <f t="shared" si="76"/>
        <v>0.0085-6.68682797839329i</v>
      </c>
      <c r="T205" s="227" t="str">
        <f t="shared" si="77"/>
        <v>2.71279688289779-5.29769324660574i</v>
      </c>
      <c r="U205" s="227" t="str">
        <f t="shared" si="78"/>
        <v>77.4405865822552-26.3784554927965i</v>
      </c>
      <c r="V205" s="227">
        <f t="shared" si="90"/>
        <v>38.256122184765857</v>
      </c>
      <c r="W205" s="227">
        <f t="shared" si="91"/>
        <v>-18.810295809210974</v>
      </c>
      <c r="X205" s="227" t="str">
        <f t="shared" si="79"/>
        <v>0.999994091371019-0.000715814258850458i</v>
      </c>
      <c r="Y205" s="227" t="str">
        <f t="shared" si="80"/>
        <v>78.0006705145414+41.7207728930815i</v>
      </c>
      <c r="Z205" s="227" t="str">
        <f t="shared" si="81"/>
        <v>40.6346595826271+21.6971547745557i</v>
      </c>
      <c r="AA205" s="227" t="str">
        <f t="shared" si="82"/>
        <v>9.39778867884907-9.8465201403767i</v>
      </c>
      <c r="AB205" s="227">
        <f t="shared" si="92"/>
        <v>22.678107060898178</v>
      </c>
      <c r="AC205" s="227">
        <f t="shared" si="93"/>
        <v>-46.335759104627584</v>
      </c>
      <c r="AD205" s="229">
        <f t="shared" si="94"/>
        <v>-9.1573018389047451</v>
      </c>
      <c r="AE205" s="229">
        <f t="shared" si="95"/>
        <v>142.43779961758673</v>
      </c>
      <c r="AF205" s="227">
        <f t="shared" si="83"/>
        <v>13.520805221993433</v>
      </c>
      <c r="AG205" s="227">
        <f t="shared" si="84"/>
        <v>96.10204051295915</v>
      </c>
      <c r="AH205" s="229" t="str">
        <f t="shared" si="85"/>
        <v>0.276209990941843-0.212420182972278i</v>
      </c>
    </row>
    <row r="206" spans="9:34" x14ac:dyDescent="0.2">
      <c r="I206" s="227">
        <v>202</v>
      </c>
      <c r="J206" s="227">
        <f t="shared" si="73"/>
        <v>2.9695247504102467</v>
      </c>
      <c r="K206" s="227">
        <f t="shared" si="96"/>
        <v>932.23359675115444</v>
      </c>
      <c r="L206" s="227">
        <f t="shared" si="86"/>
        <v>5857.3964379660329</v>
      </c>
      <c r="M206" s="227">
        <f t="shared" si="74"/>
        <v>4866.7614207987117</v>
      </c>
      <c r="N206" s="227">
        <f>SQRT((ABS(AC206)-171.5+'Small Signal'!C$59)^2)</f>
        <v>54.462312961763871</v>
      </c>
      <c r="O206" s="227">
        <f t="shared" si="87"/>
        <v>95.992938268601762</v>
      </c>
      <c r="P206" s="227">
        <f t="shared" si="88"/>
        <v>13.358364975267031</v>
      </c>
      <c r="Q206" s="227">
        <f t="shared" si="89"/>
        <v>932.23359675115444</v>
      </c>
      <c r="R206" s="227" t="str">
        <f t="shared" si="75"/>
        <v>0.0945666666666667+0.0275297632584404i</v>
      </c>
      <c r="S206" s="227" t="str">
        <f t="shared" si="76"/>
        <v>0.0085-6.5383780568768i</v>
      </c>
      <c r="T206" s="227" t="str">
        <f t="shared" si="77"/>
        <v>2.61773911463258-5.22752929415345i</v>
      </c>
      <c r="U206" s="227" t="str">
        <f t="shared" si="78"/>
        <v>77.3270251715022-27.0331995554729i</v>
      </c>
      <c r="V206" s="227">
        <f t="shared" si="90"/>
        <v>38.267395226968517</v>
      </c>
      <c r="W206" s="227">
        <f t="shared" si="91"/>
        <v>-19.269409610807216</v>
      </c>
      <c r="X206" s="227" t="str">
        <f t="shared" si="79"/>
        <v>0.999993820021483-0.000732066388908149i</v>
      </c>
      <c r="Y206" s="227" t="str">
        <f t="shared" si="80"/>
        <v>78.7934639028717+42.5725360300031i</v>
      </c>
      <c r="Z206" s="227" t="str">
        <f t="shared" si="81"/>
        <v>41.0481760474157+22.1397448475916i</v>
      </c>
      <c r="AA206" s="227" t="str">
        <f t="shared" si="82"/>
        <v>9.17676360421731-9.85386084719691i</v>
      </c>
      <c r="AB206" s="227">
        <f t="shared" si="92"/>
        <v>22.58425503782837</v>
      </c>
      <c r="AC206" s="227">
        <f t="shared" si="93"/>
        <v>-47.037687038236129</v>
      </c>
      <c r="AD206" s="229">
        <f t="shared" si="94"/>
        <v>-9.2258900625613389</v>
      </c>
      <c r="AE206" s="229">
        <f t="shared" si="95"/>
        <v>143.03062530683789</v>
      </c>
      <c r="AF206" s="227">
        <f t="shared" si="83"/>
        <v>13.358364975267031</v>
      </c>
      <c r="AG206" s="227">
        <f t="shared" si="84"/>
        <v>95.992938268601762</v>
      </c>
      <c r="AH206" s="229" t="str">
        <f t="shared" si="85"/>
        <v>0.276203350812444-0.207902779592121i</v>
      </c>
    </row>
    <row r="207" spans="9:34" x14ac:dyDescent="0.2">
      <c r="I207" s="227">
        <v>203</v>
      </c>
      <c r="J207" s="227">
        <f t="shared" si="73"/>
        <v>2.9792748729370304</v>
      </c>
      <c r="K207" s="227">
        <f t="shared" si="96"/>
        <v>953.39939705650295</v>
      </c>
      <c r="L207" s="227">
        <f t="shared" si="86"/>
        <v>5990.3850834592959</v>
      </c>
      <c r="M207" s="227">
        <f t="shared" si="74"/>
        <v>4845.1150637915598</v>
      </c>
      <c r="N207" s="227">
        <f>SQRT((ABS(AC207)-171.5+'Small Signal'!C$59)^2)</f>
        <v>53.758730927372937</v>
      </c>
      <c r="O207" s="227">
        <f t="shared" si="87"/>
        <v>95.877498714510637</v>
      </c>
      <c r="P207" s="227">
        <f t="shared" si="88"/>
        <v>13.195735729074448</v>
      </c>
      <c r="Q207" s="227">
        <f t="shared" si="89"/>
        <v>953.39939705650295</v>
      </c>
      <c r="R207" s="227" t="str">
        <f t="shared" si="75"/>
        <v>0.0945666666666667+0.0281548098922587i</v>
      </c>
      <c r="S207" s="227" t="str">
        <f t="shared" si="76"/>
        <v>0.0085-6.39322377557563i</v>
      </c>
      <c r="T207" s="227" t="str">
        <f t="shared" si="77"/>
        <v>2.52521239908896-5.15663438151143i</v>
      </c>
      <c r="U207" s="227" t="str">
        <f t="shared" si="78"/>
        <v>77.2059499241099-27.7064008758983i</v>
      </c>
      <c r="V207" s="227">
        <f t="shared" si="90"/>
        <v>38.279120185820133</v>
      </c>
      <c r="W207" s="227">
        <f t="shared" si="91"/>
        <v>-19.741212002867407</v>
      </c>
      <c r="X207" s="227" t="str">
        <f t="shared" si="79"/>
        <v>0.999993536210416-0.000748687513754848i</v>
      </c>
      <c r="Y207" s="227" t="str">
        <f t="shared" si="80"/>
        <v>79.6251856284895+43.4355118440685i</v>
      </c>
      <c r="Z207" s="227" t="str">
        <f t="shared" si="81"/>
        <v>41.4819909545411+22.5881295436389i</v>
      </c>
      <c r="AA207" s="227" t="str">
        <f t="shared" si="82"/>
        <v>8.95552029623887-9.85624078425389i</v>
      </c>
      <c r="AB207" s="227">
        <f t="shared" si="92"/>
        <v>22.48823420675717</v>
      </c>
      <c r="AC207" s="227">
        <f t="shared" si="93"/>
        <v>-47.74126907262707</v>
      </c>
      <c r="AD207" s="229">
        <f t="shared" si="94"/>
        <v>-9.292498477682722</v>
      </c>
      <c r="AE207" s="229">
        <f t="shared" si="95"/>
        <v>143.6187677871377</v>
      </c>
      <c r="AF207" s="227">
        <f t="shared" si="83"/>
        <v>13.195735729074448</v>
      </c>
      <c r="AG207" s="227">
        <f t="shared" si="84"/>
        <v>95.877498714510637</v>
      </c>
      <c r="AH207" s="229" t="str">
        <f t="shared" si="85"/>
        <v>0.276196710601517-0.20349016368804i</v>
      </c>
    </row>
    <row r="208" spans="9:34" x14ac:dyDescent="0.2">
      <c r="I208" s="227">
        <v>204</v>
      </c>
      <c r="J208" s="227">
        <f t="shared" si="73"/>
        <v>2.9890249954638137</v>
      </c>
      <c r="K208" s="227">
        <f t="shared" si="96"/>
        <v>975.04575406365495</v>
      </c>
      <c r="L208" s="227">
        <f t="shared" si="86"/>
        <v>6126.3931557605974</v>
      </c>
      <c r="M208" s="227">
        <f t="shared" si="74"/>
        <v>4822.9772393331714</v>
      </c>
      <c r="N208" s="227">
        <f>SQRT((ABS(AC208)-171.5+'Small Signal'!C$59)^2)</f>
        <v>53.05378881627226</v>
      </c>
      <c r="O208" s="227">
        <f t="shared" si="87"/>
        <v>95.75575951735334</v>
      </c>
      <c r="P208" s="227">
        <f t="shared" si="88"/>
        <v>13.03288914155357</v>
      </c>
      <c r="Q208" s="227">
        <f t="shared" si="89"/>
        <v>975.04575406365495</v>
      </c>
      <c r="R208" s="227" t="str">
        <f t="shared" si="75"/>
        <v>0.0945666666666667+0.0287940478320748i</v>
      </c>
      <c r="S208" s="227" t="str">
        <f t="shared" si="76"/>
        <v>0.0085-6.25129197012344i</v>
      </c>
      <c r="T208" s="227" t="str">
        <f t="shared" si="77"/>
        <v>2.43520652822052-5.08510783989387i</v>
      </c>
      <c r="U208" s="227" t="str">
        <f t="shared" si="78"/>
        <v>77.0767888069977-28.3986862945046i</v>
      </c>
      <c r="V208" s="227">
        <f t="shared" si="90"/>
        <v>38.291310987986172</v>
      </c>
      <c r="W208" s="227">
        <f t="shared" si="91"/>
        <v>-20.22615185279178</v>
      </c>
      <c r="X208" s="227" t="str">
        <f t="shared" si="79"/>
        <v>0.999993239365529-0.000765686011194189i</v>
      </c>
      <c r="Y208" s="227" t="str">
        <f t="shared" si="80"/>
        <v>80.4978219675739+44.3092083860958i</v>
      </c>
      <c r="Z208" s="227" t="str">
        <f t="shared" si="81"/>
        <v>41.9371393913708+23.0420500102844i</v>
      </c>
      <c r="AA208" s="227" t="str">
        <f t="shared" si="82"/>
        <v>8.73428159782527-9.85365395702155i</v>
      </c>
      <c r="AB208" s="227">
        <f t="shared" si="92"/>
        <v>22.390044374943855</v>
      </c>
      <c r="AC208" s="227">
        <f t="shared" si="93"/>
        <v>-48.446211183727748</v>
      </c>
      <c r="AD208" s="229">
        <f t="shared" si="94"/>
        <v>-9.3571552333902854</v>
      </c>
      <c r="AE208" s="229">
        <f t="shared" si="95"/>
        <v>144.20197070108108</v>
      </c>
      <c r="AF208" s="227">
        <f t="shared" si="83"/>
        <v>13.03288914155357</v>
      </c>
      <c r="AG208" s="227">
        <f t="shared" si="84"/>
        <v>95.75575951735334</v>
      </c>
      <c r="AH208" s="229" t="str">
        <f t="shared" si="85"/>
        <v>0.276190056930764-0.199180110767844i</v>
      </c>
    </row>
    <row r="209" spans="9:34" x14ac:dyDescent="0.2">
      <c r="I209" s="227">
        <v>205</v>
      </c>
      <c r="J209" s="227">
        <f t="shared" si="73"/>
        <v>2.998775117990597</v>
      </c>
      <c r="K209" s="227">
        <f t="shared" si="96"/>
        <v>997.1835785220436</v>
      </c>
      <c r="L209" s="227">
        <f t="shared" si="86"/>
        <v>6265.4892091304655</v>
      </c>
      <c r="M209" s="227">
        <f t="shared" si="74"/>
        <v>4800.336788952146</v>
      </c>
      <c r="N209" s="227">
        <f>SQRT((ABS(AC209)-171.5+'Small Signal'!C$59)^2)</f>
        <v>52.347779983696398</v>
      </c>
      <c r="O209" s="227">
        <f t="shared" si="87"/>
        <v>95.627767240309822</v>
      </c>
      <c r="P209" s="227">
        <f t="shared" si="88"/>
        <v>12.869797774454419</v>
      </c>
      <c r="Q209" s="227">
        <f t="shared" si="89"/>
        <v>997.1835785220436</v>
      </c>
      <c r="R209" s="227" t="str">
        <f t="shared" si="75"/>
        <v>0.0945666666666667+0.0294477992829132i</v>
      </c>
      <c r="S209" s="227" t="str">
        <f t="shared" si="76"/>
        <v>0.0085-6.1125111004286i</v>
      </c>
      <c r="T209" s="227" t="str">
        <f t="shared" si="77"/>
        <v>2.34770690088198-5.01304617520975i</v>
      </c>
      <c r="U209" s="227" t="str">
        <f t="shared" si="78"/>
        <v>76.9389208713591-29.1107050943881i</v>
      </c>
      <c r="V209" s="227">
        <f t="shared" si="90"/>
        <v>38.303981464920184</v>
      </c>
      <c r="W209" s="227">
        <f t="shared" si="91"/>
        <v>-20.724699616241963</v>
      </c>
      <c r="X209" s="227" t="str">
        <f t="shared" si="79"/>
        <v>0.999992928888254-0.000783070449242779i</v>
      </c>
      <c r="Y209" s="227" t="str">
        <f t="shared" si="80"/>
        <v>81.413462656394+45.1930483986414i</v>
      </c>
      <c r="Z209" s="227" t="str">
        <f t="shared" si="81"/>
        <v>42.4147102976488+23.5012027858785i</v>
      </c>
      <c r="AA209" s="227" t="str">
        <f t="shared" si="82"/>
        <v>8.51327033325218-9.84610687758766i</v>
      </c>
      <c r="AB209" s="227">
        <f t="shared" si="92"/>
        <v>22.289687594052531</v>
      </c>
      <c r="AC209" s="227">
        <f t="shared" si="93"/>
        <v>-49.152220016303609</v>
      </c>
      <c r="AD209" s="229">
        <f t="shared" si="94"/>
        <v>-9.4198898195981116</v>
      </c>
      <c r="AE209" s="229">
        <f t="shared" si="95"/>
        <v>144.77998725661342</v>
      </c>
      <c r="AF209" s="227">
        <f t="shared" si="83"/>
        <v>12.869797774454419</v>
      </c>
      <c r="AG209" s="227">
        <f t="shared" si="84"/>
        <v>95.627767240309822</v>
      </c>
      <c r="AH209" s="229" t="str">
        <f t="shared" si="85"/>
        <v>0.27618337639581-0.194970448011632i</v>
      </c>
    </row>
    <row r="210" spans="9:34" x14ac:dyDescent="0.2">
      <c r="I210" s="227">
        <v>206</v>
      </c>
      <c r="J210" s="227">
        <f t="shared" si="73"/>
        <v>3.0085252405173804</v>
      </c>
      <c r="K210" s="227">
        <f t="shared" si="96"/>
        <v>1019.8240289030692</v>
      </c>
      <c r="L210" s="227">
        <f t="shared" si="86"/>
        <v>6407.7433543124544</v>
      </c>
      <c r="M210" s="227">
        <f t="shared" si="74"/>
        <v>4777.1823008307301</v>
      </c>
      <c r="N210" s="227">
        <f>SQRT((ABS(AC210)-171.5+'Small Signal'!C$59)^2)</f>
        <v>51.640996287956881</v>
      </c>
      <c r="O210" s="227">
        <f t="shared" si="87"/>
        <v>95.493576835937887</v>
      </c>
      <c r="P210" s="227">
        <f t="shared" si="88"/>
        <v>12.706435188191286</v>
      </c>
      <c r="Q210" s="227">
        <f t="shared" si="89"/>
        <v>1019.8240289030692</v>
      </c>
      <c r="R210" s="227" t="str">
        <f t="shared" si="75"/>
        <v>0.0945666666666667+0.0301163937652685i</v>
      </c>
      <c r="S210" s="227" t="str">
        <f t="shared" si="76"/>
        <v>0.0085-5.97681121461441i</v>
      </c>
      <c r="T210" s="227" t="str">
        <f t="shared" si="77"/>
        <v>2.26269480750839-4.94054289885421i</v>
      </c>
      <c r="U210" s="227" t="str">
        <f t="shared" si="78"/>
        <v>76.7916717481197-29.8431291253419i</v>
      </c>
      <c r="V210" s="227">
        <f t="shared" si="90"/>
        <v>38.31714526608809</v>
      </c>
      <c r="W210" s="227">
        <f t="shared" si="91"/>
        <v>-21.237348614571442</v>
      </c>
      <c r="X210" s="227" t="str">
        <f t="shared" si="79"/>
        <v>0.999992604152534-0.00080084959044886i</v>
      </c>
      <c r="Y210" s="227" t="str">
        <f t="shared" si="80"/>
        <v>82.3743056903703+46.086359516169i</v>
      </c>
      <c r="Z210" s="227" t="str">
        <f t="shared" si="81"/>
        <v>42.9158489561408+23.9652346830058i</v>
      </c>
      <c r="AA210" s="227" t="str">
        <f t="shared" si="82"/>
        <v>8.29270841138517-9.83361852468239i</v>
      </c>
      <c r="AB210" s="227">
        <f t="shared" si="92"/>
        <v>22.187168157300476</v>
      </c>
      <c r="AC210" s="227">
        <f t="shared" si="93"/>
        <v>-49.859003712043119</v>
      </c>
      <c r="AD210" s="229">
        <f t="shared" si="94"/>
        <v>-9.4807329691091908</v>
      </c>
      <c r="AE210" s="229">
        <f t="shared" si="95"/>
        <v>145.35258054798101</v>
      </c>
      <c r="AF210" s="227">
        <f t="shared" si="83"/>
        <v>12.706435188191286</v>
      </c>
      <c r="AG210" s="227">
        <f t="shared" si="84"/>
        <v>95.493576835937887</v>
      </c>
      <c r="AH210" s="229" t="str">
        <f t="shared" si="85"/>
        <v>0.276176655539265-0.190859053174989i</v>
      </c>
    </row>
    <row r="211" spans="9:34" x14ac:dyDescent="0.2">
      <c r="I211" s="227">
        <v>207</v>
      </c>
      <c r="J211" s="227">
        <f t="shared" si="73"/>
        <v>3.0182753630441641</v>
      </c>
      <c r="K211" s="227">
        <f t="shared" si="96"/>
        <v>1042.978517024485</v>
      </c>
      <c r="L211" s="227">
        <f t="shared" si="86"/>
        <v>6553.2272938721981</v>
      </c>
      <c r="M211" s="227">
        <f t="shared" si="74"/>
        <v>4753.5021040527536</v>
      </c>
      <c r="N211" s="227">
        <f>SQRT((ABS(AC211)-171.5+'Small Signal'!C$59)^2)</f>
        <v>50.933727267302572</v>
      </c>
      <c r="O211" s="227">
        <f t="shared" si="87"/>
        <v>95.353251094951901</v>
      </c>
      <c r="P211" s="227">
        <f t="shared" si="88"/>
        <v>12.542776029726197</v>
      </c>
      <c r="Q211" s="227">
        <f t="shared" si="89"/>
        <v>1042.978517024485</v>
      </c>
      <c r="R211" s="227" t="str">
        <f t="shared" si="75"/>
        <v>0.0945666666666667+0.0308001682811993i</v>
      </c>
      <c r="S211" s="227" t="str">
        <f t="shared" si="76"/>
        <v>0.0085-5.84412391376035i</v>
      </c>
      <c r="T211" s="227" t="str">
        <f t="shared" si="77"/>
        <v>2.1801477163921-4.86768838377597i</v>
      </c>
      <c r="U211" s="227" t="str">
        <f t="shared" si="78"/>
        <v>76.6343087193528-30.5966527531993i</v>
      </c>
      <c r="V211" s="227">
        <f t="shared" si="90"/>
        <v>38.330815758589118</v>
      </c>
      <c r="W211" s="227">
        <f t="shared" si="91"/>
        <v>-21.764616389642143</v>
      </c>
      <c r="X211" s="227" t="str">
        <f t="shared" si="79"/>
        <v>0.999992264503559-0.000819032396309038i</v>
      </c>
      <c r="Y211" s="227" t="str">
        <f t="shared" si="80"/>
        <v>83.3826621540438+46.988363375353i</v>
      </c>
      <c r="Z211" s="227" t="str">
        <f t="shared" si="81"/>
        <v>43.4417594980249+24.4337371035498i</v>
      </c>
      <c r="AA211" s="227" t="str">
        <f t="shared" si="82"/>
        <v>8.07281593672384-9.81622022739976i</v>
      </c>
      <c r="AB211" s="227">
        <f t="shared" si="92"/>
        <v>22.082492587846609</v>
      </c>
      <c r="AC211" s="227">
        <f t="shared" si="93"/>
        <v>-50.566272732697435</v>
      </c>
      <c r="AD211" s="229">
        <f t="shared" si="94"/>
        <v>-9.5397165581204124</v>
      </c>
      <c r="AE211" s="229">
        <f t="shared" si="95"/>
        <v>145.91952382764933</v>
      </c>
      <c r="AF211" s="227">
        <f t="shared" si="83"/>
        <v>12.542776029726197</v>
      </c>
      <c r="AG211" s="227">
        <f t="shared" si="84"/>
        <v>95.353251094951901</v>
      </c>
      <c r="AH211" s="229" t="str">
        <f t="shared" si="85"/>
        <v>0.276169880823698-0.186843853517529i</v>
      </c>
    </row>
    <row r="212" spans="9:34" x14ac:dyDescent="0.2">
      <c r="I212" s="227">
        <v>208</v>
      </c>
      <c r="J212" s="227">
        <f t="shared" si="73"/>
        <v>3.0280254855709474</v>
      </c>
      <c r="K212" s="227">
        <f t="shared" si="96"/>
        <v>1066.6587138024611</v>
      </c>
      <c r="L212" s="227">
        <f t="shared" si="86"/>
        <v>6702.0143583386989</v>
      </c>
      <c r="M212" s="227">
        <f t="shared" si="74"/>
        <v>4729.2842627209438</v>
      </c>
      <c r="N212" s="227">
        <f>SQRT((ABS(AC212)-171.5+'Small Signal'!C$59)^2)</f>
        <v>50.226259326669108</v>
      </c>
      <c r="O212" s="227">
        <f t="shared" si="87"/>
        <v>95.206860056106407</v>
      </c>
      <c r="P212" s="227">
        <f t="shared" si="88"/>
        <v>12.37879611277538</v>
      </c>
      <c r="Q212" s="227">
        <f t="shared" si="89"/>
        <v>1066.6587138024611</v>
      </c>
      <c r="R212" s="227" t="str">
        <f t="shared" si="75"/>
        <v>0.0945666666666667+0.0314994674841919i</v>
      </c>
      <c r="S212" s="227" t="str">
        <f t="shared" si="76"/>
        <v>0.0085-5.71438231742595i</v>
      </c>
      <c r="T212" s="227" t="str">
        <f t="shared" si="77"/>
        <v>2.10003955951579-4.79456974489915i</v>
      </c>
      <c r="U212" s="227" t="str">
        <f t="shared" si="78"/>
        <v>76.466035328266-31.3719925940407i</v>
      </c>
      <c r="V212" s="227">
        <f t="shared" si="90"/>
        <v>38.345005911394772</v>
      </c>
      <c r="W212" s="227">
        <f t="shared" si="91"/>
        <v>-22.30704613930827</v>
      </c>
      <c r="X212" s="227" t="str">
        <f t="shared" si="79"/>
        <v>0.99999190925645-0.000837628031785277i</v>
      </c>
      <c r="Y212" s="227" t="str">
        <f t="shared" si="80"/>
        <v>84.4409610309092+47.8981635157628i</v>
      </c>
      <c r="Z212" s="227" t="str">
        <f t="shared" si="81"/>
        <v>43.9937073962565+24.9062397229654i</v>
      </c>
      <c r="AA212" s="227" t="str">
        <f t="shared" si="82"/>
        <v>7.85381033580705-9.79395547393469i</v>
      </c>
      <c r="AB212" s="227">
        <f t="shared" si="92"/>
        <v>21.97566961853714</v>
      </c>
      <c r="AC212" s="227">
        <f t="shared" si="93"/>
        <v>-51.273740673330892</v>
      </c>
      <c r="AD212" s="229">
        <f t="shared" si="94"/>
        <v>-9.59687350576176</v>
      </c>
      <c r="AE212" s="229">
        <f t="shared" si="95"/>
        <v>146.4806007294373</v>
      </c>
      <c r="AF212" s="227">
        <f t="shared" si="83"/>
        <v>12.37879611277538</v>
      </c>
      <c r="AG212" s="227">
        <f t="shared" si="84"/>
        <v>95.206860056106407</v>
      </c>
      <c r="AH212" s="229" t="str">
        <f t="shared" si="85"/>
        <v>0.276163038604454-0.182922824756298i</v>
      </c>
    </row>
    <row r="213" spans="9:34" x14ac:dyDescent="0.2">
      <c r="I213" s="227">
        <v>209</v>
      </c>
      <c r="J213" s="227">
        <f t="shared" si="73"/>
        <v>3.0377756080977307</v>
      </c>
      <c r="K213" s="227">
        <f t="shared" si="96"/>
        <v>1090.876555134271</v>
      </c>
      <c r="L213" s="227">
        <f t="shared" si="86"/>
        <v>6854.1795431663331</v>
      </c>
      <c r="M213" s="227">
        <f t="shared" si="74"/>
        <v>4704.5165699406953</v>
      </c>
      <c r="N213" s="227">
        <f>SQRT((ABS(AC213)-171.5+'Small Signal'!C$59)^2)</f>
        <v>49.518874939149654</v>
      </c>
      <c r="O213" s="227">
        <f t="shared" si="87"/>
        <v>95.054480382657957</v>
      </c>
      <c r="P213" s="227">
        <f t="shared" si="88"/>
        <v>12.21447248992491</v>
      </c>
      <c r="Q213" s="227">
        <f t="shared" si="89"/>
        <v>1090.876555134271</v>
      </c>
      <c r="R213" s="227" t="str">
        <f t="shared" si="75"/>
        <v>0.0945666666666667+0.0322146438528818i</v>
      </c>
      <c r="S213" s="227" t="str">
        <f t="shared" si="76"/>
        <v>0.0085-5.58752102993987i</v>
      </c>
      <c r="T213" s="227" t="str">
        <f t="shared" si="77"/>
        <v>2.02234101607909-4.72127074284246i</v>
      </c>
      <c r="U213" s="227" t="str">
        <f t="shared" si="78"/>
        <v>76.2859854880758-32.169886985487i</v>
      </c>
      <c r="V213" s="227">
        <f t="shared" si="90"/>
        <v>38.359728162205009</v>
      </c>
      <c r="W213" s="227">
        <f t="shared" si="91"/>
        <v>-22.865208236593457</v>
      </c>
      <c r="X213" s="227" t="str">
        <f t="shared" si="79"/>
        <v>0.999991537694873-0.000856645869924467i</v>
      </c>
      <c r="Y213" s="227" t="str">
        <f t="shared" si="80"/>
        <v>85.5517539285385+48.8147319391285i</v>
      </c>
      <c r="Z213" s="227" t="str">
        <f t="shared" si="81"/>
        <v>44.5730219130668+25.3822034751069i</v>
      </c>
      <c r="AA213" s="227" t="str">
        <f t="shared" si="82"/>
        <v>7.63590550629929-9.766879647502i</v>
      </c>
      <c r="AB213" s="227">
        <f t="shared" si="92"/>
        <v>21.866710163200448</v>
      </c>
      <c r="AC213" s="227">
        <f t="shared" si="93"/>
        <v>-51.981125060850346</v>
      </c>
      <c r="AD213" s="229">
        <f t="shared" si="94"/>
        <v>-9.6522376732755379</v>
      </c>
      <c r="AE213" s="229">
        <f t="shared" si="95"/>
        <v>147.0356054435083</v>
      </c>
      <c r="AF213" s="227">
        <f t="shared" si="83"/>
        <v>12.21447248992491</v>
      </c>
      <c r="AG213" s="227">
        <f t="shared" si="84"/>
        <v>95.054480382657957</v>
      </c>
      <c r="AH213" s="229" t="str">
        <f t="shared" si="85"/>
        <v>0.276156115102285-0.179093990043444i</v>
      </c>
    </row>
    <row r="214" spans="9:34" x14ac:dyDescent="0.2">
      <c r="I214" s="227">
        <v>210</v>
      </c>
      <c r="J214" s="227">
        <f t="shared" si="73"/>
        <v>3.047525730624514</v>
      </c>
      <c r="K214" s="227">
        <f t="shared" si="96"/>
        <v>1115.6442479145194</v>
      </c>
      <c r="L214" s="227">
        <f t="shared" si="86"/>
        <v>7009.7995465359281</v>
      </c>
      <c r="M214" s="227">
        <f t="shared" si="74"/>
        <v>4679.1865416672435</v>
      </c>
      <c r="N214" s="227">
        <f>SQRT((ABS(AC214)-171.5+'Small Signal'!C$59)^2)</f>
        <v>48.81185186685596</v>
      </c>
      <c r="O214" s="227">
        <f t="shared" si="87"/>
        <v>94.896194711039982</v>
      </c>
      <c r="P214" s="227">
        <f t="shared" si="88"/>
        <v>12.049783516338811</v>
      </c>
      <c r="Q214" s="227">
        <f t="shared" si="89"/>
        <v>1115.6442479145194</v>
      </c>
      <c r="R214" s="227" t="str">
        <f t="shared" si="75"/>
        <v>0.0945666666666667+0.0329460578687189i</v>
      </c>
      <c r="S214" s="227" t="str">
        <f t="shared" si="76"/>
        <v>0.0085-5.46347610743754i</v>
      </c>
      <c r="T214" s="227" t="str">
        <f t="shared" si="77"/>
        <v>1.94701979203938-4.6478717097672i</v>
      </c>
      <c r="U214" s="227" t="str">
        <f t="shared" si="78"/>
        <v>76.0932170479899-32.9910951387868i</v>
      </c>
      <c r="V214" s="227">
        <f t="shared" si="90"/>
        <v>38.374994264677341</v>
      </c>
      <c r="W214" s="227">
        <f t="shared" si="91"/>
        <v>-23.439701835220131</v>
      </c>
      <c r="X214" s="227" t="str">
        <f t="shared" si="79"/>
        <v>0.999991149069597-0.000876095496582862i</v>
      </c>
      <c r="Y214" s="227" t="str">
        <f t="shared" si="80"/>
        <v>86.7177196381824+49.736894182542i</v>
      </c>
      <c r="Z214" s="227" t="str">
        <f t="shared" si="81"/>
        <v>45.1810984592668+25.8610127622828i</v>
      </c>
      <c r="AA214" s="227" t="str">
        <f t="shared" si="82"/>
        <v>7.41931099575122-9.735059692408i</v>
      </c>
      <c r="AB214" s="227">
        <f t="shared" si="92"/>
        <v>21.755627279754567</v>
      </c>
      <c r="AC214" s="227">
        <f t="shared" si="93"/>
        <v>-52.688148133144033</v>
      </c>
      <c r="AD214" s="229">
        <f t="shared" si="94"/>
        <v>-9.7058437634157553</v>
      </c>
      <c r="AE214" s="229">
        <f t="shared" si="95"/>
        <v>147.58434284418402</v>
      </c>
      <c r="AF214" s="227">
        <f t="shared" si="83"/>
        <v>12.049783516338811</v>
      </c>
      <c r="AG214" s="227">
        <f t="shared" si="84"/>
        <v>94.896194711039982</v>
      </c>
      <c r="AH214" s="229" t="str">
        <f t="shared" si="85"/>
        <v>0.276149096375691-0.175355418967673i</v>
      </c>
    </row>
    <row r="215" spans="9:34" x14ac:dyDescent="0.2">
      <c r="I215" s="227">
        <v>211</v>
      </c>
      <c r="J215" s="227">
        <f t="shared" si="73"/>
        <v>3.0572758531512974</v>
      </c>
      <c r="K215" s="227">
        <f t="shared" si="96"/>
        <v>1140.9742761879713</v>
      </c>
      <c r="L215" s="227">
        <f t="shared" si="86"/>
        <v>7168.9528080141245</v>
      </c>
      <c r="M215" s="227">
        <f t="shared" si="74"/>
        <v>4653.2814104131285</v>
      </c>
      <c r="N215" s="227">
        <f>SQRT((ABS(AC215)-171.5+'Small Signal'!C$59)^2)</f>
        <v>48.105462405613309</v>
      </c>
      <c r="O215" s="227">
        <f t="shared" si="87"/>
        <v>94.732090977497108</v>
      </c>
      <c r="P215" s="227">
        <f t="shared" si="88"/>
        <v>11.884708904839824</v>
      </c>
      <c r="Q215" s="227">
        <f t="shared" si="89"/>
        <v>1140.9742761879713</v>
      </c>
      <c r="R215" s="227" t="str">
        <f t="shared" si="75"/>
        <v>0.0945666666666667+0.0336940781976664i</v>
      </c>
      <c r="S215" s="227" t="str">
        <f t="shared" si="76"/>
        <v>0.0085-5.3421850256306i</v>
      </c>
      <c r="T215" s="227" t="str">
        <f t="shared" si="77"/>
        <v>1.87404089417035-4.57444949609794i</v>
      </c>
      <c r="U215" s="227" t="str">
        <f t="shared" si="78"/>
        <v>75.8867047726954-33.8363959054974i</v>
      </c>
      <c r="V215" s="227">
        <f t="shared" si="90"/>
        <v>38.390815113509092</v>
      </c>
      <c r="W215" s="227">
        <f t="shared" si="91"/>
        <v>-24.031156563636426</v>
      </c>
      <c r="X215" s="227" t="str">
        <f t="shared" si="79"/>
        <v>0.999990742596985-0.000895986715257785i</v>
      </c>
      <c r="Y215" s="227" t="str">
        <f t="shared" si="80"/>
        <v>87.9416684284953+50.6633127474114i</v>
      </c>
      <c r="Z215" s="227" t="str">
        <f t="shared" si="81"/>
        <v>45.8194008128247+26.3419668081731i</v>
      </c>
      <c r="AA215" s="227" t="str">
        <f t="shared" si="82"/>
        <v>7.20423121659848-9.69857371399442i</v>
      </c>
      <c r="AB215" s="227">
        <f t="shared" si="92"/>
        <v>21.642436125456207</v>
      </c>
      <c r="AC215" s="227">
        <f t="shared" si="93"/>
        <v>-53.394537594386684</v>
      </c>
      <c r="AD215" s="229">
        <f t="shared" si="94"/>
        <v>-9.757727220616383</v>
      </c>
      <c r="AE215" s="229">
        <f t="shared" si="95"/>
        <v>148.1266285718838</v>
      </c>
      <c r="AF215" s="227">
        <f t="shared" si="83"/>
        <v>11.884708904839824</v>
      </c>
      <c r="AG215" s="227">
        <f t="shared" si="84"/>
        <v>94.732090977497108</v>
      </c>
      <c r="AH215" s="229" t="str">
        <f t="shared" si="85"/>
        <v>0.276141968292966-0.171705226578949i</v>
      </c>
    </row>
    <row r="216" spans="9:34" x14ac:dyDescent="0.2">
      <c r="I216" s="227">
        <v>212</v>
      </c>
      <c r="J216" s="227">
        <f t="shared" si="73"/>
        <v>3.0670259756780807</v>
      </c>
      <c r="K216" s="227">
        <f t="shared" si="96"/>
        <v>1166.8794074420862</v>
      </c>
      <c r="L216" s="227">
        <f t="shared" si="86"/>
        <v>7331.7195480905375</v>
      </c>
      <c r="M216" s="227">
        <f t="shared" si="74"/>
        <v>4626.7881188128104</v>
      </c>
      <c r="N216" s="227">
        <f>SQRT((ABS(AC216)-171.5+'Small Signal'!C$59)^2)</f>
        <v>47.399972657681616</v>
      </c>
      <c r="O216" s="227">
        <f t="shared" si="87"/>
        <v>94.562261728448192</v>
      </c>
      <c r="P216" s="227">
        <f t="shared" si="88"/>
        <v>11.719229772241965</v>
      </c>
      <c r="Q216" s="227">
        <f t="shared" si="89"/>
        <v>1166.8794074420862</v>
      </c>
      <c r="R216" s="227" t="str">
        <f t="shared" si="75"/>
        <v>0.0945666666666667+0.0344590818760255i</v>
      </c>
      <c r="S216" s="227" t="str">
        <f t="shared" si="76"/>
        <v>0.0085-5.22358664829178i</v>
      </c>
      <c r="T216" s="227" t="str">
        <f t="shared" si="77"/>
        <v>1.80336689732355-4.50107743679541i</v>
      </c>
      <c r="U216" s="227" t="str">
        <f t="shared" si="78"/>
        <v>75.6653326904261-34.7065860810765i</v>
      </c>
      <c r="V216" s="227">
        <f t="shared" si="90"/>
        <v>38.407200544551586</v>
      </c>
      <c r="W216" s="227">
        <f t="shared" si="91"/>
        <v>-24.6402343089865</v>
      </c>
      <c r="X216" s="227" t="str">
        <f t="shared" si="79"/>
        <v>0.999990317457412-0.000916329552029043i</v>
      </c>
      <c r="Y216" s="227" t="str">
        <f t="shared" si="80"/>
        <v>89.2265459496583+51.5924687118691i</v>
      </c>
      <c r="Z216" s="227" t="str">
        <f t="shared" si="81"/>
        <v>46.4894631319744+26.8242700639117i</v>
      </c>
      <c r="AA216" s="227" t="str">
        <f t="shared" si="82"/>
        <v>6.99086470345402-9.65751051686022i</v>
      </c>
      <c r="AB216" s="227">
        <f t="shared" si="92"/>
        <v>21.527153904685488</v>
      </c>
      <c r="AC216" s="227">
        <f t="shared" si="93"/>
        <v>-54.100027342318384</v>
      </c>
      <c r="AD216" s="229">
        <f t="shared" si="94"/>
        <v>-9.8079241324435227</v>
      </c>
      <c r="AE216" s="229">
        <f t="shared" si="95"/>
        <v>148.66228907076658</v>
      </c>
      <c r="AF216" s="227">
        <f t="shared" si="83"/>
        <v>11.719229772241965</v>
      </c>
      <c r="AG216" s="227">
        <f t="shared" si="84"/>
        <v>94.562261728448192</v>
      </c>
      <c r="AH216" s="229" t="str">
        <f t="shared" si="85"/>
        <v>0.276134716503886-0.168141572435952i</v>
      </c>
    </row>
    <row r="217" spans="9:34" x14ac:dyDescent="0.2">
      <c r="I217" s="227">
        <v>213</v>
      </c>
      <c r="J217" s="227">
        <f t="shared" si="73"/>
        <v>3.0767760982048644</v>
      </c>
      <c r="K217" s="227">
        <f t="shared" si="96"/>
        <v>1193.3726990424052</v>
      </c>
      <c r="L217" s="227">
        <f t="shared" si="86"/>
        <v>7498.1818086124867</v>
      </c>
      <c r="M217" s="227">
        <f t="shared" si="74"/>
        <v>4599.6933130411535</v>
      </c>
      <c r="N217" s="227">
        <f>SQRT((ABS(AC217)-171.5+'Small Signal'!C$59)^2)</f>
        <v>46.695641836364132</v>
      </c>
      <c r="O217" s="227">
        <f t="shared" si="87"/>
        <v>94.386803420267967</v>
      </c>
      <c r="P217" s="227">
        <f t="shared" si="88"/>
        <v>11.553328676904561</v>
      </c>
      <c r="Q217" s="227">
        <f t="shared" si="89"/>
        <v>1193.3726990424052</v>
      </c>
      <c r="R217" s="227" t="str">
        <f t="shared" si="75"/>
        <v>0.0945666666666667+0.0352414545004787i</v>
      </c>
      <c r="S217" s="227" t="str">
        <f t="shared" si="76"/>
        <v>0.0085-5.1076211964394i</v>
      </c>
      <c r="T217" s="227" t="str">
        <f t="shared" si="77"/>
        <v>1.73495820375535-4.42782533581643i</v>
      </c>
      <c r="U217" s="227" t="str">
        <f t="shared" si="78"/>
        <v>75.4278857639838-35.6024781543849i</v>
      </c>
      <c r="V217" s="227">
        <f t="shared" si="90"/>
        <v>38.42415910679469</v>
      </c>
      <c r="W217" s="227">
        <f t="shared" si="91"/>
        <v>-25.267631091542434</v>
      </c>
      <c r="X217" s="227" t="str">
        <f t="shared" si="79"/>
        <v>0.999989872793608-0.000937134260612522i</v>
      </c>
      <c r="Y217" s="227" t="str">
        <f t="shared" si="80"/>
        <v>90.5754365961956+52.5226413399449i</v>
      </c>
      <c r="Z217" s="227" t="str">
        <f t="shared" si="81"/>
        <v>47.1928916835075+27.3070215701696i</v>
      </c>
      <c r="AA217" s="227" t="str">
        <f t="shared" si="82"/>
        <v>6.77940341815204-9.61196908637414i</v>
      </c>
      <c r="AB217" s="227">
        <f t="shared" si="92"/>
        <v>21.409799809714904</v>
      </c>
      <c r="AC217" s="227">
        <f t="shared" si="93"/>
        <v>-54.804358163635861</v>
      </c>
      <c r="AD217" s="229">
        <f t="shared" si="94"/>
        <v>-9.8564711328103431</v>
      </c>
      <c r="AE217" s="229">
        <f t="shared" si="95"/>
        <v>149.19116158390383</v>
      </c>
      <c r="AF217" s="227">
        <f t="shared" si="83"/>
        <v>11.553328676904561</v>
      </c>
      <c r="AG217" s="227">
        <f t="shared" si="84"/>
        <v>94.386803420267967</v>
      </c>
      <c r="AH217" s="229" t="str">
        <f t="shared" si="85"/>
        <v>0.276127326410939-0.164662659675794i</v>
      </c>
    </row>
    <row r="218" spans="9:34" x14ac:dyDescent="0.2">
      <c r="I218" s="227">
        <v>214</v>
      </c>
      <c r="J218" s="227">
        <f t="shared" si="73"/>
        <v>3.0865262207316477</v>
      </c>
      <c r="K218" s="227">
        <f t="shared" si="96"/>
        <v>1220.4675048140618</v>
      </c>
      <c r="L218" s="227">
        <f t="shared" si="86"/>
        <v>7668.4234941378445</v>
      </c>
      <c r="M218" s="227">
        <f t="shared" si="74"/>
        <v>4571.983336082495</v>
      </c>
      <c r="N218" s="227">
        <f>SQRT((ABS(AC218)-171.5+'Small Signal'!C$59)^2)</f>
        <v>45.99272160605608</v>
      </c>
      <c r="O218" s="227">
        <f t="shared" si="87"/>
        <v>94.20581571409403</v>
      </c>
      <c r="P218" s="227">
        <f t="shared" si="88"/>
        <v>11.386989647573225</v>
      </c>
      <c r="Q218" s="227">
        <f t="shared" si="89"/>
        <v>1220.4675048140618</v>
      </c>
      <c r="R218" s="227" t="str">
        <f t="shared" si="75"/>
        <v>0.0945666666666667+0.0360415904224479i</v>
      </c>
      <c r="S218" s="227" t="str">
        <f t="shared" si="76"/>
        <v>0.0085-4.9942302182062i</v>
      </c>
      <c r="T218" s="227" t="str">
        <f t="shared" si="77"/>
        <v>1.66877329355335-4.35475946737151i</v>
      </c>
      <c r="U218" s="227" t="str">
        <f t="shared" si="78"/>
        <v>75.1730408394001-36.5248973967807i</v>
      </c>
      <c r="V218" s="227">
        <f t="shared" si="90"/>
        <v>38.441697802693035</v>
      </c>
      <c r="W218" s="227">
        <f t="shared" si="91"/>
        <v>-25.914079028924093</v>
      </c>
      <c r="X218" s="227" t="str">
        <f t="shared" si="79"/>
        <v>0.99998940770894-0.00095841132752853i</v>
      </c>
      <c r="Y218" s="227" t="str">
        <f t="shared" si="80"/>
        <v>91.9915661435876+53.4518854863816i</v>
      </c>
      <c r="Z218" s="227" t="str">
        <f t="shared" si="81"/>
        <v>47.9313661895728+27.7892031705893i</v>
      </c>
      <c r="AA218" s="227" t="str">
        <f t="shared" si="82"/>
        <v>6.57003210735369-9.56205801900951i</v>
      </c>
      <c r="AB218" s="227">
        <f t="shared" si="92"/>
        <v>21.290394954964089</v>
      </c>
      <c r="AC218" s="227">
        <f t="shared" si="93"/>
        <v>-55.507278393943913</v>
      </c>
      <c r="AD218" s="229">
        <f t="shared" si="94"/>
        <v>-9.9034053073908641</v>
      </c>
      <c r="AE218" s="229">
        <f t="shared" si="95"/>
        <v>149.71309410803795</v>
      </c>
      <c r="AF218" s="227">
        <f t="shared" si="83"/>
        <v>11.386989647573225</v>
      </c>
      <c r="AG218" s="227">
        <f t="shared" si="84"/>
        <v>94.20581571409403</v>
      </c>
      <c r="AH218" s="229" t="str">
        <f t="shared" si="85"/>
        <v>0.276119783140106-0.16126673410553i</v>
      </c>
    </row>
    <row r="219" spans="9:34" x14ac:dyDescent="0.2">
      <c r="I219" s="227">
        <v>215</v>
      </c>
      <c r="J219" s="227">
        <f t="shared" si="73"/>
        <v>3.096276343258431</v>
      </c>
      <c r="K219" s="227">
        <f t="shared" si="96"/>
        <v>1248.1774817727201</v>
      </c>
      <c r="L219" s="227">
        <f t="shared" si="86"/>
        <v>7842.5304142267705</v>
      </c>
      <c r="M219" s="227">
        <f t="shared" si="74"/>
        <v>4543.6442208468907</v>
      </c>
      <c r="N219" s="227">
        <f>SQRT((ABS(AC219)-171.5+'Small Signal'!C$59)^2)</f>
        <v>45.291455460873223</v>
      </c>
      <c r="O219" s="227">
        <f t="shared" si="87"/>
        <v>94.019400771033659</v>
      </c>
      <c r="P219" s="227">
        <f t="shared" si="88"/>
        <v>11.22019820365473</v>
      </c>
      <c r="Q219" s="227">
        <f t="shared" si="89"/>
        <v>1248.1774817727201</v>
      </c>
      <c r="R219" s="227" t="str">
        <f t="shared" si="75"/>
        <v>0.0945666666666667+0.0368598929468658i</v>
      </c>
      <c r="S219" s="227" t="str">
        <f t="shared" si="76"/>
        <v>0.0085-4.88335655937671i</v>
      </c>
      <c r="T219" s="227" t="str">
        <f t="shared" si="77"/>
        <v>1.60476896535915-4.28194259258238i</v>
      </c>
      <c r="U219" s="227" t="str">
        <f t="shared" si="78"/>
        <v>74.8993568284515-37.4746781667937i</v>
      </c>
      <c r="V219" s="227">
        <f t="shared" si="90"/>
        <v>38.459821792891681</v>
      </c>
      <c r="W219" s="227">
        <f t="shared" si="91"/>
        <v>-26.580348387888687</v>
      </c>
      <c r="X219" s="227" t="str">
        <f t="shared" si="79"/>
        <v>0.999988921265593-0.000980171477387479i</v>
      </c>
      <c r="Y219" s="227" t="str">
        <f t="shared" si="80"/>
        <v>93.4783034342058+54.378006582137i</v>
      </c>
      <c r="Z219" s="227" t="str">
        <f t="shared" si="81"/>
        <v>48.7066406756468+28.269666464754i</v>
      </c>
      <c r="AA219" s="227" t="str">
        <f t="shared" si="82"/>
        <v>6.36292771681149-9.50789490746489i</v>
      </c>
      <c r="AB219" s="227">
        <f t="shared" si="92"/>
        <v>21.168962305285064</v>
      </c>
      <c r="AC219" s="227">
        <f t="shared" si="93"/>
        <v>-56.208544539126777</v>
      </c>
      <c r="AD219" s="229">
        <f t="shared" si="94"/>
        <v>-9.9487641016303332</v>
      </c>
      <c r="AE219" s="229">
        <f t="shared" si="95"/>
        <v>150.22794531016044</v>
      </c>
      <c r="AF219" s="227">
        <f t="shared" si="83"/>
        <v>11.22019820365473</v>
      </c>
      <c r="AG219" s="227">
        <f t="shared" si="84"/>
        <v>94.019400771033659</v>
      </c>
      <c r="AH219" s="229" t="str">
        <f t="shared" si="85"/>
        <v>0.276112071511091-0.157952083314956i</v>
      </c>
    </row>
    <row r="220" spans="9:34" x14ac:dyDescent="0.2">
      <c r="I220" s="227">
        <v>216</v>
      </c>
      <c r="J220" s="227">
        <f t="shared" si="73"/>
        <v>3.1060264657852144</v>
      </c>
      <c r="K220" s="227">
        <f t="shared" si="96"/>
        <v>1276.5165970083247</v>
      </c>
      <c r="L220" s="227">
        <f t="shared" si="86"/>
        <v>8020.5903266935902</v>
      </c>
      <c r="M220" s="227">
        <f t="shared" si="74"/>
        <v>4514.6616831300553</v>
      </c>
      <c r="N220" s="227">
        <f>SQRT((ABS(AC220)-171.5+'Small Signal'!C$59)^2)</f>
        <v>44.592078144635622</v>
      </c>
      <c r="O220" s="227">
        <f t="shared" si="87"/>
        <v>93.827662552922476</v>
      </c>
      <c r="P220" s="227">
        <f t="shared" si="88"/>
        <v>11.052941367155981</v>
      </c>
      <c r="Q220" s="227">
        <f t="shared" si="89"/>
        <v>1276.5165970083247</v>
      </c>
      <c r="R220" s="227" t="str">
        <f t="shared" si="75"/>
        <v>0.0945666666666667+0.0376967745354599i</v>
      </c>
      <c r="S220" s="227" t="str">
        <f t="shared" si="76"/>
        <v>0.0085-4.77494433457911i</v>
      </c>
      <c r="T220" s="227" t="str">
        <f t="shared" si="77"/>
        <v>1.54290056674009-4.20943399014995i</v>
      </c>
      <c r="U220" s="227" t="str">
        <f t="shared" si="78"/>
        <v>74.6052640845688-38.4526592861629i</v>
      </c>
      <c r="V220" s="227">
        <f t="shared" si="90"/>
        <v>38.478534060966979</v>
      </c>
      <c r="W220" s="227">
        <f t="shared" si="91"/>
        <v>-27.267249719543727</v>
      </c>
      <c r="X220" s="227" t="str">
        <f t="shared" si="79"/>
        <v>0.999988412482685-0.00100242567829558i</v>
      </c>
      <c r="Y220" s="227" t="str">
        <f t="shared" si="80"/>
        <v>95.0391608414431+55.2985329728566i</v>
      </c>
      <c r="Z220" s="227" t="str">
        <f t="shared" si="81"/>
        <v>49.5205436780001+28.7471183822857i</v>
      </c>
      <c r="AA220" s="227" t="str">
        <f t="shared" si="82"/>
        <v>6.15825886565243-9.44960568686082i</v>
      </c>
      <c r="AB220" s="227">
        <f t="shared" si="92"/>
        <v>21.045526598860601</v>
      </c>
      <c r="AC220" s="227">
        <f t="shared" si="93"/>
        <v>-56.907921855364386</v>
      </c>
      <c r="AD220" s="229">
        <f t="shared" si="94"/>
        <v>-9.99258523170462</v>
      </c>
      <c r="AE220" s="229">
        <f t="shared" si="95"/>
        <v>150.73558440828685</v>
      </c>
      <c r="AF220" s="227">
        <f t="shared" si="83"/>
        <v>11.052941367155981</v>
      </c>
      <c r="AG220" s="227">
        <f t="shared" si="84"/>
        <v>93.827662552922476</v>
      </c>
      <c r="AH220" s="229" t="str">
        <f t="shared" si="85"/>
        <v>0.276104176006952-0.154717035810282i</v>
      </c>
    </row>
    <row r="221" spans="9:34" x14ac:dyDescent="0.2">
      <c r="I221" s="227">
        <v>217</v>
      </c>
      <c r="J221" s="227">
        <f t="shared" si="73"/>
        <v>3.1157765883119977</v>
      </c>
      <c r="K221" s="227">
        <f t="shared" si="96"/>
        <v>1305.4991347251598</v>
      </c>
      <c r="L221" s="227">
        <f t="shared" si="86"/>
        <v>8202.692981840788</v>
      </c>
      <c r="M221" s="227">
        <f t="shared" si="74"/>
        <v>4485.0211144134864</v>
      </c>
      <c r="N221" s="227">
        <f>SQRT((ABS(AC221)-171.5+'Small Signal'!C$59)^2)</f>
        <v>43.894815114538289</v>
      </c>
      <c r="O221" s="227">
        <f t="shared" si="87"/>
        <v>93.630706133471051</v>
      </c>
      <c r="P221" s="227">
        <f t="shared" si="88"/>
        <v>10.885207666587435</v>
      </c>
      <c r="Q221" s="227">
        <f t="shared" si="89"/>
        <v>1305.4991347251598</v>
      </c>
      <c r="R221" s="227" t="str">
        <f t="shared" si="75"/>
        <v>0.0945666666666667+0.0385526570146517i</v>
      </c>
      <c r="S221" s="227" t="str">
        <f t="shared" si="76"/>
        <v>0.0085-4.6689388991164i</v>
      </c>
      <c r="T221" s="227" t="str">
        <f t="shared" si="77"/>
        <v>1.48312221370681-4.1372894996641i</v>
      </c>
      <c r="U221" s="227" t="str">
        <f t="shared" si="78"/>
        <v>74.2890529372126-39.4596783198718i</v>
      </c>
      <c r="V221" s="227">
        <f t="shared" si="90"/>
        <v>38.497835033307652</v>
      </c>
      <c r="W221" s="227">
        <f t="shared" si="91"/>
        <v>-27.975636071390259</v>
      </c>
      <c r="X221" s="227" t="str">
        <f t="shared" si="79"/>
        <v>0.999987880334288-0.00102518514738326i</v>
      </c>
      <c r="Y221" s="227" t="str">
        <f t="shared" si="80"/>
        <v>96.6777931857093+56.2106853720322i</v>
      </c>
      <c r="Z221" s="227" t="str">
        <f t="shared" si="81"/>
        <v>50.3749776401787+29.2201052542181i</v>
      </c>
      <c r="AA221" s="227" t="str">
        <f t="shared" si="82"/>
        <v>5.95618538326895-9.38732394853542i</v>
      </c>
      <c r="AB221" s="227">
        <f t="shared" si="92"/>
        <v>20.920114265326841</v>
      </c>
      <c r="AC221" s="227">
        <f t="shared" si="93"/>
        <v>-57.605184885461711</v>
      </c>
      <c r="AD221" s="229">
        <f t="shared" si="94"/>
        <v>-10.034906598739406</v>
      </c>
      <c r="AE221" s="229">
        <f t="shared" si="95"/>
        <v>151.23589101893276</v>
      </c>
      <c r="AF221" s="227">
        <f t="shared" si="83"/>
        <v>10.885207666587435</v>
      </c>
      <c r="AG221" s="227">
        <f t="shared" si="84"/>
        <v>93.630706133471051</v>
      </c>
      <c r="AH221" s="229" t="str">
        <f t="shared" si="85"/>
        <v>0.276096080743069-0.151559960168189i</v>
      </c>
    </row>
    <row r="222" spans="9:34" x14ac:dyDescent="0.2">
      <c r="I222" s="227">
        <v>218</v>
      </c>
      <c r="J222" s="227">
        <f t="shared" si="73"/>
        <v>3.125526710838781</v>
      </c>
      <c r="K222" s="227">
        <f t="shared" si="96"/>
        <v>1335.1397034417289</v>
      </c>
      <c r="L222" s="227">
        <f t="shared" si="86"/>
        <v>8388.9301676971809</v>
      </c>
      <c r="M222" s="227">
        <f t="shared" si="74"/>
        <v>4454.7075745010943</v>
      </c>
      <c r="N222" s="227">
        <f>SQRT((ABS(AC222)-171.5+'Small Signal'!C$59)^2)</f>
        <v>43.199882050427803</v>
      </c>
      <c r="O222" s="227">
        <f t="shared" si="87"/>
        <v>93.428637024299078</v>
      </c>
      <c r="P222" s="227">
        <f t="shared" si="88"/>
        <v>10.716987133198657</v>
      </c>
      <c r="Q222" s="227">
        <f t="shared" si="89"/>
        <v>1335.1397034417289</v>
      </c>
      <c r="R222" s="227" t="str">
        <f t="shared" si="75"/>
        <v>0.0945666666666667+0.0394279717881768i</v>
      </c>
      <c r="S222" s="227" t="str">
        <f t="shared" si="76"/>
        <v>0.0085-4.56528682142297i</v>
      </c>
      <c r="T222" s="227" t="str">
        <f t="shared" si="77"/>
        <v>1.42538699900801-4.06556157621905i</v>
      </c>
      <c r="U222" s="227" t="str">
        <f t="shared" si="78"/>
        <v>73.9488613583289-40.4965645665983i</v>
      </c>
      <c r="V222" s="227">
        <f t="shared" si="90"/>
        <v>38.517722148739367</v>
      </c>
      <c r="W222" s="227">
        <f t="shared" si="91"/>
        <v>-28.706405266594327</v>
      </c>
      <c r="X222" s="227" t="str">
        <f t="shared" si="79"/>
        <v>0.999987323747359-0.00104846135645912i</v>
      </c>
      <c r="Y222" s="227" t="str">
        <f t="shared" si="80"/>
        <v>98.3979947112576+57.1113431831878i</v>
      </c>
      <c r="Z222" s="227" t="str">
        <f t="shared" si="81"/>
        <v>51.2719172942688+29.6869952540312i</v>
      </c>
      <c r="AA222" s="227" t="str">
        <f t="shared" si="82"/>
        <v>5.75685791063648-9.32119022809004i</v>
      </c>
      <c r="AB222" s="227">
        <f t="shared" si="92"/>
        <v>20.79275333975361</v>
      </c>
      <c r="AC222" s="227">
        <f t="shared" si="93"/>
        <v>-58.300117949572197</v>
      </c>
      <c r="AD222" s="229">
        <f t="shared" si="94"/>
        <v>-10.075766206554952</v>
      </c>
      <c r="AE222" s="229">
        <f t="shared" si="95"/>
        <v>151.72875497387128</v>
      </c>
      <c r="AF222" s="227">
        <f t="shared" si="83"/>
        <v>10.716987133198657</v>
      </c>
      <c r="AG222" s="227">
        <f t="shared" si="84"/>
        <v>93.428637024299078</v>
      </c>
      <c r="AH222" s="229" t="str">
        <f t="shared" si="85"/>
        <v>0.276087769435423-0.14847926420985i</v>
      </c>
    </row>
    <row r="223" spans="9:34" x14ac:dyDescent="0.2">
      <c r="I223" s="227">
        <v>219</v>
      </c>
      <c r="J223" s="227">
        <f t="shared" si="73"/>
        <v>3.1352768333655643</v>
      </c>
      <c r="K223" s="227">
        <f t="shared" si="96"/>
        <v>1365.4532433541208</v>
      </c>
      <c r="L223" s="227">
        <f t="shared" si="86"/>
        <v>8579.3957562833239</v>
      </c>
      <c r="M223" s="227">
        <f t="shared" si="74"/>
        <v>4423.7057839886666</v>
      </c>
      <c r="N223" s="227">
        <f>SQRT((ABS(AC223)-171.5+'Small Signal'!C$59)^2)</f>
        <v>42.507484411160107</v>
      </c>
      <c r="O223" s="227">
        <f t="shared" si="87"/>
        <v>93.22156051996302</v>
      </c>
      <c r="P223" s="227">
        <f t="shared" si="88"/>
        <v>10.548271289969431</v>
      </c>
      <c r="Q223" s="227">
        <f t="shared" si="89"/>
        <v>1365.4532433541208</v>
      </c>
      <c r="R223" s="227" t="str">
        <f t="shared" si="75"/>
        <v>0.0945666666666667+0.0403231600545316i</v>
      </c>
      <c r="S223" s="227" t="str">
        <f t="shared" si="76"/>
        <v>0.0085-4.46393585613266i</v>
      </c>
      <c r="T223" s="227" t="str">
        <f t="shared" si="77"/>
        <v>1.36964718895765-3.99429935504148i</v>
      </c>
      <c r="U223" s="227" t="str">
        <f t="shared" si="78"/>
        <v>73.5826617468235-41.5641305363357i</v>
      </c>
      <c r="V223" s="227">
        <f t="shared" si="90"/>
        <v>38.538189371933619</v>
      </c>
      <c r="W223" s="227">
        <f t="shared" si="91"/>
        <v>-29.460502237142553</v>
      </c>
      <c r="X223" s="227" t="str">
        <f t="shared" si="79"/>
        <v>0.999986741599575-0.00107226603779224i</v>
      </c>
      <c r="Y223" s="227" t="str">
        <f t="shared" si="80"/>
        <v>100.203693656966+57.9970074429874i</v>
      </c>
      <c r="Z223" s="227" t="str">
        <f t="shared" si="81"/>
        <v>52.2134067831589+30.1459590795524i</v>
      </c>
      <c r="AA223" s="227" t="str">
        <f t="shared" si="82"/>
        <v>5.56041756710738-9.25135127437054i</v>
      </c>
      <c r="AB223" s="227">
        <f t="shared" si="92"/>
        <v>20.663473373131648</v>
      </c>
      <c r="AC223" s="227">
        <f t="shared" si="93"/>
        <v>-58.992515588839893</v>
      </c>
      <c r="AD223" s="229">
        <f t="shared" si="94"/>
        <v>-10.115202083162217</v>
      </c>
      <c r="AE223" s="229">
        <f t="shared" si="95"/>
        <v>152.21407610880291</v>
      </c>
      <c r="AF223" s="227">
        <f t="shared" si="83"/>
        <v>10.548271289969431</v>
      </c>
      <c r="AG223" s="227">
        <f t="shared" si="84"/>
        <v>93.22156051996302</v>
      </c>
      <c r="AH223" s="229" t="str">
        <f t="shared" si="85"/>
        <v>0.276079225368065-0.145473394194473i</v>
      </c>
    </row>
    <row r="224" spans="9:34" x14ac:dyDescent="0.2">
      <c r="I224" s="227">
        <v>220</v>
      </c>
      <c r="J224" s="227">
        <f t="shared" si="73"/>
        <v>3.1450269558923485</v>
      </c>
      <c r="K224" s="227">
        <f t="shared" si="96"/>
        <v>1396.4550338665483</v>
      </c>
      <c r="L224" s="227">
        <f t="shared" si="86"/>
        <v>8774.1857509272686</v>
      </c>
      <c r="M224" s="227">
        <f t="shared" si="74"/>
        <v>4392.0001165623653</v>
      </c>
      <c r="N224" s="227">
        <f>SQRT((ABS(AC224)-171.5+'Small Signal'!C$59)^2)</f>
        <v>41.817817039089448</v>
      </c>
      <c r="O224" s="227">
        <f t="shared" si="87"/>
        <v>93.009581065687655</v>
      </c>
      <c r="P224" s="227">
        <f t="shared" si="88"/>
        <v>10.379053133828156</v>
      </c>
      <c r="Q224" s="227">
        <f t="shared" si="89"/>
        <v>1396.4550338665483</v>
      </c>
      <c r="R224" s="227" t="str">
        <f t="shared" si="75"/>
        <v>0.0945666666666667+0.0412386730293582i</v>
      </c>
      <c r="S224" s="227" t="str">
        <f t="shared" si="76"/>
        <v>0.0085-4.36483491774472i</v>
      </c>
      <c r="T224" s="227" t="str">
        <f t="shared" si="77"/>
        <v>1.31585440866185-3.92354872488827i</v>
      </c>
      <c r="U224" s="227" t="str">
        <f t="shared" si="78"/>
        <v>73.1882468341762-42.6631616587208i</v>
      </c>
      <c r="V224" s="227">
        <f t="shared" si="90"/>
        <v>38.559226644048167</v>
      </c>
      <c r="W224" s="227">
        <f t="shared" si="91"/>
        <v>-30.238921392967985</v>
      </c>
      <c r="X224" s="227" t="str">
        <f t="shared" si="79"/>
        <v>0.999986132717073-0.00109661119002577i</v>
      </c>
      <c r="Y224" s="227" t="str">
        <f t="shared" si="80"/>
        <v>102.098943865982+58.863760141609i</v>
      </c>
      <c r="Z224" s="227" t="str">
        <f t="shared" si="81"/>
        <v>53.201555234019+30.5949487493619i</v>
      </c>
      <c r="AA224" s="227" t="str">
        <f t="shared" si="82"/>
        <v>5.36699568298153-9.17795930600373i</v>
      </c>
      <c r="AB224" s="227">
        <f t="shared" si="92"/>
        <v>20.532305340019988</v>
      </c>
      <c r="AC224" s="227">
        <f t="shared" si="93"/>
        <v>-59.682182960910559</v>
      </c>
      <c r="AD224" s="229">
        <f t="shared" si="94"/>
        <v>-10.153252206191832</v>
      </c>
      <c r="AE224" s="229">
        <f t="shared" si="95"/>
        <v>152.69176402659821</v>
      </c>
      <c r="AF224" s="227">
        <f t="shared" si="83"/>
        <v>10.379053133828156</v>
      </c>
      <c r="AG224" s="227">
        <f t="shared" si="84"/>
        <v>93.009581065687655</v>
      </c>
      <c r="AH224" s="229" t="str">
        <f t="shared" si="85"/>
        <v>0.276070431359764-0.142540834031946i</v>
      </c>
    </row>
    <row r="225" spans="9:34" x14ac:dyDescent="0.2">
      <c r="I225" s="227">
        <v>221</v>
      </c>
      <c r="J225" s="227">
        <f t="shared" si="73"/>
        <v>3.1547770784191318</v>
      </c>
      <c r="K225" s="227">
        <f t="shared" si="96"/>
        <v>1428.1607012928498</v>
      </c>
      <c r="L225" s="227">
        <f t="shared" si="86"/>
        <v>8973.3983346545283</v>
      </c>
      <c r="M225" s="227">
        <f t="shared" si="74"/>
        <v>4359.5745911223294</v>
      </c>
      <c r="N225" s="227">
        <f>SQRT((ABS(AC225)-171.5+'Small Signal'!C$59)^2)</f>
        <v>41.131063813305246</v>
      </c>
      <c r="O225" s="227">
        <f t="shared" si="87"/>
        <v>92.792801651069738</v>
      </c>
      <c r="P225" s="227">
        <f t="shared" si="88"/>
        <v>10.209327111609262</v>
      </c>
      <c r="Q225" s="227">
        <f t="shared" si="89"/>
        <v>1428.1607012928498</v>
      </c>
      <c r="R225" s="227" t="str">
        <f t="shared" si="75"/>
        <v>0.0945666666666667+0.0421749721728763i</v>
      </c>
      <c r="S225" s="227" t="str">
        <f t="shared" si="76"/>
        <v>0.0085-4.26793405487442i</v>
      </c>
      <c r="T225" s="227" t="str">
        <f t="shared" si="77"/>
        <v>1.263959815614-3.85335240902849i</v>
      </c>
      <c r="U225" s="227" t="str">
        <f t="shared" si="78"/>
        <v>72.7632147376345-43.7944039286768i</v>
      </c>
      <c r="V225" s="227">
        <f t="shared" si="90"/>
        <v>38.580819263427962</v>
      </c>
      <c r="W225" s="227">
        <f t="shared" si="91"/>
        <v>-31.042709003554119</v>
      </c>
      <c r="X225" s="227" t="str">
        <f t="shared" si="79"/>
        <v>0.99998549587208-0.00112150908422481i</v>
      </c>
      <c r="Y225" s="227" t="str">
        <f t="shared" si="80"/>
        <v>104.087912776909+59.7072196907597i</v>
      </c>
      <c r="Z225" s="227" t="str">
        <f t="shared" si="81"/>
        <v>54.2385304399157+31.031674394784i</v>
      </c>
      <c r="AA225" s="227" t="str">
        <f t="shared" si="82"/>
        <v>5.17671359743584-9.10117126196097i</v>
      </c>
      <c r="AB225" s="227">
        <f t="shared" si="92"/>
        <v>20.399281544008719</v>
      </c>
      <c r="AC225" s="227">
        <f t="shared" si="93"/>
        <v>-60.368936186694761</v>
      </c>
      <c r="AD225" s="229">
        <f t="shared" si="94"/>
        <v>-10.189954432399457</v>
      </c>
      <c r="AE225" s="229">
        <f t="shared" si="95"/>
        <v>153.16173783776449</v>
      </c>
      <c r="AF225" s="227">
        <f t="shared" si="83"/>
        <v>10.209327111609262</v>
      </c>
      <c r="AG225" s="227">
        <f t="shared" si="84"/>
        <v>92.792801651069738</v>
      </c>
      <c r="AH225" s="229" t="str">
        <f t="shared" si="85"/>
        <v>0.276061369729737-0.139680104514167i</v>
      </c>
    </row>
    <row r="226" spans="9:34" x14ac:dyDescent="0.2">
      <c r="I226" s="227">
        <v>222</v>
      </c>
      <c r="J226" s="227">
        <f t="shared" si="73"/>
        <v>3.1645272009459151</v>
      </c>
      <c r="K226" s="227">
        <f t="shared" si="96"/>
        <v>1460.586226732886</v>
      </c>
      <c r="L226" s="227">
        <f t="shared" si="86"/>
        <v>9177.1339196769404</v>
      </c>
      <c r="M226" s="227">
        <f t="shared" si="74"/>
        <v>4326.4128637274935</v>
      </c>
      <c r="N226" s="227">
        <f>SQRT((ABS(AC226)-171.5+'Small Signal'!C$59)^2)</f>
        <v>40.44739735182533</v>
      </c>
      <c r="O226" s="227">
        <f t="shared" si="87"/>
        <v>92.571323232589421</v>
      </c>
      <c r="P226" s="227">
        <f t="shared" si="88"/>
        <v>10.039089090292599</v>
      </c>
      <c r="Q226" s="227">
        <f t="shared" si="89"/>
        <v>1460.586226732886</v>
      </c>
      <c r="R226" s="227" t="str">
        <f t="shared" si="75"/>
        <v>0.0945666666666667+0.0431325294224816i</v>
      </c>
      <c r="S226" s="227" t="str">
        <f t="shared" si="76"/>
        <v>0.0085-4.17318442507525i</v>
      </c>
      <c r="T226" s="227" t="str">
        <f t="shared" si="77"/>
        <v>1.213914261717-3.78375005268608i</v>
      </c>
      <c r="U226" s="227" t="str">
        <f t="shared" si="78"/>
        <v>72.304953218434-44.9585491553817i</v>
      </c>
      <c r="V226" s="227">
        <f t="shared" si="90"/>
        <v>38.60294718856408</v>
      </c>
      <c r="W226" s="227">
        <f t="shared" si="91"/>
        <v>-31.872965561762413</v>
      </c>
      <c r="X226" s="227" t="str">
        <f t="shared" si="79"/>
        <v>0.999984829780439-0.00114697227006156i</v>
      </c>
      <c r="Y226" s="227" t="str">
        <f t="shared" si="80"/>
        <v>106.17486502159+60.5224923366569i</v>
      </c>
      <c r="Z226" s="227" t="str">
        <f t="shared" si="81"/>
        <v>55.3265502451844+31.4535789427521i</v>
      </c>
      <c r="AA226" s="227" t="str">
        <f t="shared" si="82"/>
        <v>4.98968252071817-9.02114805238741i</v>
      </c>
      <c r="AB226" s="227">
        <f t="shared" si="92"/>
        <v>20.264435521643946</v>
      </c>
      <c r="AC226" s="227">
        <f t="shared" si="93"/>
        <v>-61.05260264817467</v>
      </c>
      <c r="AD226" s="229">
        <f t="shared" si="94"/>
        <v>-10.225346431351348</v>
      </c>
      <c r="AE226" s="229">
        <f t="shared" si="95"/>
        <v>153.62392588076409</v>
      </c>
      <c r="AF226" s="227">
        <f t="shared" si="83"/>
        <v>10.039089090292599</v>
      </c>
      <c r="AG226" s="227">
        <f t="shared" si="84"/>
        <v>92.571323232589421</v>
      </c>
      <c r="AH226" s="229" t="str">
        <f t="shared" si="85"/>
        <v>0.276052022262421-0.136889762564654i</v>
      </c>
    </row>
    <row r="227" spans="9:34" x14ac:dyDescent="0.2">
      <c r="I227" s="227">
        <v>223</v>
      </c>
      <c r="J227" s="227">
        <f t="shared" si="73"/>
        <v>3.1742773234726984</v>
      </c>
      <c r="K227" s="227">
        <f t="shared" si="96"/>
        <v>1493.7479541277221</v>
      </c>
      <c r="L227" s="227">
        <f t="shared" si="86"/>
        <v>9385.49519800487</v>
      </c>
      <c r="M227" s="227">
        <f t="shared" si="74"/>
        <v>4292.4982193574851</v>
      </c>
      <c r="N227" s="227">
        <f>SQRT((ABS(AC227)-171.5+'Small Signal'!C$59)^2)</f>
        <v>39.766978762554672</v>
      </c>
      <c r="O227" s="227">
        <f t="shared" si="87"/>
        <v>92.345244187314321</v>
      </c>
      <c r="P227" s="227">
        <f t="shared" si="88"/>
        <v>9.8683363220884619</v>
      </c>
      <c r="Q227" s="227">
        <f t="shared" si="89"/>
        <v>1493.7479541277221</v>
      </c>
      <c r="R227" s="227" t="str">
        <f t="shared" si="75"/>
        <v>0.0945666666666667+0.0441118274306229i</v>
      </c>
      <c r="S227" s="227" t="str">
        <f t="shared" si="76"/>
        <v>0.0085-4.08053827022007i</v>
      </c>
      <c r="T227" s="227" t="str">
        <f t="shared" si="77"/>
        <v>1.16566844387084-3.71477831588558i</v>
      </c>
      <c r="U227" s="227" t="str">
        <f t="shared" si="78"/>
        <v>71.8106232430371-46.1562174365485i</v>
      </c>
      <c r="V227" s="227">
        <f t="shared" si="90"/>
        <v>38.625584254879037</v>
      </c>
      <c r="W227" s="227">
        <f t="shared" si="91"/>
        <v>-32.730848091480937</v>
      </c>
      <c r="X227" s="227" t="str">
        <f t="shared" si="79"/>
        <v>0.999984133099019-0.00117301358214095i</v>
      </c>
      <c r="Y227" s="227" t="str">
        <f t="shared" si="80"/>
        <v>108.364140720206+61.3041193594458i</v>
      </c>
      <c r="Z227" s="227" t="str">
        <f t="shared" si="81"/>
        <v>56.4678711601747+31.857810608023i</v>
      </c>
      <c r="AA227" s="227" t="str">
        <f t="shared" si="82"/>
        <v>4.80600345888425-8.93805381563113i</v>
      </c>
      <c r="AB227" s="227">
        <f t="shared" si="92"/>
        <v>20.127801945447871</v>
      </c>
      <c r="AC227" s="227">
        <f t="shared" si="93"/>
        <v>-61.733021237445328</v>
      </c>
      <c r="AD227" s="229">
        <f t="shared" si="94"/>
        <v>-10.259465623359409</v>
      </c>
      <c r="AE227" s="229">
        <f t="shared" si="95"/>
        <v>154.07826542475965</v>
      </c>
      <c r="AF227" s="227">
        <f t="shared" si="83"/>
        <v>9.8683363220884619</v>
      </c>
      <c r="AG227" s="227">
        <f t="shared" si="84"/>
        <v>92.345244187314321</v>
      </c>
      <c r="AH227" s="229" t="str">
        <f t="shared" si="85"/>
        <v>0.276042370171194-0.134168400506026i</v>
      </c>
    </row>
    <row r="228" spans="9:34" x14ac:dyDescent="0.2">
      <c r="I228" s="227">
        <v>224</v>
      </c>
      <c r="J228" s="227">
        <f t="shared" si="73"/>
        <v>3.1840274459994817</v>
      </c>
      <c r="K228" s="227">
        <f t="shared" si="96"/>
        <v>1527.6625984977304</v>
      </c>
      <c r="L228" s="227">
        <f t="shared" si="86"/>
        <v>9598.5871932087266</v>
      </c>
      <c r="M228" s="227">
        <f t="shared" si="74"/>
        <v>4257.8135634874989</v>
      </c>
      <c r="N228" s="227">
        <f>SQRT((ABS(AC228)-171.5+'Small Signal'!C$59)^2)</f>
        <v>39.08995744245361</v>
      </c>
      <c r="O228" s="227">
        <f t="shared" si="87"/>
        <v>92.114659799745979</v>
      </c>
      <c r="P228" s="227">
        <f t="shared" si="88"/>
        <v>9.6970674049478873</v>
      </c>
      <c r="Q228" s="227">
        <f t="shared" si="89"/>
        <v>1527.6625984977304</v>
      </c>
      <c r="R228" s="227" t="str">
        <f t="shared" si="75"/>
        <v>0.0945666666666667+0.045113359808081i</v>
      </c>
      <c r="S228" s="227" t="str">
        <f t="shared" si="76"/>
        <v>0.0085-3.98994889242892i</v>
      </c>
      <c r="T228" s="227" t="str">
        <f t="shared" si="77"/>
        <v>1.11917304333311-3.64647097071171i</v>
      </c>
      <c r="U228" s="227" t="str">
        <f t="shared" si="78"/>
        <v>71.2771419977076-47.3879364330973i</v>
      </c>
      <c r="V228" s="227">
        <f t="shared" si="90"/>
        <v>38.648697296306324</v>
      </c>
      <c r="W228" s="227">
        <f t="shared" si="91"/>
        <v>-33.617572350919993</v>
      </c>
      <c r="X228" s="227" t="str">
        <f t="shared" si="79"/>
        <v>0.999983404423005-0.00119964614646987i</v>
      </c>
      <c r="Y228" s="227" t="str">
        <f t="shared" si="80"/>
        <v>110.660127412349+62.0460199671138i</v>
      </c>
      <c r="Z228" s="227" t="str">
        <f t="shared" si="81"/>
        <v>57.6647736517738+32.2411931481363i</v>
      </c>
      <c r="AA228" s="227" t="str">
        <f t="shared" si="82"/>
        <v>4.62576719878967-8.85205518703873i</v>
      </c>
      <c r="AB228" s="227">
        <f t="shared" si="92"/>
        <v>19.989416526647844</v>
      </c>
      <c r="AC228" s="227">
        <f t="shared" si="93"/>
        <v>-62.41004255754639</v>
      </c>
      <c r="AD228" s="229">
        <f t="shared" si="94"/>
        <v>-10.292349121699957</v>
      </c>
      <c r="AE228" s="229">
        <f t="shared" si="95"/>
        <v>154.52470235729237</v>
      </c>
      <c r="AF228" s="227">
        <f t="shared" si="83"/>
        <v>9.6970674049478873</v>
      </c>
      <c r="AG228" s="227">
        <f t="shared" si="84"/>
        <v>92.114659799745979</v>
      </c>
      <c r="AH228" s="229" t="str">
        <f t="shared" si="85"/>
        <v>0.276032394060988-0.131514645344976i</v>
      </c>
    </row>
    <row r="229" spans="9:34" x14ac:dyDescent="0.2">
      <c r="I229" s="227">
        <v>225</v>
      </c>
      <c r="J229" s="227">
        <f t="shared" si="73"/>
        <v>3.193777568526265</v>
      </c>
      <c r="K229" s="227">
        <f t="shared" si="96"/>
        <v>1562.347254367716</v>
      </c>
      <c r="L229" s="227">
        <f t="shared" si="86"/>
        <v>9816.5173133556</v>
      </c>
      <c r="M229" s="227">
        <f t="shared" si="74"/>
        <v>4222.3414134718823</v>
      </c>
      <c r="N229" s="227">
        <f>SQRT((ABS(AC229)-171.5+'Small Signal'!C$59)^2)</f>
        <v>38.416470923993302</v>
      </c>
      <c r="O229" s="227">
        <f t="shared" si="87"/>
        <v>91.879661783309757</v>
      </c>
      <c r="P229" s="227">
        <f t="shared" si="88"/>
        <v>9.5252822390822924</v>
      </c>
      <c r="Q229" s="227">
        <f t="shared" si="89"/>
        <v>1562.347254367716</v>
      </c>
      <c r="R229" s="227" t="str">
        <f t="shared" si="75"/>
        <v>0.0945666666666667+0.0461376313727713i</v>
      </c>
      <c r="S229" s="227" t="str">
        <f t="shared" si="76"/>
        <v>0.0085-3.90137063053109i</v>
      </c>
      <c r="T229" s="227" t="str">
        <f t="shared" si="77"/>
        <v>1.07437885411935-3.57885900206257i</v>
      </c>
      <c r="U229" s="227" t="str">
        <f t="shared" si="78"/>
        <v>70.701165573405-48.6541169704832i</v>
      </c>
      <c r="V229" s="227">
        <f t="shared" si="90"/>
        <v>38.672245162089411</v>
      </c>
      <c r="W229" s="227">
        <f t="shared" si="91"/>
        <v>-34.534414871742328</v>
      </c>
      <c r="X229" s="227" t="str">
        <f t="shared" si="79"/>
        <v>0.99998264228307-0.00122688338707325i</v>
      </c>
      <c r="Y229" s="227" t="str">
        <f t="shared" si="80"/>
        <v>113.067224392495+62.7414298876182i</v>
      </c>
      <c r="Z229" s="227" t="str">
        <f t="shared" si="81"/>
        <v>58.9195434674615+32.6001938846124i</v>
      </c>
      <c r="AA229" s="227" t="str">
        <f t="shared" si="82"/>
        <v>4.44905435054103-8.7633205846636i</v>
      </c>
      <c r="AB229" s="227">
        <f t="shared" si="92"/>
        <v>19.849315918201839</v>
      </c>
      <c r="AC229" s="227">
        <f t="shared" si="93"/>
        <v>-63.083529076006698</v>
      </c>
      <c r="AD229" s="229">
        <f t="shared" si="94"/>
        <v>-10.324033679119546</v>
      </c>
      <c r="AE229" s="229">
        <f t="shared" si="95"/>
        <v>154.96319085931646</v>
      </c>
      <c r="AF229" s="227">
        <f t="shared" si="83"/>
        <v>9.5252822390822924</v>
      </c>
      <c r="AG229" s="227">
        <f t="shared" si="84"/>
        <v>91.879661783309757</v>
      </c>
      <c r="AH229" s="229" t="str">
        <f t="shared" si="85"/>
        <v>0.276022073889735-0.128927158074344i</v>
      </c>
    </row>
    <row r="230" spans="9:34" x14ac:dyDescent="0.2">
      <c r="I230" s="227">
        <v>226</v>
      </c>
      <c r="J230" s="227">
        <f t="shared" si="73"/>
        <v>3.2035276910530484</v>
      </c>
      <c r="K230" s="227">
        <f t="shared" si="96"/>
        <v>1597.8194043833332</v>
      </c>
      <c r="L230" s="227">
        <f t="shared" si="86"/>
        <v>10039.395405147798</v>
      </c>
      <c r="M230" s="227">
        <f t="shared" si="74"/>
        <v>4186.0638897320714</v>
      </c>
      <c r="N230" s="227">
        <f>SQRT((ABS(AC230)-171.5+'Small Signal'!C$59)^2)</f>
        <v>37.74664476768352</v>
      </c>
      <c r="O230" s="227">
        <f t="shared" si="87"/>
        <v>91.640337837592099</v>
      </c>
      <c r="P230" s="227">
        <f t="shared" si="88"/>
        <v>9.3529819800766525</v>
      </c>
      <c r="Q230" s="227">
        <f t="shared" si="89"/>
        <v>1597.8194043833332</v>
      </c>
      <c r="R230" s="227" t="str">
        <f t="shared" si="75"/>
        <v>0.0945666666666667+0.0471851584041946i</v>
      </c>
      <c r="S230" s="227" t="str">
        <f t="shared" si="76"/>
        <v>0.0085-3.81475883704987i</v>
      </c>
      <c r="T230" s="227" t="str">
        <f t="shared" si="77"/>
        <v>1.03123690076023-3.51197071104696i</v>
      </c>
      <c r="U230" s="227" t="str">
        <f t="shared" si="78"/>
        <v>70.0790716220344-49.9550244437773i</v>
      </c>
      <c r="V230" s="227">
        <f t="shared" si="90"/>
        <v>38.69617761878802</v>
      </c>
      <c r="W230" s="227">
        <f t="shared" si="91"/>
        <v>-35.482714760421132</v>
      </c>
      <c r="X230" s="227" t="str">
        <f t="shared" si="79"/>
        <v>0.999981845142407-0.00125473903276038i</v>
      </c>
      <c r="Y230" s="227" t="str">
        <f t="shared" si="80"/>
        <v>115.589798030335+63.3828357955105i</v>
      </c>
      <c r="Z230" s="227" t="str">
        <f t="shared" si="81"/>
        <v>60.2344482527885+32.9308895632527i</v>
      </c>
      <c r="AA230" s="227" t="str">
        <f t="shared" si="82"/>
        <v>4.27593544417968-8.67201951657023i</v>
      </c>
      <c r="AB230" s="227">
        <f t="shared" si="92"/>
        <v>19.707537618680483</v>
      </c>
      <c r="AC230" s="227">
        <f t="shared" si="93"/>
        <v>-63.75335523231648</v>
      </c>
      <c r="AD230" s="229">
        <f t="shared" si="94"/>
        <v>-10.354555638603831</v>
      </c>
      <c r="AE230" s="229">
        <f t="shared" si="95"/>
        <v>155.39369306990858</v>
      </c>
      <c r="AF230" s="227">
        <f t="shared" si="83"/>
        <v>9.3529819800766525</v>
      </c>
      <c r="AG230" s="227">
        <f t="shared" si="84"/>
        <v>91.640337837592099</v>
      </c>
      <c r="AH230" s="229" t="str">
        <f t="shared" si="85"/>
        <v>0.276011388928537-0.12640463299191i</v>
      </c>
    </row>
    <row r="231" spans="9:34" x14ac:dyDescent="0.2">
      <c r="I231" s="227">
        <v>227</v>
      </c>
      <c r="J231" s="227">
        <f t="shared" si="73"/>
        <v>3.2132778135798317</v>
      </c>
      <c r="K231" s="227">
        <f t="shared" si="96"/>
        <v>1634.0969281231435</v>
      </c>
      <c r="L231" s="227">
        <f t="shared" si="86"/>
        <v>10267.333809290631</v>
      </c>
      <c r="M231" s="227">
        <f t="shared" si="74"/>
        <v>4148.962706744489</v>
      </c>
      <c r="N231" s="227">
        <f>SQRT((ABS(AC231)-171.5+'Small Signal'!C$59)^2)</f>
        <v>37.080592499147315</v>
      </c>
      <c r="O231" s="227">
        <f t="shared" si="87"/>
        <v>91.396771242012079</v>
      </c>
      <c r="P231" s="227">
        <f t="shared" si="88"/>
        <v>9.1801689891711078</v>
      </c>
      <c r="Q231" s="227">
        <f t="shared" si="89"/>
        <v>1634.0969281231435</v>
      </c>
      <c r="R231" s="227" t="str">
        <f t="shared" si="75"/>
        <v>0.0945666666666667+0.048256468903666i</v>
      </c>
      <c r="S231" s="227" t="str">
        <f t="shared" si="76"/>
        <v>0.0085-3.73006985569816i</v>
      </c>
      <c r="T231" s="227" t="str">
        <f t="shared" si="77"/>
        <v>0.989698545774267-3.44583182024522i</v>
      </c>
      <c r="U231" s="227" t="str">
        <f t="shared" si="78"/>
        <v>69.406942389886-51.2907454564411i</v>
      </c>
      <c r="V231" s="227">
        <f t="shared" si="90"/>
        <v>38.720434127202275</v>
      </c>
      <c r="W231" s="227">
        <f t="shared" si="91"/>
        <v>-36.463875171999682</v>
      </c>
      <c r="X231" s="227" t="str">
        <f t="shared" si="79"/>
        <v>0.999981011393632-0.00128322712404489i</v>
      </c>
      <c r="Y231" s="227" t="str">
        <f t="shared" si="80"/>
        <v>118.232126452433+63.9619058886316i</v>
      </c>
      <c r="Z231" s="227" t="str">
        <f t="shared" si="81"/>
        <v>61.6117086160248+33.2289302201614i</v>
      </c>
      <c r="AA231" s="227" t="str">
        <f t="shared" si="82"/>
        <v>4.10647107700016-8.57832191392158i</v>
      </c>
      <c r="AB231" s="227">
        <f t="shared" si="92"/>
        <v>19.564119877528643</v>
      </c>
      <c r="AC231" s="227">
        <f t="shared" si="93"/>
        <v>-64.419407500852685</v>
      </c>
      <c r="AD231" s="229">
        <f t="shared" si="94"/>
        <v>-10.383950888357536</v>
      </c>
      <c r="AE231" s="229">
        <f t="shared" si="95"/>
        <v>155.81617874286476</v>
      </c>
      <c r="AF231" s="227">
        <f t="shared" si="83"/>
        <v>9.1801689891711078</v>
      </c>
      <c r="AG231" s="227">
        <f t="shared" si="84"/>
        <v>91.396771242012079</v>
      </c>
      <c r="AH231" s="229" t="str">
        <f t="shared" si="85"/>
        <v>0.276000317720526-0.123945797035538i</v>
      </c>
    </row>
    <row r="232" spans="9:34" x14ac:dyDescent="0.2">
      <c r="I232" s="227">
        <v>228</v>
      </c>
      <c r="J232" s="227">
        <f t="shared" si="73"/>
        <v>3.223027936106615</v>
      </c>
      <c r="K232" s="227">
        <f t="shared" si="96"/>
        <v>1671.1981111107257</v>
      </c>
      <c r="L232" s="227">
        <f t="shared" si="86"/>
        <v>10500.44741711719</v>
      </c>
      <c r="M232" s="227">
        <f t="shared" si="74"/>
        <v>4111.0191638237884</v>
      </c>
      <c r="N232" s="227">
        <f>SQRT((ABS(AC232)-171.5+'Small Signal'!C$59)^2)</f>
        <v>36.418415588975918</v>
      </c>
      <c r="O232" s="227">
        <f t="shared" si="87"/>
        <v>91.149040486246903</v>
      </c>
      <c r="P232" s="227">
        <f t="shared" si="88"/>
        <v>9.0068467812746</v>
      </c>
      <c r="Q232" s="227">
        <f t="shared" si="89"/>
        <v>1671.1981111107257</v>
      </c>
      <c r="R232" s="227" t="str">
        <f t="shared" si="75"/>
        <v>0.0945666666666667+0.0493521028604508i</v>
      </c>
      <c r="S232" s="227" t="str">
        <f t="shared" si="76"/>
        <v>0.0085-3.64726099937367i</v>
      </c>
      <c r="T232" s="227" t="str">
        <f t="shared" si="77"/>
        <v>0.949715587248095-3.38046558012172i</v>
      </c>
      <c r="U232" s="227" t="str">
        <f t="shared" si="78"/>
        <v>68.6805486634187-52.6611490809685i</v>
      </c>
      <c r="V232" s="227">
        <f t="shared" si="90"/>
        <v>38.744942483885445</v>
      </c>
      <c r="W232" s="227">
        <f t="shared" si="91"/>
        <v>-37.479364347475162</v>
      </c>
      <c r="X232" s="227" t="str">
        <f t="shared" si="79"/>
        <v>0.999980139355544-0.00131236202022177i</v>
      </c>
      <c r="Y232" s="227" t="str">
        <f t="shared" si="80"/>
        <v>120.998331745266+64.4694171676416i</v>
      </c>
      <c r="Z232" s="227" t="str">
        <f t="shared" si="81"/>
        <v>63.0534626811628+33.4895013440725i</v>
      </c>
      <c r="AA232" s="227" t="str">
        <f t="shared" si="82"/>
        <v>3.94071210761531-8.4823974935229i</v>
      </c>
      <c r="AB232" s="227">
        <f t="shared" si="92"/>
        <v>19.419101602196658</v>
      </c>
      <c r="AC232" s="227">
        <f t="shared" si="93"/>
        <v>-65.081584411024082</v>
      </c>
      <c r="AD232" s="229">
        <f t="shared" si="94"/>
        <v>-10.412254820922058</v>
      </c>
      <c r="AE232" s="229">
        <f t="shared" si="95"/>
        <v>156.23062489727099</v>
      </c>
      <c r="AF232" s="227">
        <f t="shared" si="83"/>
        <v>9.0068467812746</v>
      </c>
      <c r="AG232" s="227">
        <f t="shared" si="84"/>
        <v>91.149040486246903</v>
      </c>
      <c r="AH232" s="229" t="str">
        <f t="shared" si="85"/>
        <v>0.275988838038318-0.121549409134313i</v>
      </c>
    </row>
    <row r="233" spans="9:34" x14ac:dyDescent="0.2">
      <c r="I233" s="227">
        <v>229</v>
      </c>
      <c r="J233" s="227">
        <f t="shared" si="73"/>
        <v>3.2327780586333987</v>
      </c>
      <c r="K233" s="227">
        <f t="shared" si="96"/>
        <v>1709.1416540314265</v>
      </c>
      <c r="L233" s="227">
        <f t="shared" si="86"/>
        <v>10738.853728498874</v>
      </c>
      <c r="M233" s="227">
        <f t="shared" si="74"/>
        <v>4072.2141356968768</v>
      </c>
      <c r="N233" s="227">
        <f>SQRT((ABS(AC233)-171.5+'Small Signal'!C$59)^2)</f>
        <v>35.760203473376563</v>
      </c>
      <c r="O233" s="227">
        <f t="shared" si="87"/>
        <v>90.897218937385233</v>
      </c>
      <c r="P233" s="227">
        <f t="shared" si="88"/>
        <v>8.8330199712511828</v>
      </c>
      <c r="Q233" s="227">
        <f t="shared" si="89"/>
        <v>1709.1416540314265</v>
      </c>
      <c r="R233" s="227" t="str">
        <f t="shared" si="75"/>
        <v>0.0945666666666667+0.0504726125239447i</v>
      </c>
      <c r="S233" s="227" t="str">
        <f t="shared" si="76"/>
        <v>0.0085-3.56629052864276i</v>
      </c>
      <c r="T233" s="227" t="str">
        <f t="shared" si="77"/>
        <v>0.911240346942649-3.31589287594341i</v>
      </c>
      <c r="U233" s="227" t="str">
        <f t="shared" si="78"/>
        <v>67.8953353203755-54.0658420979764i</v>
      </c>
      <c r="V233" s="227">
        <f t="shared" si="90"/>
        <v>38.769617317209743</v>
      </c>
      <c r="W233" s="227">
        <f t="shared" si="91"/>
        <v>-38.530716084094287</v>
      </c>
      <c r="X233" s="227" t="str">
        <f t="shared" si="79"/>
        <v>0.999979227269735-0.00134215840660512i</v>
      </c>
      <c r="Y233" s="227" t="str">
        <f t="shared" si="80"/>
        <v>123.892297617287+64.8951802796725i</v>
      </c>
      <c r="Z233" s="227" t="str">
        <f t="shared" si="81"/>
        <v>64.5617230548648+33.7072847867408i</v>
      </c>
      <c r="AA233" s="227" t="str">
        <f t="shared" si="82"/>
        <v>3.77869989265447-8.38441515296435i</v>
      </c>
      <c r="AB233" s="227">
        <f t="shared" si="92"/>
        <v>19.27252226758845</v>
      </c>
      <c r="AC233" s="227">
        <f t="shared" si="93"/>
        <v>-65.739796526623437</v>
      </c>
      <c r="AD233" s="229">
        <f t="shared" si="94"/>
        <v>-10.439502296337267</v>
      </c>
      <c r="AE233" s="229">
        <f t="shared" si="95"/>
        <v>156.63701546400867</v>
      </c>
      <c r="AF233" s="227">
        <f t="shared" si="83"/>
        <v>8.8330199712511828</v>
      </c>
      <c r="AG233" s="227">
        <f t="shared" si="84"/>
        <v>90.897218937385233</v>
      </c>
      <c r="AH233" s="229" t="str">
        <f t="shared" si="85"/>
        <v>0.275976926839953-0.119214259575293i</v>
      </c>
    </row>
    <row r="234" spans="9:34" x14ac:dyDescent="0.2">
      <c r="I234" s="227">
        <v>230</v>
      </c>
      <c r="J234" s="227">
        <f t="shared" si="73"/>
        <v>3.242528181160182</v>
      </c>
      <c r="K234" s="227">
        <f t="shared" si="96"/>
        <v>1747.9466821583385</v>
      </c>
      <c r="L234" s="227">
        <f t="shared" si="86"/>
        <v>10982.672911070578</v>
      </c>
      <c r="M234" s="227">
        <f t="shared" si="74"/>
        <v>4032.5280628628871</v>
      </c>
      <c r="N234" s="227">
        <f>SQRT((ABS(AC234)-171.5+'Small Signal'!C$59)^2)</f>
        <v>35.106033613433695</v>
      </c>
      <c r="O234" s="227">
        <f t="shared" si="87"/>
        <v>90.641374543458099</v>
      </c>
      <c r="P234" s="227">
        <f t="shared" si="88"/>
        <v>8.6586942190003615</v>
      </c>
      <c r="Q234" s="227">
        <f t="shared" si="89"/>
        <v>1747.9466821583385</v>
      </c>
      <c r="R234" s="227" t="str">
        <f t="shared" si="75"/>
        <v>0.0945666666666667+0.0516185626820317i</v>
      </c>
      <c r="S234" s="227" t="str">
        <f t="shared" si="76"/>
        <v>0.0085-3.48711763070182i</v>
      </c>
      <c r="T234" s="227" t="str">
        <f t="shared" si="77"/>
        <v>0.874225749363096-3.25213233462349i</v>
      </c>
      <c r="U234" s="227" t="str">
        <f t="shared" si="78"/>
        <v>67.046409369618-55.5041175553473i</v>
      </c>
      <c r="V234" s="227">
        <f t="shared" si="90"/>
        <v>38.794358428698331</v>
      </c>
      <c r="W234" s="227">
        <f t="shared" si="91"/>
        <v>-39.619529482682644</v>
      </c>
      <c r="X234" s="227" t="str">
        <f t="shared" si="79"/>
        <v>0.999978273297041-0.00137263130193023i</v>
      </c>
      <c r="Y234" s="227" t="str">
        <f t="shared" si="80"/>
        <v>126.91757023904+65.2279631822209i</v>
      </c>
      <c r="Z234" s="227" t="str">
        <f t="shared" si="81"/>
        <v>66.1383250194379+33.8764190793289i</v>
      </c>
      <c r="AA234" s="227" t="str">
        <f t="shared" si="82"/>
        <v>3.62046656182616-8.28454240097656i</v>
      </c>
      <c r="AB234" s="227">
        <f t="shared" si="92"/>
        <v>19.124421828233992</v>
      </c>
      <c r="AC234" s="227">
        <f t="shared" si="93"/>
        <v>-66.393966386566305</v>
      </c>
      <c r="AD234" s="229">
        <f t="shared" si="94"/>
        <v>-10.46572760923363</v>
      </c>
      <c r="AE234" s="229">
        <f t="shared" si="95"/>
        <v>157.0353409300244</v>
      </c>
      <c r="AF234" s="227">
        <f t="shared" si="83"/>
        <v>8.6586942190003615</v>
      </c>
      <c r="AG234" s="227">
        <f t="shared" si="84"/>
        <v>90.641374543458099</v>
      </c>
      <c r="AH234" s="229" t="str">
        <f t="shared" si="85"/>
        <v>0.275964560223305-0.116939169385548i</v>
      </c>
    </row>
    <row r="235" spans="9:34" x14ac:dyDescent="0.2">
      <c r="I235" s="227">
        <v>231</v>
      </c>
      <c r="J235" s="227">
        <f t="shared" si="73"/>
        <v>3.2522783036869654</v>
      </c>
      <c r="K235" s="227">
        <f t="shared" si="96"/>
        <v>1787.632754992328</v>
      </c>
      <c r="L235" s="227">
        <f t="shared" si="86"/>
        <v>11232.027860800761</v>
      </c>
      <c r="M235" s="227">
        <f t="shared" si="74"/>
        <v>3991.9409417343104</v>
      </c>
      <c r="N235" s="227">
        <f>SQRT((ABS(AC235)-171.5+'Small Signal'!C$59)^2)</f>
        <v>34.455971590665854</v>
      </c>
      <c r="O235" s="227">
        <f t="shared" si="87"/>
        <v>90.381569572718803</v>
      </c>
      <c r="P235" s="227">
        <f t="shared" si="88"/>
        <v>8.4838761738207964</v>
      </c>
      <c r="Q235" s="227">
        <f t="shared" si="89"/>
        <v>1787.632754992328</v>
      </c>
      <c r="R235" s="227" t="str">
        <f t="shared" si="75"/>
        <v>0.0945666666666667+0.0527905309457636i</v>
      </c>
      <c r="S235" s="227" t="str">
        <f t="shared" si="76"/>
        <v>0.0085-3.40970239880577i</v>
      </c>
      <c r="T235" s="227" t="str">
        <f t="shared" si="77"/>
        <v>0.838625392243803-3.18920043097063i</v>
      </c>
      <c r="U235" s="227" t="str">
        <f t="shared" si="78"/>
        <v>66.1285315898043-56.9748959993238i</v>
      </c>
      <c r="V235" s="227">
        <f t="shared" si="90"/>
        <v>38.819048971692482</v>
      </c>
      <c r="W235" s="227">
        <f t="shared" si="91"/>
        <v>-40.747467787610802</v>
      </c>
      <c r="X235" s="227" t="str">
        <f t="shared" si="79"/>
        <v>0.999977275513837-0.00140379606592369i</v>
      </c>
      <c r="Y235" s="227" t="str">
        <f t="shared" si="80"/>
        <v>130.077239780537+65.4554153810837i</v>
      </c>
      <c r="Z235" s="227" t="str">
        <f t="shared" si="81"/>
        <v>67.7848646603475+33.9904600725125i</v>
      </c>
      <c r="AA235" s="227" t="str">
        <f t="shared" si="82"/>
        <v>3.46603532698886-8.18294482508807i</v>
      </c>
      <c r="AB235" s="227">
        <f t="shared" si="92"/>
        <v>18.974840633550343</v>
      </c>
      <c r="AC235" s="227">
        <f t="shared" si="93"/>
        <v>-67.044028409334146</v>
      </c>
      <c r="AD235" s="229">
        <f t="shared" si="94"/>
        <v>-10.490964459729547</v>
      </c>
      <c r="AE235" s="229">
        <f t="shared" si="95"/>
        <v>157.42559798205295</v>
      </c>
      <c r="AF235" s="227">
        <f t="shared" si="83"/>
        <v>8.4838761738207964</v>
      </c>
      <c r="AG235" s="227">
        <f t="shared" si="84"/>
        <v>90.381569572718803</v>
      </c>
      <c r="AH235" s="229" t="str">
        <f t="shared" si="85"/>
        <v>0.275951713378803-0.114722989729117i</v>
      </c>
    </row>
    <row r="236" spans="9:34" x14ac:dyDescent="0.2">
      <c r="I236" s="227">
        <v>232</v>
      </c>
      <c r="J236" s="227">
        <f t="shared" si="73"/>
        <v>3.2620284262137487</v>
      </c>
      <c r="K236" s="227">
        <f t="shared" si="96"/>
        <v>1828.2198761209047</v>
      </c>
      <c r="L236" s="227">
        <f t="shared" si="86"/>
        <v>11487.044263936552</v>
      </c>
      <c r="M236" s="227">
        <f t="shared" si="74"/>
        <v>3950.4323145542803</v>
      </c>
      <c r="N236" s="227">
        <f>SQRT((ABS(AC236)-171.5+'Small Signal'!C$59)^2)</f>
        <v>33.810071236429408</v>
      </c>
      <c r="O236" s="227">
        <f t="shared" si="87"/>
        <v>90.117860387781818</v>
      </c>
      <c r="P236" s="227">
        <f t="shared" si="88"/>
        <v>8.3085734185214992</v>
      </c>
      <c r="Q236" s="227">
        <f t="shared" si="89"/>
        <v>1828.2198761209047</v>
      </c>
      <c r="R236" s="227" t="str">
        <f t="shared" si="75"/>
        <v>0.0945666666666667+0.0539891080405018i</v>
      </c>
      <c r="S236" s="227" t="str">
        <f t="shared" si="76"/>
        <v>0.0085-3.3340058121532i</v>
      </c>
      <c r="T236" s="227" t="str">
        <f t="shared" si="77"/>
        <v>0.80439360890789-3.12711159288327i</v>
      </c>
      <c r="U236" s="227" t="str">
        <f t="shared" si="78"/>
        <v>65.1361131431215-58.4766587762282i</v>
      </c>
      <c r="V236" s="227">
        <f t="shared" si="90"/>
        <v>38.843553461571517</v>
      </c>
      <c r="W236" s="227">
        <f t="shared" si="91"/>
        <v>-41.916256103102967</v>
      </c>
      <c r="X236" s="227" t="str">
        <f t="shared" si="79"/>
        <v>0.999976231908157-0.0014356684070454i</v>
      </c>
      <c r="Y236" s="227" t="str">
        <f t="shared" si="80"/>
        <v>133.373800005175+65.5639951142114i</v>
      </c>
      <c r="Z236" s="227" t="str">
        <f t="shared" si="81"/>
        <v>69.5026255541549+34.0423431405466i</v>
      </c>
      <c r="AA236" s="227" t="str">
        <f t="shared" si="82"/>
        <v>3.31542082084452-8.07978559816651i</v>
      </c>
      <c r="AB236" s="227">
        <f t="shared" si="92"/>
        <v>18.823819346514117</v>
      </c>
      <c r="AC236" s="227">
        <f t="shared" si="93"/>
        <v>-67.689928763570592</v>
      </c>
      <c r="AD236" s="229">
        <f t="shared" si="94"/>
        <v>-10.515245927992618</v>
      </c>
      <c r="AE236" s="229">
        <f t="shared" si="95"/>
        <v>157.80778915135241</v>
      </c>
      <c r="AF236" s="227">
        <f t="shared" si="83"/>
        <v>8.3085734185214992</v>
      </c>
      <c r="AG236" s="227">
        <f t="shared" si="84"/>
        <v>90.117860387781818</v>
      </c>
      <c r="AH236" s="229" t="str">
        <f t="shared" si="85"/>
        <v>0.275938360540434-0.112564601318545i</v>
      </c>
    </row>
    <row r="237" spans="9:34" x14ac:dyDescent="0.2">
      <c r="I237" s="227">
        <v>233</v>
      </c>
      <c r="J237" s="227">
        <f t="shared" si="73"/>
        <v>3.271778548740532</v>
      </c>
      <c r="K237" s="227">
        <f t="shared" si="96"/>
        <v>1869.728503300935</v>
      </c>
      <c r="L237" s="227">
        <f t="shared" si="86"/>
        <v>11747.850660355314</v>
      </c>
      <c r="M237" s="227">
        <f t="shared" si="74"/>
        <v>3907.9812590849169</v>
      </c>
      <c r="N237" s="227">
        <f>SQRT((ABS(AC237)-171.5+'Small Signal'!C$59)^2)</f>
        <v>33.168374792652671</v>
      </c>
      <c r="O237" s="227">
        <f t="shared" si="87"/>
        <v>89.850297253514967</v>
      </c>
      <c r="P237" s="227">
        <f t="shared" si="88"/>
        <v>8.132794413705021</v>
      </c>
      <c r="Q237" s="227">
        <f t="shared" si="89"/>
        <v>1869.728503300935</v>
      </c>
      <c r="R237" s="227" t="str">
        <f t="shared" si="75"/>
        <v>0.0945666666666667+0.05521489810367i</v>
      </c>
      <c r="S237" s="227" t="str">
        <f t="shared" si="76"/>
        <v>0.0085-3.2599897162182i</v>
      </c>
      <c r="T237" s="227" t="str">
        <f t="shared" si="77"/>
        <v>0.771485522964242-3.06587830508385i</v>
      </c>
      <c r="U237" s="227" t="str">
        <f t="shared" si="78"/>
        <v>64.0632188471844-60.0073729010559i</v>
      </c>
      <c r="V237" s="227">
        <f t="shared" si="90"/>
        <v>38.867715614906579</v>
      </c>
      <c r="W237" s="227">
        <f t="shared" si="91"/>
        <v>-43.127677734543269</v>
      </c>
      <c r="X237" s="227" t="str">
        <f t="shared" si="79"/>
        <v>0.999975140375637-0.00146826439040635i</v>
      </c>
      <c r="Y237" s="227" t="str">
        <f t="shared" si="80"/>
        <v>136.808983188909+65.5389026089143i</v>
      </c>
      <c r="Z237" s="227" t="str">
        <f t="shared" si="81"/>
        <v>71.2924925964947+34.0243485836666i</v>
      </c>
      <c r="AA237" s="227" t="str">
        <f t="shared" si="82"/>
        <v>3.16862946089895-7.97522502493142i</v>
      </c>
      <c r="AB237" s="227">
        <f t="shared" si="92"/>
        <v>18.671398866020841</v>
      </c>
      <c r="AC237" s="227">
        <f t="shared" si="93"/>
        <v>-68.331625207347329</v>
      </c>
      <c r="AD237" s="229">
        <f t="shared" si="94"/>
        <v>-10.53860445231582</v>
      </c>
      <c r="AE237" s="229">
        <f t="shared" si="95"/>
        <v>158.1819224608623</v>
      </c>
      <c r="AF237" s="227">
        <f t="shared" si="83"/>
        <v>8.132794413705021</v>
      </c>
      <c r="AG237" s="227">
        <f t="shared" si="84"/>
        <v>89.850297253514967</v>
      </c>
      <c r="AH237" s="229" t="str">
        <f t="shared" si="85"/>
        <v>0.27592447493489-0.110462913840679i</v>
      </c>
    </row>
    <row r="238" spans="9:34" x14ac:dyDescent="0.2">
      <c r="I238" s="227">
        <v>234</v>
      </c>
      <c r="J238" s="227">
        <f t="shared" si="73"/>
        <v>3.2815286712673157</v>
      </c>
      <c r="K238" s="227">
        <f t="shared" si="96"/>
        <v>1912.1795587702984</v>
      </c>
      <c r="L238" s="227">
        <f t="shared" si="86"/>
        <v>12014.578508354683</v>
      </c>
      <c r="M238" s="227">
        <f t="shared" si="74"/>
        <v>3864.5663780615891</v>
      </c>
      <c r="N238" s="227">
        <f>SQRT((ABS(AC238)-171.5+'Small Signal'!C$59)^2)</f>
        <v>32.530913101317296</v>
      </c>
      <c r="O238" s="227">
        <f t="shared" si="87"/>
        <v>89.578924177395024</v>
      </c>
      <c r="P238" s="227">
        <f t="shared" si="88"/>
        <v>7.9565484426206687</v>
      </c>
      <c r="Q238" s="227">
        <f t="shared" si="89"/>
        <v>1912.1795587702984</v>
      </c>
      <c r="R238" s="227" t="str">
        <f t="shared" si="75"/>
        <v>0.0945666666666667+0.056468518989267i</v>
      </c>
      <c r="S238" s="227" t="str">
        <f t="shared" si="76"/>
        <v>0.0085-3.18761680351866i</v>
      </c>
      <c r="T238" s="227" t="str">
        <f t="shared" si="77"/>
        <v>0.739857095803983-3.00551121104024i</v>
      </c>
      <c r="U238" s="227" t="str">
        <f t="shared" si="78"/>
        <v>62.9035791348621-61.5644071553502i</v>
      </c>
      <c r="V238" s="227">
        <f t="shared" si="90"/>
        <v>38.89135601937145</v>
      </c>
      <c r="W238" s="227">
        <f t="shared" si="91"/>
        <v>-44.383568865731405</v>
      </c>
      <c r="X238" s="227" t="str">
        <f t="shared" si="79"/>
        <v>0.999973998715271-0.00150160044586616i</v>
      </c>
      <c r="Y238" s="227" t="str">
        <f t="shared" si="80"/>
        <v>140.383567651247+65.3640234480677i</v>
      </c>
      <c r="Z238" s="227" t="str">
        <f t="shared" si="81"/>
        <v>73.1548515601603+33.9280723367946i</v>
      </c>
      <c r="AA238" s="227" t="str">
        <f t="shared" si="82"/>
        <v>3.0256598344138-7.86942012907044i</v>
      </c>
      <c r="AB238" s="227">
        <f t="shared" si="92"/>
        <v>18.517620253169934</v>
      </c>
      <c r="AC238" s="227">
        <f t="shared" si="93"/>
        <v>-68.969086898682704</v>
      </c>
      <c r="AD238" s="229">
        <f t="shared" si="94"/>
        <v>-10.561071810549265</v>
      </c>
      <c r="AE238" s="229">
        <f t="shared" si="95"/>
        <v>158.54801107607773</v>
      </c>
      <c r="AF238" s="227">
        <f t="shared" si="83"/>
        <v>7.9565484426206687</v>
      </c>
      <c r="AG238" s="227">
        <f t="shared" si="84"/>
        <v>89.578924177395024</v>
      </c>
      <c r="AH238" s="229" t="str">
        <f t="shared" si="85"/>
        <v>0.27591002872882-0.108416865396354i</v>
      </c>
    </row>
    <row r="239" spans="9:34" x14ac:dyDescent="0.2">
      <c r="I239" s="227">
        <v>235</v>
      </c>
      <c r="J239" s="227">
        <f t="shared" si="73"/>
        <v>3.291278793794099</v>
      </c>
      <c r="K239" s="227">
        <f t="shared" si="96"/>
        <v>1955.594439793626</v>
      </c>
      <c r="L239" s="227">
        <f t="shared" si="86"/>
        <v>12287.362250913404</v>
      </c>
      <c r="M239" s="227">
        <f t="shared" si="74"/>
        <v>3820.1657884076949</v>
      </c>
      <c r="N239" s="227">
        <f>SQRT((ABS(AC239)-171.5+'Small Signal'!C$59)^2)</f>
        <v>31.897705820088575</v>
      </c>
      <c r="O239" s="227">
        <f t="shared" si="87"/>
        <v>89.303778780865784</v>
      </c>
      <c r="P239" s="227">
        <f t="shared" si="88"/>
        <v>7.7798455569413338</v>
      </c>
      <c r="Q239" s="227">
        <f t="shared" si="89"/>
        <v>1955.594439793626</v>
      </c>
      <c r="R239" s="227" t="str">
        <f t="shared" si="75"/>
        <v>0.0945666666666667+0.057750602579293i</v>
      </c>
      <c r="S239" s="227" t="str">
        <f t="shared" si="76"/>
        <v>0.0085-3.11685059481164i</v>
      </c>
      <c r="T239" s="227" t="str">
        <f t="shared" si="77"/>
        <v>0.709465167354207-2.94601921277052i</v>
      </c>
      <c r="U239" s="227" t="str">
        <f t="shared" si="78"/>
        <v>61.6506131131121-63.1444393330287i</v>
      </c>
      <c r="V239" s="227">
        <f t="shared" si="90"/>
        <v>38.914269642253942</v>
      </c>
      <c r="W239" s="227">
        <f t="shared" si="91"/>
        <v>-45.685811243625317</v>
      </c>
      <c r="X239" s="227" t="str">
        <f t="shared" si="79"/>
        <v>0.999972804624975-0.00153569337631448i</v>
      </c>
      <c r="Y239" s="227" t="str">
        <f t="shared" si="80"/>
        <v>144.097155362511+65.0218871519785i</v>
      </c>
      <c r="Z239" s="227" t="str">
        <f t="shared" si="81"/>
        <v>75.0894730674847+33.7444046508253i</v>
      </c>
      <c r="AA239" s="227" t="str">
        <f t="shared" si="82"/>
        <v>2.88650310019903-7.76252428115309i</v>
      </c>
      <c r="AB239" s="227">
        <f t="shared" si="92"/>
        <v>18.362524661666406</v>
      </c>
      <c r="AC239" s="227">
        <f t="shared" si="93"/>
        <v>-69.602294179911425</v>
      </c>
      <c r="AD239" s="229">
        <f t="shared" si="94"/>
        <v>-10.582679104725072</v>
      </c>
      <c r="AE239" s="229">
        <f t="shared" si="95"/>
        <v>158.90607296077721</v>
      </c>
      <c r="AF239" s="227">
        <f t="shared" si="83"/>
        <v>7.7798455569413338</v>
      </c>
      <c r="AG239" s="227">
        <f t="shared" si="84"/>
        <v>89.303778780865784</v>
      </c>
      <c r="AH239" s="229" t="str">
        <f t="shared" si="85"/>
        <v>0.275894992974014-0.106425421953679i</v>
      </c>
    </row>
    <row r="240" spans="9:34" x14ac:dyDescent="0.2">
      <c r="I240" s="227">
        <v>236</v>
      </c>
      <c r="J240" s="227">
        <f t="shared" si="73"/>
        <v>3.3010289163208828</v>
      </c>
      <c r="K240" s="227">
        <f t="shared" si="96"/>
        <v>1999.99502944752</v>
      </c>
      <c r="L240" s="227">
        <f t="shared" si="86"/>
        <v>12566.339383456861</v>
      </c>
      <c r="M240" s="227">
        <f t="shared" si="74"/>
        <v>3774.7571102046122</v>
      </c>
      <c r="N240" s="227">
        <f>SQRT((ABS(AC240)-171.5+'Small Signal'!C$59)^2)</f>
        <v>31.268761661504669</v>
      </c>
      <c r="O240" s="227">
        <f t="shared" si="87"/>
        <v>89.024892200142915</v>
      </c>
      <c r="P240" s="227">
        <f t="shared" si="88"/>
        <v>7.6026965237901099</v>
      </c>
      <c r="Q240" s="227">
        <f t="shared" si="89"/>
        <v>1999.99502944752</v>
      </c>
      <c r="R240" s="227" t="str">
        <f t="shared" si="75"/>
        <v>0.0945666666666667+0.0590617951022472i</v>
      </c>
      <c r="S240" s="227" t="str">
        <f t="shared" si="76"/>
        <v>0.0085-3.04765542070615i</v>
      </c>
      <c r="T240" s="227" t="str">
        <f t="shared" si="77"/>
        <v>0.680267490539093-2.88740956827266i</v>
      </c>
      <c r="U240" s="227" t="str">
        <f t="shared" si="78"/>
        <v>60.2974655369532-64.7433549244461i</v>
      </c>
      <c r="V240" s="227">
        <f t="shared" si="90"/>
        <v>38.93622319334392</v>
      </c>
      <c r="W240" s="227">
        <f t="shared" si="91"/>
        <v>-47.03632250251357</v>
      </c>
      <c r="X240" s="227" t="str">
        <f t="shared" si="79"/>
        <v>0.99997155569694-0.00157056036614042i</v>
      </c>
      <c r="Y240" s="227" t="str">
        <f t="shared" si="80"/>
        <v>147.947917494339+64.4936473175608i</v>
      </c>
      <c r="Z240" s="227" t="str">
        <f t="shared" si="81"/>
        <v>77.0953798726721+33.4635200562825i</v>
      </c>
      <c r="AA240" s="227" t="str">
        <f t="shared" si="82"/>
        <v>2.75114340326179-7.65468686714368i</v>
      </c>
      <c r="AB240" s="227">
        <f t="shared" si="92"/>
        <v>18.206153272494948</v>
      </c>
      <c r="AC240" s="227">
        <f t="shared" si="93"/>
        <v>-70.231238338495331</v>
      </c>
      <c r="AD240" s="229">
        <f t="shared" si="94"/>
        <v>-10.603456748704838</v>
      </c>
      <c r="AE240" s="229">
        <f t="shared" si="95"/>
        <v>159.25613053863825</v>
      </c>
      <c r="AF240" s="227">
        <f t="shared" si="83"/>
        <v>7.6026965237901099</v>
      </c>
      <c r="AG240" s="227">
        <f t="shared" si="84"/>
        <v>89.024892200142915</v>
      </c>
      <c r="AH240" s="229" t="str">
        <f t="shared" si="85"/>
        <v>0.275879337550509-0.104487576814564i</v>
      </c>
    </row>
    <row r="241" spans="9:34" x14ac:dyDescent="0.2">
      <c r="I241" s="227">
        <v>237</v>
      </c>
      <c r="J241" s="227">
        <f t="shared" si="73"/>
        <v>3.3107790388476661</v>
      </c>
      <c r="K241" s="227">
        <f t="shared" si="96"/>
        <v>2045.4037076506031</v>
      </c>
      <c r="L241" s="227">
        <f t="shared" si="86"/>
        <v>12851.650523160919</v>
      </c>
      <c r="M241" s="227">
        <f t="shared" si="74"/>
        <v>3728.3174554111934</v>
      </c>
      <c r="N241" s="227">
        <f>SQRT((ABS(AC241)-171.5+'Small Signal'!C$59)^2)</f>
        <v>30.644078653150487</v>
      </c>
      <c r="O241" s="227">
        <f t="shared" si="87"/>
        <v>88.742289014780468</v>
      </c>
      <c r="P241" s="227">
        <f t="shared" si="88"/>
        <v>7.4251127742995884</v>
      </c>
      <c r="Q241" s="227">
        <f t="shared" si="89"/>
        <v>2045.4037076506031</v>
      </c>
      <c r="R241" s="227" t="str">
        <f t="shared" si="75"/>
        <v>0.0945666666666667+0.0604027574588563i</v>
      </c>
      <c r="S241" s="227" t="str">
        <f t="shared" si="76"/>
        <v>0.0085-2.97999640368419i</v>
      </c>
      <c r="T241" s="227" t="str">
        <f t="shared" si="77"/>
        <v>0.652222759888571-2.82968798636278i</v>
      </c>
      <c r="U241" s="227" t="str">
        <f t="shared" si="78"/>
        <v>58.8370609243687-66.3561380443225i</v>
      </c>
      <c r="V241" s="227">
        <f t="shared" si="90"/>
        <v>38.956952368176104</v>
      </c>
      <c r="W241" s="227">
        <f t="shared" si="91"/>
        <v>-48.437043722058277</v>
      </c>
      <c r="X241" s="227" t="str">
        <f t="shared" si="79"/>
        <v>0.999970249412784-0.00160621898989424i</v>
      </c>
      <c r="Y241" s="227" t="str">
        <f t="shared" si="80"/>
        <v>151.932306487646+63.7590910421499i</v>
      </c>
      <c r="Z241" s="227" t="str">
        <f t="shared" si="81"/>
        <v>79.1706967203136+33.0748826408657i</v>
      </c>
      <c r="AA241" s="227" t="str">
        <f t="shared" si="82"/>
        <v>2.61955829852214-7.54605299695295i</v>
      </c>
      <c r="AB241" s="227">
        <f t="shared" si="92"/>
        <v>18.048547232980333</v>
      </c>
      <c r="AC241" s="227">
        <f t="shared" si="93"/>
        <v>-70.855921346849513</v>
      </c>
      <c r="AD241" s="229">
        <f t="shared" si="94"/>
        <v>-10.623434458680745</v>
      </c>
      <c r="AE241" s="229">
        <f t="shared" si="95"/>
        <v>159.59821036162998</v>
      </c>
      <c r="AF241" s="227">
        <f t="shared" si="83"/>
        <v>7.4251127742995884</v>
      </c>
      <c r="AG241" s="227">
        <f t="shared" si="84"/>
        <v>88.742289014780468</v>
      </c>
      <c r="AH241" s="229" t="str">
        <f t="shared" si="85"/>
        <v>0.275863031107439-0.102602350094188i</v>
      </c>
    </row>
    <row r="242" spans="9:34" x14ac:dyDescent="0.2">
      <c r="I242" s="227">
        <v>238</v>
      </c>
      <c r="J242" s="227">
        <f t="shared" si="73"/>
        <v>3.3205291613744494</v>
      </c>
      <c r="K242" s="227">
        <f t="shared" si="96"/>
        <v>2091.8433624440217</v>
      </c>
      <c r="L242" s="227">
        <f t="shared" si="86"/>
        <v>13143.43947982942</v>
      </c>
      <c r="M242" s="227">
        <f t="shared" si="74"/>
        <v>3680.8234163271486</v>
      </c>
      <c r="N242" s="227">
        <f>SQRT((ABS(AC242)-171.5+'Small Signal'!C$59)^2)</f>
        <v>30.023644416308343</v>
      </c>
      <c r="O242" s="227">
        <f t="shared" si="87"/>
        <v>88.455987202276788</v>
      </c>
      <c r="P242" s="227">
        <f t="shared" si="88"/>
        <v>7.2471063539561644</v>
      </c>
      <c r="Q242" s="227">
        <f t="shared" si="89"/>
        <v>2091.8433624440217</v>
      </c>
      <c r="R242" s="227" t="str">
        <f t="shared" si="75"/>
        <v>0.0945666666666667+0.0617741655551983i</v>
      </c>
      <c r="S242" s="227" t="str">
        <f t="shared" si="76"/>
        <v>0.0085-2.91383944052083i</v>
      </c>
      <c r="T242" s="227" t="str">
        <f t="shared" si="77"/>
        <v>0.625290634722254-2.77285871874399i</v>
      </c>
      <c r="U242" s="227" t="str">
        <f t="shared" si="78"/>
        <v>57.262178422003-67.9767560983648i</v>
      </c>
      <c r="V242" s="227">
        <f t="shared" si="90"/>
        <v>38.976159010426329</v>
      </c>
      <c r="W242" s="227">
        <f t="shared" si="91"/>
        <v>-49.889923781480633</v>
      </c>
      <c r="X242" s="227" t="str">
        <f t="shared" si="79"/>
        <v>0.999968883138468-0.00164268722114577i</v>
      </c>
      <c r="Y242" s="227" t="str">
        <f t="shared" si="80"/>
        <v>156.044734318377+62.7966868601503i</v>
      </c>
      <c r="Z242" s="227" t="str">
        <f t="shared" si="81"/>
        <v>81.3124826250336+32.567271453694i</v>
      </c>
      <c r="AA242" s="227" t="str">
        <f t="shared" si="82"/>
        <v>2.49171918003324-7.43676325214846i</v>
      </c>
      <c r="AB242" s="227">
        <f t="shared" si="92"/>
        <v>17.889747600313953</v>
      </c>
      <c r="AC242" s="227">
        <f t="shared" si="93"/>
        <v>-71.476355583691657</v>
      </c>
      <c r="AD242" s="229">
        <f t="shared" si="94"/>
        <v>-10.642641246357789</v>
      </c>
      <c r="AE242" s="229">
        <f t="shared" si="95"/>
        <v>159.93234278596844</v>
      </c>
      <c r="AF242" s="227">
        <f t="shared" si="83"/>
        <v>7.2471063539561644</v>
      </c>
      <c r="AG242" s="227">
        <f t="shared" si="84"/>
        <v>88.455987202276788</v>
      </c>
      <c r="AH242" s="229" t="str">
        <f t="shared" si="85"/>
        <v>0.275846041001563-0.100768788213071i</v>
      </c>
    </row>
    <row r="243" spans="9:34" x14ac:dyDescent="0.2">
      <c r="I243" s="227">
        <v>239</v>
      </c>
      <c r="J243" s="227">
        <f t="shared" si="73"/>
        <v>3.3302792839012327</v>
      </c>
      <c r="K243" s="227">
        <f t="shared" si="96"/>
        <v>2139.3374015280665</v>
      </c>
      <c r="L243" s="227">
        <f t="shared" si="86"/>
        <v>13441.853328380903</v>
      </c>
      <c r="M243" s="227">
        <f t="shared" si="74"/>
        <v>3632.2510537945082</v>
      </c>
      <c r="N243" s="227">
        <f>SQRT((ABS(AC243)-171.5+'Small Signal'!C$59)^2)</f>
        <v>29.407436460641719</v>
      </c>
      <c r="O243" s="227">
        <f t="shared" si="87"/>
        <v>88.165998116942177</v>
      </c>
      <c r="P243" s="227">
        <f t="shared" si="88"/>
        <v>7.0686898749442513</v>
      </c>
      <c r="Q243" s="227">
        <f t="shared" si="89"/>
        <v>2139.3374015280665</v>
      </c>
      <c r="R243" s="227" t="str">
        <f t="shared" si="75"/>
        <v>0.0945666666666667+0.0631767106433902i</v>
      </c>
      <c r="S243" s="227" t="str">
        <f t="shared" si="76"/>
        <v>0.0085-2.84915118509469i</v>
      </c>
      <c r="T243" s="227" t="str">
        <f t="shared" si="77"/>
        <v>0.599431757322562-2.71692464916382i</v>
      </c>
      <c r="U243" s="227" t="str">
        <f t="shared" si="78"/>
        <v>55.5655513457001-69.5980405758669i</v>
      </c>
      <c r="V243" s="227">
        <f t="shared" si="90"/>
        <v>38.993508248021286</v>
      </c>
      <c r="W243" s="227">
        <f t="shared" si="91"/>
        <v>-51.396900049726433</v>
      </c>
      <c r="X243" s="227" t="str">
        <f t="shared" si="79"/>
        <v>0.999967454118986-0.00167998344154384i</v>
      </c>
      <c r="Y243" s="227" t="str">
        <f t="shared" si="80"/>
        <v>160.277218253146+61.5836819703514i</v>
      </c>
      <c r="Z243" s="227" t="str">
        <f t="shared" si="81"/>
        <v>83.5165462596949+31.9288316551357i</v>
      </c>
      <c r="AA243" s="227" t="str">
        <f t="shared" si="82"/>
        <v>2.36759171238738-7.32695347166146i</v>
      </c>
      <c r="AB243" s="227">
        <f t="shared" si="92"/>
        <v>17.729795289590584</v>
      </c>
      <c r="AC243" s="227">
        <f t="shared" si="93"/>
        <v>-72.092563539358281</v>
      </c>
      <c r="AD243" s="229">
        <f t="shared" si="94"/>
        <v>-10.661105414646332</v>
      </c>
      <c r="AE243" s="229">
        <f t="shared" si="95"/>
        <v>160.25856165630046</v>
      </c>
      <c r="AF243" s="227">
        <f t="shared" si="83"/>
        <v>7.0686898749442513</v>
      </c>
      <c r="AG243" s="227">
        <f t="shared" si="84"/>
        <v>88.165998116942177</v>
      </c>
      <c r="AH243" s="229" t="str">
        <f t="shared" si="85"/>
        <v>0.275828333233346-0.0989859634014405i</v>
      </c>
    </row>
    <row r="244" spans="9:34" x14ac:dyDescent="0.2">
      <c r="I244" s="227">
        <v>240</v>
      </c>
      <c r="J244" s="227">
        <f t="shared" si="73"/>
        <v>3.340029406428016</v>
      </c>
      <c r="K244" s="227">
        <f t="shared" si="96"/>
        <v>2187.9097640607069</v>
      </c>
      <c r="L244" s="227">
        <f t="shared" si="86"/>
        <v>13747.042482980989</v>
      </c>
      <c r="M244" s="227">
        <f t="shared" si="74"/>
        <v>3582.5758851311857</v>
      </c>
      <c r="N244" s="227">
        <f>SQRT((ABS(AC244)-171.5+'Small Signal'!C$59)^2)</f>
        <v>28.795422492554749</v>
      </c>
      <c r="O244" s="227">
        <f t="shared" si="87"/>
        <v>87.872326491231703</v>
      </c>
      <c r="P244" s="227">
        <f t="shared" si="88"/>
        <v>6.889876470673574</v>
      </c>
      <c r="Q244" s="227">
        <f t="shared" si="89"/>
        <v>2187.9097640607069</v>
      </c>
      <c r="R244" s="227" t="str">
        <f t="shared" si="75"/>
        <v>0.0945666666666667+0.0646110996700106i</v>
      </c>
      <c r="S244" s="227" t="str">
        <f t="shared" si="76"/>
        <v>0.0085-2.78589903157998i</v>
      </c>
      <c r="T244" s="227" t="str">
        <f t="shared" si="77"/>
        <v>0.574607766495248-2.66188737954956i</v>
      </c>
      <c r="U244" s="227" t="str">
        <f t="shared" si="78"/>
        <v>53.7399955024378-71.2115674757018i</v>
      </c>
      <c r="V244" s="227">
        <f t="shared" si="90"/>
        <v>39.008625676444701</v>
      </c>
      <c r="W244" s="227">
        <f t="shared" si="91"/>
        <v>-52.95987494455288</v>
      </c>
      <c r="X244" s="227" t="str">
        <f t="shared" si="79"/>
        <v>0.999965959472813-0.00171812645008154i</v>
      </c>
      <c r="Y244" s="227" t="str">
        <f t="shared" si="80"/>
        <v>164.618997617096+60.0962610211431i</v>
      </c>
      <c r="Z244" s="227" t="str">
        <f t="shared" si="81"/>
        <v>85.7772463045108+31.1471578050042i</v>
      </c>
      <c r="AA244" s="227" t="str">
        <f t="shared" si="82"/>
        <v>2.24713626124973-7.21675457408753i</v>
      </c>
      <c r="AB244" s="227">
        <f t="shared" si="92"/>
        <v>17.568731026368958</v>
      </c>
      <c r="AC244" s="227">
        <f t="shared" si="93"/>
        <v>-72.704577507445251</v>
      </c>
      <c r="AD244" s="229">
        <f t="shared" si="94"/>
        <v>-10.678854555695384</v>
      </c>
      <c r="AE244" s="229">
        <f t="shared" si="95"/>
        <v>160.57690399867695</v>
      </c>
      <c r="AF244" s="227">
        <f t="shared" si="83"/>
        <v>6.889876470673574</v>
      </c>
      <c r="AG244" s="227">
        <f t="shared" si="84"/>
        <v>87.872326491231703</v>
      </c>
      <c r="AH244" s="229" t="str">
        <f t="shared" si="85"/>
        <v>0.275809872380489-0.0972529732155843i</v>
      </c>
    </row>
    <row r="245" spans="9:34" x14ac:dyDescent="0.2">
      <c r="I245" s="227">
        <v>241</v>
      </c>
      <c r="J245" s="227">
        <f t="shared" si="73"/>
        <v>3.3497795289547994</v>
      </c>
      <c r="K245" s="227">
        <f t="shared" si="96"/>
        <v>2237.5849327240294</v>
      </c>
      <c r="L245" s="227">
        <f t="shared" si="86"/>
        <v>14059.160772858044</v>
      </c>
      <c r="M245" s="227">
        <f t="shared" si="74"/>
        <v>3531.7728717905975</v>
      </c>
      <c r="N245" s="227">
        <f>SQRT((ABS(AC245)-171.5+'Small Signal'!C$59)^2)</f>
        <v>28.187560734985183</v>
      </c>
      <c r="O245" s="227">
        <f t="shared" si="87"/>
        <v>87.574970457767691</v>
      </c>
      <c r="P245" s="227">
        <f t="shared" si="88"/>
        <v>6.710679752639324</v>
      </c>
      <c r="Q245" s="227">
        <f t="shared" si="89"/>
        <v>2237.5849327240294</v>
      </c>
      <c r="R245" s="227" t="str">
        <f t="shared" si="75"/>
        <v>0.0945666666666667+0.0660780556324328i</v>
      </c>
      <c r="S245" s="227" t="str">
        <f t="shared" si="76"/>
        <v>0.0085-2.7240510980116i</v>
      </c>
      <c r="T245" s="227" t="str">
        <f t="shared" si="77"/>
        <v>0.550781306899173-2.60774731304062i</v>
      </c>
      <c r="U245" s="227" t="str">
        <f t="shared" si="78"/>
        <v>51.7785703693042-72.8075422341108i</v>
      </c>
      <c r="V245" s="227">
        <f t="shared" si="90"/>
        <v>39.021094684875251</v>
      </c>
      <c r="W245" s="227">
        <f t="shared" si="91"/>
        <v>-54.580687909377119</v>
      </c>
      <c r="X245" s="227" t="str">
        <f t="shared" si="79"/>
        <v>0.99996439618609-0.00175713547257171i</v>
      </c>
      <c r="Y245" s="227" t="str">
        <f t="shared" si="80"/>
        <v>169.056128053648+58.3097799871458i</v>
      </c>
      <c r="Z245" s="227" t="str">
        <f t="shared" si="81"/>
        <v>88.087280153231+30.209416338512i</v>
      </c>
      <c r="AA245" s="227" t="str">
        <f t="shared" si="82"/>
        <v>2.13030832023338-7.10629241497441i</v>
      </c>
      <c r="AB245" s="227">
        <f t="shared" si="92"/>
        <v>17.406595303740193</v>
      </c>
      <c r="AC245" s="227">
        <f t="shared" si="93"/>
        <v>-73.312439265014817</v>
      </c>
      <c r="AD245" s="229">
        <f t="shared" si="94"/>
        <v>-10.695915551100869</v>
      </c>
      <c r="AE245" s="229">
        <f t="shared" si="95"/>
        <v>160.88740972278251</v>
      </c>
      <c r="AF245" s="227">
        <f t="shared" si="83"/>
        <v>6.710679752639324</v>
      </c>
      <c r="AG245" s="227">
        <f t="shared" si="84"/>
        <v>87.574970457767691</v>
      </c>
      <c r="AH245" s="229" t="str">
        <f t="shared" si="85"/>
        <v>0.275790621528773-0.0955689400658543i</v>
      </c>
    </row>
    <row r="246" spans="9:34" x14ac:dyDescent="0.2">
      <c r="I246" s="227">
        <v>242</v>
      </c>
      <c r="J246" s="227">
        <f t="shared" si="73"/>
        <v>3.3595296514815827</v>
      </c>
      <c r="K246" s="227">
        <f t="shared" si="96"/>
        <v>2288.3879460646176</v>
      </c>
      <c r="L246" s="227">
        <f t="shared" si="86"/>
        <v>14378.365519840077</v>
      </c>
      <c r="M246" s="227">
        <f t="shared" si="74"/>
        <v>3479.8164067411003</v>
      </c>
      <c r="N246" s="227">
        <f>SQRT((ABS(AC246)-171.5+'Small Signal'!C$59)^2)</f>
        <v>27.583800256488644</v>
      </c>
      <c r="O246" s="227">
        <f t="shared" si="87"/>
        <v>87.273921590277098</v>
      </c>
      <c r="P246" s="227">
        <f t="shared" si="88"/>
        <v>6.5311137697368302</v>
      </c>
      <c r="Q246" s="227">
        <f t="shared" si="89"/>
        <v>2288.3879460646176</v>
      </c>
      <c r="R246" s="227" t="str">
        <f t="shared" si="75"/>
        <v>0.0945666666666667+0.0675783179432484i</v>
      </c>
      <c r="S246" s="227" t="str">
        <f t="shared" si="76"/>
        <v>0.0085-2.66357621021527i</v>
      </c>
      <c r="T246" s="227" t="str">
        <f t="shared" si="77"/>
        <v>0.527916034509921-2.55450373386287i</v>
      </c>
      <c r="U246" s="227" t="str">
        <f t="shared" si="78"/>
        <v>49.6747768575787-74.3746956177352i</v>
      </c>
      <c r="V246" s="227">
        <f t="shared" si="90"/>
        <v>39.030454045967012</v>
      </c>
      <c r="W246" s="227">
        <f t="shared" si="91"/>
        <v>-56.261082404282199</v>
      </c>
      <c r="X246" s="227" t="str">
        <f t="shared" si="79"/>
        <v>0.999962761106548-0.00179703017133767i</v>
      </c>
      <c r="Y246" s="227" t="str">
        <f t="shared" si="80"/>
        <v>173.571063526534+56.1990894852356i</v>
      </c>
      <c r="Z246" s="227" t="str">
        <f t="shared" si="81"/>
        <v>90.4374663399896+29.1025146993557i</v>
      </c>
      <c r="AA246" s="227" t="str">
        <f t="shared" si="82"/>
        <v>2.01705893160292-6.99568767732659i</v>
      </c>
      <c r="AB246" s="227">
        <f t="shared" si="92"/>
        <v>17.24342834386206</v>
      </c>
      <c r="AC246" s="227">
        <f t="shared" si="93"/>
        <v>-73.916199743511356</v>
      </c>
      <c r="AD246" s="229">
        <f t="shared" si="94"/>
        <v>-10.71231457412523</v>
      </c>
      <c r="AE246" s="229">
        <f t="shared" si="95"/>
        <v>161.19012133378845</v>
      </c>
      <c r="AF246" s="227">
        <f t="shared" si="83"/>
        <v>6.5311137697368302</v>
      </c>
      <c r="AG246" s="227">
        <f t="shared" si="84"/>
        <v>87.273921590277098</v>
      </c>
      <c r="AH246" s="229" t="str">
        <f t="shared" si="85"/>
        <v>0.275770542200123-0.0939330107560303i</v>
      </c>
    </row>
    <row r="247" spans="9:34" x14ac:dyDescent="0.2">
      <c r="I247" s="227">
        <v>243</v>
      </c>
      <c r="J247" s="227">
        <f t="shared" si="73"/>
        <v>3.369279774008366</v>
      </c>
      <c r="K247" s="227">
        <f t="shared" si="96"/>
        <v>2340.3444111141148</v>
      </c>
      <c r="L247" s="227">
        <f t="shared" si="86"/>
        <v>14704.817617652066</v>
      </c>
      <c r="M247" s="227">
        <f t="shared" si="74"/>
        <v>3426.6803015588703</v>
      </c>
      <c r="N247" s="227">
        <f>SQRT((ABS(AC247)-171.5+'Small Signal'!C$59)^2)</f>
        <v>26.984081307612925</v>
      </c>
      <c r="O247" s="227">
        <f t="shared" si="87"/>
        <v>86.969164961729248</v>
      </c>
      <c r="P247" s="227">
        <f t="shared" si="88"/>
        <v>6.3511929701218364</v>
      </c>
      <c r="Q247" s="227">
        <f t="shared" si="89"/>
        <v>2340.3444111141148</v>
      </c>
      <c r="R247" s="227" t="str">
        <f t="shared" si="75"/>
        <v>0.0945666666666667+0.0691126428029647i</v>
      </c>
      <c r="S247" s="227" t="str">
        <f t="shared" si="76"/>
        <v>0.0085-2.60444388609429i</v>
      </c>
      <c r="T247" s="227" t="str">
        <f t="shared" si="77"/>
        <v>0.505976618563844-2.50215488401351i</v>
      </c>
      <c r="U247" s="227" t="str">
        <f t="shared" si="78"/>
        <v>47.4227946025048-75.9001988361829i</v>
      </c>
      <c r="V247" s="227">
        <f t="shared" si="90"/>
        <v>39.036195917698009</v>
      </c>
      <c r="W247" s="227">
        <f t="shared" si="91"/>
        <v>-58.002667596992545</v>
      </c>
      <c r="X247" s="227" t="str">
        <f t="shared" si="79"/>
        <v>0.999961050937155-0.0018378306551239i</v>
      </c>
      <c r="Y247" s="227" t="str">
        <f t="shared" si="80"/>
        <v>178.142240937164+53.738961938125i</v>
      </c>
      <c r="Z247" s="227" t="str">
        <f t="shared" si="81"/>
        <v>92.8165284611412+27.8133246248408i</v>
      </c>
      <c r="AA247" s="227" t="str">
        <f t="shared" si="82"/>
        <v>1.90733509857174-6.88505579342587i</v>
      </c>
      <c r="AB247" s="227">
        <f t="shared" si="92"/>
        <v>17.079270063893141</v>
      </c>
      <c r="AC247" s="227">
        <f t="shared" si="93"/>
        <v>-74.515918692387075</v>
      </c>
      <c r="AD247" s="229">
        <f t="shared" si="94"/>
        <v>-10.728077093771304</v>
      </c>
      <c r="AE247" s="229">
        <f t="shared" si="95"/>
        <v>161.48508365411632</v>
      </c>
      <c r="AF247" s="227">
        <f t="shared" si="83"/>
        <v>6.3511929701218364</v>
      </c>
      <c r="AG247" s="227">
        <f t="shared" si="84"/>
        <v>86.969164961729248</v>
      </c>
      <c r="AH247" s="229" t="str">
        <f t="shared" si="85"/>
        <v>0.275749594277739-0.0923443560337193i</v>
      </c>
    </row>
    <row r="248" spans="9:34" x14ac:dyDescent="0.2">
      <c r="I248" s="227">
        <v>244</v>
      </c>
      <c r="J248" s="227">
        <f t="shared" si="73"/>
        <v>3.3790298965351493</v>
      </c>
      <c r="K248" s="227">
        <f t="shared" si="96"/>
        <v>2393.4805162963448</v>
      </c>
      <c r="L248" s="227">
        <f t="shared" si="86"/>
        <v>15038.681613013803</v>
      </c>
      <c r="M248" s="227">
        <f t="shared" si="74"/>
        <v>3372.3377732277486</v>
      </c>
      <c r="N248" s="227">
        <f>SQRT((ABS(AC248)-171.5+'Small Signal'!C$59)^2)</f>
        <v>26.388335662683872</v>
      </c>
      <c r="O248" s="227">
        <f t="shared" si="87"/>
        <v>86.660679218002358</v>
      </c>
      <c r="P248" s="227">
        <f t="shared" si="88"/>
        <v>6.1709321656831584</v>
      </c>
      <c r="Q248" s="227">
        <f t="shared" si="89"/>
        <v>2393.4805162963448</v>
      </c>
      <c r="R248" s="227" t="str">
        <f t="shared" si="75"/>
        <v>0.0945666666666667+0.0706818035811649i</v>
      </c>
      <c r="S248" s="227" t="str">
        <f t="shared" si="76"/>
        <v>0.0085-2.54662432026517i</v>
      </c>
      <c r="T248" s="227" t="str">
        <f t="shared" si="77"/>
        <v>0.484928740311153-2.45069803674554i</v>
      </c>
      <c r="U248" s="227" t="str">
        <f t="shared" si="78"/>
        <v>45.0177603544378-77.3696080315902i</v>
      </c>
      <c r="V248" s="227">
        <f t="shared" si="90"/>
        <v>39.03776443464718</v>
      </c>
      <c r="W248" s="227">
        <f t="shared" si="91"/>
        <v>-59.806874582055642</v>
      </c>
      <c r="X248" s="227" t="str">
        <f t="shared" si="79"/>
        <v>0.999959262229462-0.00187955748923174i</v>
      </c>
      <c r="Y248" s="227" t="str">
        <f t="shared" si="80"/>
        <v>182.743687660026+50.904635921985i</v>
      </c>
      <c r="Z248" s="227" t="str">
        <f t="shared" si="81"/>
        <v>95.2108911965599+26.3289665122387i</v>
      </c>
      <c r="AA248" s="227" t="str">
        <f t="shared" si="82"/>
        <v>1.8010801872302-6.77450689597256i</v>
      </c>
      <c r="AB248" s="227">
        <f t="shared" si="92"/>
        <v>16.914160046240355</v>
      </c>
      <c r="AC248" s="227">
        <f t="shared" si="93"/>
        <v>-75.111664337316128</v>
      </c>
      <c r="AD248" s="229">
        <f t="shared" si="94"/>
        <v>-10.743227880557196</v>
      </c>
      <c r="AE248" s="229">
        <f t="shared" si="95"/>
        <v>161.77234355531849</v>
      </c>
      <c r="AF248" s="227">
        <f t="shared" si="83"/>
        <v>6.1709321656831584</v>
      </c>
      <c r="AG248" s="227">
        <f t="shared" si="84"/>
        <v>86.660679218002358</v>
      </c>
      <c r="AH248" s="229" t="str">
        <f t="shared" si="85"/>
        <v>0.275727735928177-0.0908021701514797i</v>
      </c>
    </row>
    <row r="249" spans="9:34" x14ac:dyDescent="0.2">
      <c r="I249" s="227">
        <v>245</v>
      </c>
      <c r="J249" s="227">
        <f t="shared" si="73"/>
        <v>3.388780019061933</v>
      </c>
      <c r="K249" s="227">
        <f t="shared" si="96"/>
        <v>2447.8230446274665</v>
      </c>
      <c r="L249" s="227">
        <f t="shared" si="86"/>
        <v>15380.125788578898</v>
      </c>
      <c r="M249" s="227">
        <f t="shared" si="74"/>
        <v>3316.7614306393971</v>
      </c>
      <c r="N249" s="227">
        <f>SQRT((ABS(AC249)-171.5+'Small Signal'!C$59)^2)</f>
        <v>25.79648696527002</v>
      </c>
      <c r="O249" s="227">
        <f t="shared" si="87"/>
        <v>86.348436665480989</v>
      </c>
      <c r="P249" s="227">
        <f t="shared" si="88"/>
        <v>5.9903464991697621</v>
      </c>
      <c r="Q249" s="227">
        <f t="shared" si="89"/>
        <v>2447.8230446274665</v>
      </c>
      <c r="R249" s="227" t="str">
        <f t="shared" si="75"/>
        <v>0.0945666666666667+0.0722865912063208i</v>
      </c>
      <c r="S249" s="227" t="str">
        <f t="shared" si="76"/>
        <v>0.0085-2.49008836903435i</v>
      </c>
      <c r="T249" s="227" t="str">
        <f t="shared" si="77"/>
        <v>0.464739088888407-2.40012956685974i</v>
      </c>
      <c r="U249" s="227" t="str">
        <f t="shared" si="78"/>
        <v>42.4560869652726-78.766850174423i</v>
      </c>
      <c r="V249" s="227">
        <f t="shared" si="90"/>
        <v>39.034555094514836</v>
      </c>
      <c r="W249" s="227">
        <f t="shared" si="91"/>
        <v>-61.674907163039094</v>
      </c>
      <c r="X249" s="227" t="str">
        <f t="shared" si="79"/>
        <v>0.999957391376656-0.00192223170588532i</v>
      </c>
      <c r="Y249" s="227" t="str">
        <f t="shared" si="80"/>
        <v>187.344678363042+47.6724883905154i</v>
      </c>
      <c r="Z249" s="227" t="str">
        <f t="shared" si="81"/>
        <v>97.6045021939627+24.6371604090475i</v>
      </c>
      <c r="AA249" s="227" t="str">
        <f t="shared" si="82"/>
        <v>1.69823431640915-6.66414579648707i</v>
      </c>
      <c r="AB249" s="227">
        <f t="shared" si="92"/>
        <v>16.748137513014598</v>
      </c>
      <c r="AC249" s="227">
        <f t="shared" si="93"/>
        <v>-75.70351303472998</v>
      </c>
      <c r="AD249" s="229">
        <f t="shared" si="94"/>
        <v>-10.757791013844836</v>
      </c>
      <c r="AE249" s="229">
        <f t="shared" si="95"/>
        <v>162.05194970021097</v>
      </c>
      <c r="AF249" s="227">
        <f t="shared" si="83"/>
        <v>5.9903464991697621</v>
      </c>
      <c r="AG249" s="227">
        <f t="shared" si="84"/>
        <v>86.348436665480989</v>
      </c>
      <c r="AH249" s="229" t="str">
        <f t="shared" si="85"/>
        <v>0.27570492352026-0.0893056704383642i</v>
      </c>
    </row>
    <row r="250" spans="9:34" x14ac:dyDescent="0.2">
      <c r="I250" s="227">
        <v>246</v>
      </c>
      <c r="J250" s="227">
        <f t="shared" si="73"/>
        <v>3.3985301415887164</v>
      </c>
      <c r="K250" s="227">
        <f t="shared" si="96"/>
        <v>2503.399387215818</v>
      </c>
      <c r="L250" s="227">
        <f t="shared" si="86"/>
        <v>15729.322247756807</v>
      </c>
      <c r="M250" s="227">
        <f t="shared" si="74"/>
        <v>3259.9232607869026</v>
      </c>
      <c r="N250" s="227">
        <f>SQRT((ABS(AC250)-171.5+'Small Signal'!C$59)^2)</f>
        <v>25.208451075728178</v>
      </c>
      <c r="O250" s="227">
        <f t="shared" si="87"/>
        <v>86.032403371055651</v>
      </c>
      <c r="P250" s="227">
        <f t="shared" si="88"/>
        <v>5.8094514139916242</v>
      </c>
      <c r="Q250" s="227">
        <f t="shared" si="89"/>
        <v>2503.399387215818</v>
      </c>
      <c r="R250" s="227" t="str">
        <f t="shared" si="75"/>
        <v>0.0945666666666667+0.073927814564457i</v>
      </c>
      <c r="S250" s="227" t="str">
        <f t="shared" si="76"/>
        <v>0.0085-2.43480753570849i</v>
      </c>
      <c r="T250" s="227" t="str">
        <f t="shared" si="77"/>
        <v>0.445375354602606-2.35044501782777i</v>
      </c>
      <c r="U250" s="227" t="str">
        <f t="shared" si="78"/>
        <v>39.7358195448327-80.0742640174918i</v>
      </c>
      <c r="V250" s="227">
        <f t="shared" si="90"/>
        <v>39.025915171054393</v>
      </c>
      <c r="W250" s="227">
        <f t="shared" si="91"/>
        <v>-63.607687513067582</v>
      </c>
      <c r="X250" s="227" t="str">
        <f t="shared" si="79"/>
        <v>0.99995543460628-0.00196587481483266i</v>
      </c>
      <c r="Y250" s="227" t="str">
        <f t="shared" si="80"/>
        <v>191.909473828482+44.0208407788579i</v>
      </c>
      <c r="Z250" s="227" t="str">
        <f t="shared" si="81"/>
        <v>99.9786968846604+22.7266467165444i</v>
      </c>
      <c r="AA250" s="227" t="str">
        <f t="shared" si="82"/>
        <v>1.59873473403983-6.55407198887676i</v>
      </c>
      <c r="AB250" s="227">
        <f t="shared" si="92"/>
        <v>16.581241304574121</v>
      </c>
      <c r="AC250" s="227">
        <f t="shared" si="93"/>
        <v>-76.291548924271822</v>
      </c>
      <c r="AD250" s="229">
        <f t="shared" si="94"/>
        <v>-10.771789890582497</v>
      </c>
      <c r="AE250" s="229">
        <f t="shared" si="95"/>
        <v>162.32395229532747</v>
      </c>
      <c r="AF250" s="227">
        <f t="shared" si="83"/>
        <v>5.8094514139916242</v>
      </c>
      <c r="AG250" s="227">
        <f t="shared" si="84"/>
        <v>86.032403371055651</v>
      </c>
      <c r="AH250" s="229" t="str">
        <f t="shared" si="85"/>
        <v>0.275681111540642-0.0878540968815588i</v>
      </c>
    </row>
    <row r="251" spans="9:34" x14ac:dyDescent="0.2">
      <c r="I251" s="227">
        <v>247</v>
      </c>
      <c r="J251" s="227">
        <f t="shared" si="73"/>
        <v>3.4082802641155001</v>
      </c>
      <c r="K251" s="227">
        <f t="shared" si="96"/>
        <v>2560.2375570683125</v>
      </c>
      <c r="L251" s="227">
        <f t="shared" si="86"/>
        <v>16086.447001460978</v>
      </c>
      <c r="M251" s="227">
        <f t="shared" si="74"/>
        <v>3201.7946146449808</v>
      </c>
      <c r="N251" s="227">
        <f>SQRT((ABS(AC251)-171.5+'Small Signal'!C$59)^2)</f>
        <v>24.624136419387767</v>
      </c>
      <c r="O251" s="227">
        <f t="shared" si="87"/>
        <v>85.712539273095629</v>
      </c>
      <c r="P251" s="227">
        <f t="shared" si="88"/>
        <v>5.6282626266947879</v>
      </c>
      <c r="Q251" s="227">
        <f t="shared" si="89"/>
        <v>2560.2375570683125</v>
      </c>
      <c r="R251" s="227" t="str">
        <f t="shared" si="75"/>
        <v>0.0945666666666667+0.0756063009068666i</v>
      </c>
      <c r="S251" s="227" t="str">
        <f t="shared" si="76"/>
        <v>0.0085-2.38075395623081i</v>
      </c>
      <c r="T251" s="227" t="str">
        <f t="shared" si="77"/>
        <v>0.42680621990112-2.30163916578422i</v>
      </c>
      <c r="U251" s="227" t="str">
        <f t="shared" si="78"/>
        <v>36.8570215349106-81.2727108335659i</v>
      </c>
      <c r="V251" s="227">
        <f t="shared" si="90"/>
        <v>39.011145403300439</v>
      </c>
      <c r="W251" s="227">
        <f t="shared" si="91"/>
        <v>-65.605797389746073</v>
      </c>
      <c r="X251" s="227" t="str">
        <f t="shared" si="79"/>
        <v>0.999953387972632-0.00201050881418762i</v>
      </c>
      <c r="Y251" s="227" t="str">
        <f t="shared" si="80"/>
        <v>196.397180546374+39.9308978115204i</v>
      </c>
      <c r="Z251" s="227" t="str">
        <f t="shared" si="81"/>
        <v>102.312126448388+20.587675944481i</v>
      </c>
      <c r="AA251" s="227" t="str">
        <f t="shared" si="82"/>
        <v>1.50251617881791-6.44437967606144i</v>
      </c>
      <c r="AB251" s="227">
        <f t="shared" si="92"/>
        <v>16.413509862020327</v>
      </c>
      <c r="AC251" s="227">
        <f t="shared" si="93"/>
        <v>-76.875863580612233</v>
      </c>
      <c r="AD251" s="229">
        <f t="shared" si="94"/>
        <v>-10.785247235325539</v>
      </c>
      <c r="AE251" s="229">
        <f t="shared" si="95"/>
        <v>162.58840285370786</v>
      </c>
      <c r="AF251" s="227">
        <f t="shared" si="83"/>
        <v>5.6282626266947879</v>
      </c>
      <c r="AG251" s="227">
        <f t="shared" si="84"/>
        <v>85.712539273095629</v>
      </c>
      <c r="AH251" s="229" t="str">
        <f t="shared" si="85"/>
        <v>0.275656252505936-0.0864467117178122i</v>
      </c>
    </row>
    <row r="252" spans="9:34" x14ac:dyDescent="0.2">
      <c r="I252" s="227">
        <v>248</v>
      </c>
      <c r="J252" s="227">
        <f t="shared" si="73"/>
        <v>3.4180303866422834</v>
      </c>
      <c r="K252" s="227">
        <f t="shared" si="96"/>
        <v>2618.3662032102343</v>
      </c>
      <c r="L252" s="227">
        <f t="shared" si="86"/>
        <v>16451.680056826142</v>
      </c>
      <c r="M252" s="227">
        <f t="shared" si="74"/>
        <v>3142.3461927295293</v>
      </c>
      <c r="N252" s="227">
        <f>SQRT((ABS(AC252)-171.5+'Small Signal'!C$59)^2)</f>
        <v>24.043444334063764</v>
      </c>
      <c r="O252" s="227">
        <f t="shared" si="87"/>
        <v>85.388798302041522</v>
      </c>
      <c r="P252" s="227">
        <f t="shared" si="88"/>
        <v>5.446796102093348</v>
      </c>
      <c r="Q252" s="227">
        <f t="shared" si="89"/>
        <v>2618.3662032102343</v>
      </c>
      <c r="R252" s="227" t="str">
        <f t="shared" si="75"/>
        <v>0.0945666666666667+0.0773228962670829i</v>
      </c>
      <c r="S252" s="227" t="str">
        <f t="shared" si="76"/>
        <v>0.0085-2.32790038513635i</v>
      </c>
      <c r="T252" s="227" t="str">
        <f t="shared" si="77"/>
        <v>0.40900134828414-2.25370608043751i</v>
      </c>
      <c r="U252" s="227" t="str">
        <f t="shared" si="78"/>
        <v>33.8221787352268-82.3417698056387i</v>
      </c>
      <c r="V252" s="227">
        <f t="shared" si="90"/>
        <v>38.989503218621721</v>
      </c>
      <c r="W252" s="227">
        <f t="shared" si="91"/>
        <v>-67.669416021558817</v>
      </c>
      <c r="X252" s="227" t="str">
        <f t="shared" si="79"/>
        <v>0.999951247348806-0.00205615620151794i</v>
      </c>
      <c r="Y252" s="227" t="str">
        <f t="shared" si="80"/>
        <v>200.761774777198+35.3878078424325i</v>
      </c>
      <c r="Z252" s="227" t="str">
        <f t="shared" si="81"/>
        <v>104.580771700492+18.2125616357252i</v>
      </c>
      <c r="AA252" s="227" t="str">
        <f t="shared" si="82"/>
        <v>1.40951122621078-6.33515781756665i</v>
      </c>
      <c r="AB252" s="227">
        <f t="shared" si="92"/>
        <v>16.244981213502495</v>
      </c>
      <c r="AC252" s="227">
        <f t="shared" si="93"/>
        <v>-77.456555665936236</v>
      </c>
      <c r="AD252" s="229">
        <f t="shared" si="94"/>
        <v>-10.798185111409147</v>
      </c>
      <c r="AE252" s="229">
        <f t="shared" si="95"/>
        <v>162.84535396797776</v>
      </c>
      <c r="AF252" s="227">
        <f t="shared" si="83"/>
        <v>5.446796102093348</v>
      </c>
      <c r="AG252" s="227">
        <f t="shared" si="84"/>
        <v>85.388798302041522</v>
      </c>
      <c r="AH252" s="229" t="str">
        <f t="shared" si="85"/>
        <v>0.275630296871214-0.0850827990343334i</v>
      </c>
    </row>
    <row r="253" spans="9:34" x14ac:dyDescent="0.2">
      <c r="I253" s="227">
        <v>249</v>
      </c>
      <c r="J253" s="227">
        <f t="shared" si="73"/>
        <v>3.4277805091690667</v>
      </c>
      <c r="K253" s="227">
        <f t="shared" si="96"/>
        <v>2677.8146251256858</v>
      </c>
      <c r="L253" s="227">
        <f t="shared" si="86"/>
        <v>16825.205507940322</v>
      </c>
      <c r="M253" s="227">
        <f t="shared" si="74"/>
        <v>3081.5480303293821</v>
      </c>
      <c r="N253" s="227">
        <f>SQRT((ABS(AC253)-171.5+'Small Signal'!C$59)^2)</f>
        <v>23.466269415737344</v>
      </c>
      <c r="O253" s="227">
        <f t="shared" si="87"/>
        <v>85.061128509369865</v>
      </c>
      <c r="P253" s="227">
        <f t="shared" si="88"/>
        <v>5.2650680310231373</v>
      </c>
      <c r="Q253" s="227">
        <f t="shared" si="89"/>
        <v>2677.8146251256858</v>
      </c>
      <c r="R253" s="227" t="str">
        <f t="shared" si="75"/>
        <v>0.0945666666666667+0.0790784658873195i</v>
      </c>
      <c r="S253" s="227" t="str">
        <f t="shared" si="76"/>
        <v>0.0085-2.27622018181898i</v>
      </c>
      <c r="T253" s="227" t="str">
        <f t="shared" si="77"/>
        <v>0.391931371399118-2.20663918295967i</v>
      </c>
      <c r="U253" s="227" t="str">
        <f t="shared" si="78"/>
        <v>30.6366038780119-83.2600317128356i</v>
      </c>
      <c r="V253" s="227">
        <f t="shared" si="90"/>
        <v>38.960207738525611</v>
      </c>
      <c r="W253" s="227">
        <f t="shared" si="91"/>
        <v>-69.798256294876836</v>
      </c>
      <c r="X253" s="227" t="str">
        <f t="shared" si="79"/>
        <v>0.999949008418371-0.00210283998518504i</v>
      </c>
      <c r="Y253" s="227" t="str">
        <f t="shared" si="80"/>
        <v>204.952337468972+30.3818206604686i</v>
      </c>
      <c r="Z253" s="227" t="str">
        <f t="shared" si="81"/>
        <v>106.758067060397+15.5962838517735i</v>
      </c>
      <c r="AA253" s="227" t="str">
        <f t="shared" si="82"/>
        <v>1.31965061806443-6.22649019602365i</v>
      </c>
      <c r="AB253" s="227">
        <f t="shared" si="92"/>
        <v>16.075692964175122</v>
      </c>
      <c r="AC253" s="227">
        <f t="shared" si="93"/>
        <v>-78.033730584262656</v>
      </c>
      <c r="AD253" s="229">
        <f t="shared" si="94"/>
        <v>-10.810624933151985</v>
      </c>
      <c r="AE253" s="229">
        <f t="shared" si="95"/>
        <v>163.09485909363252</v>
      </c>
      <c r="AF253" s="227">
        <f t="shared" si="83"/>
        <v>5.2650680310231373</v>
      </c>
      <c r="AG253" s="227">
        <f t="shared" si="84"/>
        <v>85.061128509369865</v>
      </c>
      <c r="AH253" s="229" t="str">
        <f t="shared" si="85"/>
        <v>0.275603192934748-0.0837616643788408i</v>
      </c>
    </row>
    <row r="254" spans="9:34" x14ac:dyDescent="0.2">
      <c r="I254" s="227">
        <v>250</v>
      </c>
      <c r="J254" s="227">
        <f t="shared" si="73"/>
        <v>3.43753063169585</v>
      </c>
      <c r="K254" s="227">
        <f>10^(J254)</f>
        <v>2738.612787525833</v>
      </c>
      <c r="L254" s="227">
        <f t="shared" si="86"/>
        <v>17207.211628636443</v>
      </c>
      <c r="M254" s="227">
        <f t="shared" si="74"/>
        <v>3019.3694824027125</v>
      </c>
      <c r="N254" s="227">
        <f>SQRT((ABS(AC254)-171.5+'Small Signal'!C$59)^2)</f>
        <v>22.892499861388117</v>
      </c>
      <c r="O254" s="227">
        <f t="shared" si="87"/>
        <v>84.729472203784965</v>
      </c>
      <c r="P254" s="227">
        <f t="shared" si="88"/>
        <v>5.0830948106716658</v>
      </c>
      <c r="Q254" s="227">
        <f t="shared" si="89"/>
        <v>2738.612787525833</v>
      </c>
      <c r="R254" s="227" t="str">
        <f t="shared" si="75"/>
        <v>0.0945666666666667+0.0808738946545913i</v>
      </c>
      <c r="S254" s="227" t="str">
        <f t="shared" si="76"/>
        <v>0.0085-2.22568729710337i</v>
      </c>
      <c r="T254" s="227" t="str">
        <f t="shared" si="77"/>
        <v>0.375567874540071-2.16043130092393i</v>
      </c>
      <c r="U254" s="227" t="str">
        <f t="shared" si="78"/>
        <v>27.3088185394021-84.00550150599i</v>
      </c>
      <c r="V254" s="227">
        <f t="shared" si="90"/>
        <v>38.922446785787642</v>
      </c>
      <c r="W254" s="227">
        <f t="shared" si="91"/>
        <v>-71.991501431587949</v>
      </c>
      <c r="X254" s="227" t="str">
        <f t="shared" si="79"/>
        <v>0.999946666666667-0.00215058369594127i</v>
      </c>
      <c r="Y254" s="227" t="str">
        <f t="shared" si="80"/>
        <v>208.913545545055+24.909503216017i</v>
      </c>
      <c r="Z254" s="227" t="str">
        <f t="shared" si="81"/>
        <v>108.815158287673+12.7371225396729i</v>
      </c>
      <c r="AA254" s="227" t="str">
        <f t="shared" si="82"/>
        <v>1.23286357526896-6.11845550056854i</v>
      </c>
      <c r="AB254" s="227">
        <f t="shared" si="92"/>
        <v>15.905682289648608</v>
      </c>
      <c r="AC254" s="227">
        <f t="shared" si="93"/>
        <v>-78.607500138611883</v>
      </c>
      <c r="AD254" s="229">
        <f t="shared" si="94"/>
        <v>-10.822587478976942</v>
      </c>
      <c r="AE254" s="229">
        <f t="shared" si="95"/>
        <v>163.33697234239685</v>
      </c>
      <c r="AF254" s="227">
        <f t="shared" si="83"/>
        <v>5.0830948106716658</v>
      </c>
      <c r="AG254" s="227">
        <f t="shared" si="84"/>
        <v>84.729472203784965</v>
      </c>
      <c r="AH254" s="229" t="str">
        <f t="shared" si="85"/>
        <v>0.275574886738844-0.0824826343784409i</v>
      </c>
    </row>
    <row r="255" spans="9:34" x14ac:dyDescent="0.2">
      <c r="I255" s="227">
        <v>251</v>
      </c>
      <c r="J255" s="227">
        <f t="shared" si="73"/>
        <v>3.4472807542226334</v>
      </c>
      <c r="K255" s="227">
        <f t="shared" ref="K255:K318" si="97">10^(J255)</f>
        <v>2800.7913354525026</v>
      </c>
      <c r="L255" s="227">
        <f t="shared" si="86"/>
        <v>17597.890967391057</v>
      </c>
      <c r="M255" s="227">
        <f t="shared" si="74"/>
        <v>2955.7792081305392</v>
      </c>
      <c r="N255" s="227">
        <f>SQRT((ABS(AC255)-171.5+'Small Signal'!C$59)^2)</f>
        <v>22.322017808086059</v>
      </c>
      <c r="O255" s="227">
        <f t="shared" si="87"/>
        <v>84.393766093580581</v>
      </c>
      <c r="P255" s="227">
        <f t="shared" si="88"/>
        <v>4.9008930274226579</v>
      </c>
      <c r="Q255" s="227">
        <f t="shared" si="89"/>
        <v>2800.7913354525026</v>
      </c>
      <c r="R255" s="227" t="str">
        <f t="shared" si="75"/>
        <v>0.0945666666666667+0.082710087546738i</v>
      </c>
      <c r="S255" s="227" t="str">
        <f t="shared" si="76"/>
        <v>0.0085-2.17627626011501i</v>
      </c>
      <c r="T255" s="227" t="str">
        <f t="shared" si="77"/>
        <v>0.359883380758476-2.11507472036601i</v>
      </c>
      <c r="U255" s="227" t="str">
        <f t="shared" si="78"/>
        <v>23.8508835783908-84.5561151061234i</v>
      </c>
      <c r="V255" s="227">
        <f t="shared" si="90"/>
        <v>38.875386054205549</v>
      </c>
      <c r="W255" s="227">
        <f t="shared" si="91"/>
        <v>-74.247744919266765</v>
      </c>
      <c r="X255" s="227" t="str">
        <f t="shared" si="79"/>
        <v>0.9999442173717-0.00219941139879049i</v>
      </c>
      <c r="Y255" s="227" t="str">
        <f t="shared" si="80"/>
        <v>212.586459246793+18.9749565343662i</v>
      </c>
      <c r="Z255" s="227" t="str">
        <f t="shared" si="81"/>
        <v>110.721314608871+9.63729114396859i</v>
      </c>
      <c r="AA255" s="227" t="str">
        <f t="shared" si="82"/>
        <v>1.1490780931246-6.0111274251957i</v>
      </c>
      <c r="AB255" s="227">
        <f t="shared" si="92"/>
        <v>15.734985932765662</v>
      </c>
      <c r="AC255" s="227">
        <f t="shared" si="93"/>
        <v>-79.177982191913941</v>
      </c>
      <c r="AD255" s="229">
        <f t="shared" si="94"/>
        <v>-10.834092905343004</v>
      </c>
      <c r="AE255" s="229">
        <f t="shared" si="95"/>
        <v>163.57174828549452</v>
      </c>
      <c r="AF255" s="227">
        <f t="shared" si="83"/>
        <v>4.9008930274226579</v>
      </c>
      <c r="AG255" s="227">
        <f t="shared" si="84"/>
        <v>84.393766093580581</v>
      </c>
      <c r="AH255" s="229" t="str">
        <f t="shared" si="85"/>
        <v>0.275545321966588-0.0812450563670099i</v>
      </c>
    </row>
    <row r="256" spans="9:34" x14ac:dyDescent="0.2">
      <c r="I256" s="227">
        <v>252</v>
      </c>
      <c r="J256" s="227">
        <f t="shared" si="73"/>
        <v>3.4570308767494171</v>
      </c>
      <c r="K256" s="227">
        <f t="shared" si="97"/>
        <v>2864.3816097246759</v>
      </c>
      <c r="L256" s="227">
        <f t="shared" si="86"/>
        <v>17997.440444377495</v>
      </c>
      <c r="M256" s="227">
        <f t="shared" si="74"/>
        <v>2890.7451551195468</v>
      </c>
      <c r="N256" s="227">
        <f>SQRT((ABS(AC256)-171.5+'Small Signal'!C$59)^2)</f>
        <v>21.754699667599525</v>
      </c>
      <c r="O256" s="227">
        <f t="shared" si="87"/>
        <v>84.053941434233408</v>
      </c>
      <c r="P256" s="227">
        <f t="shared" si="88"/>
        <v>4.7184794421471743</v>
      </c>
      <c r="Q256" s="227">
        <f t="shared" si="89"/>
        <v>2864.3816097246759</v>
      </c>
      <c r="R256" s="227" t="str">
        <f t="shared" si="75"/>
        <v>0.0945666666666667+0.0845879700885742i</v>
      </c>
      <c r="S256" s="227" t="str">
        <f t="shared" si="76"/>
        <v>0.0085-2.1279621654417i</v>
      </c>
      <c r="T256" s="227" t="str">
        <f t="shared" si="77"/>
        <v>0.344851333777079-2.07056123505105i</v>
      </c>
      <c r="U256" s="227" t="str">
        <f t="shared" si="78"/>
        <v>20.2786447275059-84.8903680704038i</v>
      </c>
      <c r="V256" s="227">
        <f t="shared" si="90"/>
        <v>38.818180514241746</v>
      </c>
      <c r="W256" s="227">
        <f t="shared" si="91"/>
        <v>-76.564936983600731</v>
      </c>
      <c r="X256" s="227" t="str">
        <f t="shared" si="79"/>
        <v>0.999941655594623-0.00224934770511794i</v>
      </c>
      <c r="Y256" s="227" t="str">
        <f t="shared" si="80"/>
        <v>215.90963315196+12.5909597311364i</v>
      </c>
      <c r="Z256" s="227" t="str">
        <f t="shared" si="81"/>
        <v>112.444509545589+6.3035317944086i</v>
      </c>
      <c r="AA256" s="227" t="str">
        <f t="shared" si="82"/>
        <v>1.06822121922059-5.90457478019969i</v>
      </c>
      <c r="AB256" s="227">
        <f t="shared" si="92"/>
        <v>15.563640203535412</v>
      </c>
      <c r="AC256" s="227">
        <f t="shared" si="93"/>
        <v>-79.745300332400475</v>
      </c>
      <c r="AD256" s="229">
        <f t="shared" si="94"/>
        <v>-10.845160761388238</v>
      </c>
      <c r="AE256" s="229">
        <f t="shared" si="95"/>
        <v>163.79924176663388</v>
      </c>
      <c r="AF256" s="227">
        <f t="shared" si="83"/>
        <v>4.7184794421471743</v>
      </c>
      <c r="AG256" s="227">
        <f t="shared" si="84"/>
        <v>84.053941434233408</v>
      </c>
      <c r="AH256" s="229" t="str">
        <f t="shared" si="85"/>
        <v>0.275514439834355-0.0800482980207468i</v>
      </c>
    </row>
    <row r="257" spans="9:34" x14ac:dyDescent="0.2">
      <c r="I257" s="227">
        <v>253</v>
      </c>
      <c r="J257" s="227">
        <f t="shared" si="73"/>
        <v>3.4667809992762004</v>
      </c>
      <c r="K257" s="227">
        <f t="shared" si="97"/>
        <v>2929.4156627356683</v>
      </c>
      <c r="L257" s="227">
        <f t="shared" si="86"/>
        <v>18406.0614507225</v>
      </c>
      <c r="M257" s="227">
        <f t="shared" si="74"/>
        <v>2824.2345432461884</v>
      </c>
      <c r="N257" s="227">
        <f>SQRT((ABS(AC257)-171.5+'Small Signal'!C$59)^2)</f>
        <v>21.190416455892262</v>
      </c>
      <c r="O257" s="227">
        <f t="shared" si="87"/>
        <v>83.709924180379318</v>
      </c>
      <c r="P257" s="227">
        <f t="shared" si="88"/>
        <v>4.5358709778603323</v>
      </c>
      <c r="Q257" s="227">
        <f t="shared" si="89"/>
        <v>2929.4156627356683</v>
      </c>
      <c r="R257" s="227" t="str">
        <f t="shared" si="75"/>
        <v>0.0945666666666667+0.0865084888183957i</v>
      </c>
      <c r="S257" s="227" t="str">
        <f t="shared" si="76"/>
        <v>0.0085-2.08072066058012i</v>
      </c>
      <c r="T257" s="227" t="str">
        <f t="shared" si="77"/>
        <v>0.33044607988319-2.02688219303237i</v>
      </c>
      <c r="U257" s="227" t="str">
        <f t="shared" si="78"/>
        <v>16.6118574390195-84.9880437399957i</v>
      </c>
      <c r="V257" s="227">
        <f t="shared" si="90"/>
        <v>38.749988007711444</v>
      </c>
      <c r="W257" s="227">
        <f t="shared" si="91"/>
        <v>-78.940341305335011</v>
      </c>
      <c r="X257" s="227" t="str">
        <f t="shared" si="79"/>
        <v>0.999938976169777-0.00230041778509547i</v>
      </c>
      <c r="Y257" s="227" t="str">
        <f t="shared" si="80"/>
        <v>218.820559387379+5.77995180208775i</v>
      </c>
      <c r="Z257" s="227" t="str">
        <f t="shared" si="81"/>
        <v>113.9521747732+2.74762547526619i</v>
      </c>
      <c r="AA257" s="227" t="str">
        <f t="shared" si="82"/>
        <v>0.990219313788685-5.7988616149238i</v>
      </c>
      <c r="AB257" s="227">
        <f t="shared" si="92"/>
        <v>15.391680982051206</v>
      </c>
      <c r="AC257" s="227">
        <f t="shared" si="93"/>
        <v>-80.309583544107738</v>
      </c>
      <c r="AD257" s="229">
        <f t="shared" si="94"/>
        <v>-10.855810004190873</v>
      </c>
      <c r="AE257" s="229">
        <f t="shared" si="95"/>
        <v>164.01950772448706</v>
      </c>
      <c r="AF257" s="227">
        <f t="shared" si="83"/>
        <v>4.5358709778603323</v>
      </c>
      <c r="AG257" s="227">
        <f t="shared" si="84"/>
        <v>83.709924180379318</v>
      </c>
      <c r="AH257" s="229" t="str">
        <f t="shared" si="85"/>
        <v>0.275482178979918-0.0788917470015663i</v>
      </c>
    </row>
    <row r="258" spans="9:34" x14ac:dyDescent="0.2">
      <c r="I258" s="227">
        <v>254</v>
      </c>
      <c r="J258" s="227">
        <f t="shared" si="73"/>
        <v>3.4765311218029837</v>
      </c>
      <c r="K258" s="227">
        <f t="shared" si="97"/>
        <v>2995.9262746090267</v>
      </c>
      <c r="L258" s="227">
        <f t="shared" si="86"/>
        <v>18823.95995001671</v>
      </c>
      <c r="M258" s="227">
        <f t="shared" si="74"/>
        <v>2756.2138481340321</v>
      </c>
      <c r="N258" s="227">
        <f>SQRT((ABS(AC258)-171.5+'Small Signal'!C$59)^2)</f>
        <v>20.629034117006469</v>
      </c>
      <c r="O258" s="227">
        <f t="shared" si="87"/>
        <v>83.361635141425566</v>
      </c>
      <c r="P258" s="227">
        <f t="shared" si="88"/>
        <v>4.353084709659079</v>
      </c>
      <c r="Q258" s="227">
        <f t="shared" si="89"/>
        <v>2995.9262746090267</v>
      </c>
      <c r="R258" s="227" t="str">
        <f t="shared" si="75"/>
        <v>0.0945666666666667+0.0884726117650785i</v>
      </c>
      <c r="S258" s="227" t="str">
        <f t="shared" si="76"/>
        <v>0.0085-2.03452793366103i</v>
      </c>
      <c r="T258" s="227" t="str">
        <f t="shared" si="77"/>
        <v>0.316642848963889-1.98402854059251i</v>
      </c>
      <c r="U258" s="227" t="str">
        <f t="shared" si="78"/>
        <v>12.8741557165865-84.8310166288421i</v>
      </c>
      <c r="V258" s="227">
        <f t="shared" si="90"/>
        <v>38.669984835060461</v>
      </c>
      <c r="W258" s="227">
        <f t="shared" si="91"/>
        <v>-81.370505898771029</v>
      </c>
      <c r="X258" s="227" t="str">
        <f t="shared" si="79"/>
        <v>0.999936173694273-0.00235264738036846i</v>
      </c>
      <c r="Y258" s="227" t="str">
        <f t="shared" si="80"/>
        <v>221.257425444796-1.42524840403943i</v>
      </c>
      <c r="Z258" s="227" t="str">
        <f t="shared" si="81"/>
        <v>115.212117710979-1.01323473728134i</v>
      </c>
      <c r="AA258" s="227" t="str">
        <f t="shared" si="82"/>
        <v>0.914998292628961-5.6940473501311i</v>
      </c>
      <c r="AB258" s="227">
        <f t="shared" si="92"/>
        <v>15.219143724222629</v>
      </c>
      <c r="AC258" s="227">
        <f t="shared" si="93"/>
        <v>-80.870965882993531</v>
      </c>
      <c r="AD258" s="229">
        <f t="shared" si="94"/>
        <v>-10.86605901456355</v>
      </c>
      <c r="AE258" s="229">
        <f t="shared" si="95"/>
        <v>164.2326010244191</v>
      </c>
      <c r="AF258" s="227">
        <f t="shared" si="83"/>
        <v>4.353084709659079</v>
      </c>
      <c r="AG258" s="227">
        <f t="shared" si="84"/>
        <v>83.361635141425566</v>
      </c>
      <c r="AH258" s="229" t="str">
        <f t="shared" si="85"/>
        <v>0.275448475345951-0.0777748106079834i</v>
      </c>
    </row>
    <row r="259" spans="9:34" x14ac:dyDescent="0.2">
      <c r="I259" s="227">
        <v>255</v>
      </c>
      <c r="J259" s="227">
        <f t="shared" si="73"/>
        <v>3.486281244329767</v>
      </c>
      <c r="K259" s="227">
        <f t="shared" si="97"/>
        <v>3063.946969721183</v>
      </c>
      <c r="L259" s="227">
        <f t="shared" si="86"/>
        <v>19251.346582129554</v>
      </c>
      <c r="M259" s="227">
        <f t="shared" si="74"/>
        <v>2686.6487842559386</v>
      </c>
      <c r="N259" s="227">
        <f>SQRT((ABS(AC259)-171.5+'Small Signal'!C$59)^2)</f>
        <v>20.070413840950508</v>
      </c>
      <c r="O259" s="227">
        <f t="shared" si="87"/>
        <v>83.008990140157564</v>
      </c>
      <c r="P259" s="227">
        <f t="shared" si="88"/>
        <v>4.1701378568486795</v>
      </c>
      <c r="Q259" s="227">
        <f t="shared" si="89"/>
        <v>3063.946969721183</v>
      </c>
      <c r="R259" s="227" t="str">
        <f t="shared" si="75"/>
        <v>0.0945666666666667+0.0904813289360089i</v>
      </c>
      <c r="S259" s="227" t="str">
        <f t="shared" si="76"/>
        <v>0.0085-1.98936070144705i</v>
      </c>
      <c r="T259" s="227" t="str">
        <f t="shared" si="77"/>
        <v>0.303417734832245-1.9419908636587i</v>
      </c>
      <c r="U259" s="227" t="str">
        <f t="shared" si="78"/>
        <v>9.09283443141345-84.4040941654732i</v>
      </c>
      <c r="V259" s="227">
        <f t="shared" si="90"/>
        <v>38.577382967200677</v>
      </c>
      <c r="W259" s="227">
        <f t="shared" si="91"/>
        <v>-83.85125200148174</v>
      </c>
      <c r="X259" s="227" t="str">
        <f t="shared" si="79"/>
        <v>0.999933242517097-0.00240606281703082i</v>
      </c>
      <c r="Y259" s="227" t="str">
        <f t="shared" si="80"/>
        <v>223.161137140144-8.98108574963202i</v>
      </c>
      <c r="Z259" s="227" t="str">
        <f t="shared" si="81"/>
        <v>116.193576922401-4.95626035308699i</v>
      </c>
      <c r="AA259" s="227" t="str">
        <f t="shared" si="82"/>
        <v>0.842483852824212-5.59018691841007i</v>
      </c>
      <c r="AB259" s="227">
        <f t="shared" si="92"/>
        <v>15.046063470148287</v>
      </c>
      <c r="AC259" s="227">
        <f t="shared" si="93"/>
        <v>-81.429586159049492</v>
      </c>
      <c r="AD259" s="229">
        <f t="shared" si="94"/>
        <v>-10.875925613299607</v>
      </c>
      <c r="AE259" s="229">
        <f t="shared" si="95"/>
        <v>164.43857629920706</v>
      </c>
      <c r="AF259" s="227">
        <f t="shared" si="83"/>
        <v>4.1701378568486795</v>
      </c>
      <c r="AG259" s="227">
        <f t="shared" si="84"/>
        <v>83.008990140157564</v>
      </c>
      <c r="AH259" s="229" t="str">
        <f t="shared" si="85"/>
        <v>0.275413262058799-0.0766969154331484i</v>
      </c>
    </row>
    <row r="260" spans="9:34" x14ac:dyDescent="0.2">
      <c r="I260" s="227">
        <v>256</v>
      </c>
      <c r="J260" s="227">
        <f t="shared" ref="J260:J323" si="98">1+I260*(LOG(fsw)-1)/500</f>
        <v>3.4960313668565504</v>
      </c>
      <c r="K260" s="227">
        <f t="shared" si="97"/>
        <v>3133.5120335992765</v>
      </c>
      <c r="L260" s="227">
        <f t="shared" si="86"/>
        <v>19688.436769381398</v>
      </c>
      <c r="M260" s="227">
        <f t="shared" ref="M260:M323" si="99">SQRT((Fco_target-K261)^2)</f>
        <v>2615.5042876526154</v>
      </c>
      <c r="N260" s="227">
        <f>SQRT((ABS(AC260)-171.5+'Small Signal'!C$59)^2)</f>
        <v>19.514412375310258</v>
      </c>
      <c r="O260" s="227">
        <f t="shared" si="87"/>
        <v>82.651900173781939</v>
      </c>
      <c r="P260" s="227">
        <f t="shared" si="88"/>
        <v>3.9870477771585406</v>
      </c>
      <c r="Q260" s="227">
        <f t="shared" si="89"/>
        <v>3133.5120335992765</v>
      </c>
      <c r="R260" s="227" t="str">
        <f t="shared" ref="R260:R323" si="100">IMSUM(COMPLEX(DCRss,Lss*L260),COMPLEX(Rdsonss,0),COMPLEX(40/3*Risense,0))</f>
        <v>0.0945666666666667+0.0925356528160926i</v>
      </c>
      <c r="S260" s="227" t="str">
        <f t="shared" ref="S260:S323" si="101">IMSUM(COMPLEX(ESRss,0),IMDIV(COMPLEX(1,0),COMPLEX(0,L260*Cbulkss)))</f>
        <v>0.0085-1.94519619759679i</v>
      </c>
      <c r="T260" s="227" t="str">
        <f t="shared" ref="T260:T323" si="102">IMDIV(IMPRODUCT(S260,COMPLEX(Ross,0)),IMSUM(S260,COMPLEX(Ross,0)))</f>
        <v>0.29074767498091-1.90075942678729i</v>
      </c>
      <c r="U260" s="227" t="str">
        <f t="shared" ref="U260:U323" si="103">IMPRODUCT(COMPLEX(Vinss,0),COMPLEX(M^2,0),IMDIV(IMSUB(COMPLEX(1,0),IMDIV(IMPRODUCT(R260,COMPLEX(M^2,0)),COMPLEX(Ross,0))),IMSUM(COMPLEX(1,0),IMDIV(IMPRODUCT(R260,COMPLEX(M^2,0)),T260))))</f>
        <v>5.29842417561912-83.6958480141607i</v>
      </c>
      <c r="V260" s="227">
        <f t="shared" si="90"/>
        <v>38.4714483335027</v>
      </c>
      <c r="W260" s="227">
        <f t="shared" si="91"/>
        <v>-86.377684402875261</v>
      </c>
      <c r="X260" s="227" t="str">
        <f t="shared" ref="X260:X323" si="104">IMSUM(COMPLEX(1,L260/(wn*q0)),IMPOWER(COMPLEX(0,L260/wn),2))</f>
        <v>0.999930176727718-0.00246069101889447i</v>
      </c>
      <c r="Y260" s="227" t="str">
        <f t="shared" ref="Y260:Y323" si="105">IMPRODUCT(COMPLEX(2*Ioutss*M^2,0),IMDIV(IMSUM(COMPLEX(1,0),IMDIV(COMPLEX(Ross,0),IMPRODUCT(COMPLEX(2,0),S260))),IMSUM(COMPLEX(1,0),IMDIV(IMPRODUCT(R260,COMPLEX(M^2,0)),T260))))</f>
        <v>224.477522338953-16.8333687232528i</v>
      </c>
      <c r="Z260" s="227" t="str">
        <f t="shared" ref="Z260:Z323" si="106">IMPRODUCT(COMPLEX(Fm*40/3*Risense,0),Y260,X260)</f>
        <v>116.868371206612-9.05312235618065i</v>
      </c>
      <c r="AA260" s="227" t="str">
        <f t="shared" ref="AA260:AA323" si="107">IMDIV(IMPRODUCT(COMPLEX(Fm,0),U260),IMSUM(COMPLEX(1,0),Z260))</f>
        <v>0.77260168156176-5.48733091113089i</v>
      </c>
      <c r="AB260" s="227">
        <f t="shared" si="92"/>
        <v>14.872474854958471</v>
      </c>
      <c r="AC260" s="227">
        <f t="shared" si="93"/>
        <v>-81.985587624689742</v>
      </c>
      <c r="AD260" s="229">
        <f t="shared" si="94"/>
        <v>-10.88542707779993</v>
      </c>
      <c r="AE260" s="229">
        <f t="shared" si="95"/>
        <v>164.63748779847168</v>
      </c>
      <c r="AF260" s="227">
        <f t="shared" ref="AF260:AF323" si="108">AD260+AB260</f>
        <v>3.9870477771585406</v>
      </c>
      <c r="AG260" s="227">
        <f t="shared" ref="AG260:AG323" si="109">AE260+AC260</f>
        <v>82.651900173781939</v>
      </c>
      <c r="AH260" s="229" t="str">
        <f t="shared" ref="AH260:AH323" si="110">IMDIV(IMPRODUCT(COMPLEX(gea*Rea*Rslss/(Rslss+Rshss),0),COMPLEX(1,L260*Ccompss*Rcompss),COMPLEX(1,k_3*L260*Cffss*Rshss)),IMPRODUCT(COMPLEX(1,L260*Rea*Ccompss),COMPLEX(1,L260*Rcompss*Chfss),COMPLEX(1,k_3*L260*Rffss*Cffss)))</f>
        <v>0.275376469302282-0.0756575070296708i</v>
      </c>
    </row>
    <row r="261" spans="9:34" x14ac:dyDescent="0.2">
      <c r="I261" s="227">
        <v>257</v>
      </c>
      <c r="J261" s="227">
        <f t="shared" si="98"/>
        <v>3.5057814893833337</v>
      </c>
      <c r="K261" s="227">
        <f t="shared" si="97"/>
        <v>3204.6565302025997</v>
      </c>
      <c r="L261" s="227">
        <f t="shared" ref="L261:L324" si="111">2*PI()*K261</f>
        <v>20135.450825126089</v>
      </c>
      <c r="M261" s="227">
        <f t="shared" si="99"/>
        <v>2542.7444982587535</v>
      </c>
      <c r="N261" s="227">
        <f>SQRT((ABS(AC261)-171.5+'Small Signal'!C$59)^2)</f>
        <v>18.960882330412943</v>
      </c>
      <c r="O261" s="227">
        <f t="shared" ref="O261:O324" si="112">ABS(AG261)</f>
        <v>82.29027157694884</v>
      </c>
      <c r="P261" s="227">
        <f t="shared" ref="P261:P324" si="113">ABS(AF261)</f>
        <v>3.8038319629498805</v>
      </c>
      <c r="Q261" s="227">
        <f t="shared" ref="Q261:Q304" si="114">K261</f>
        <v>3204.6565302025997</v>
      </c>
      <c r="R261" s="227" t="str">
        <f t="shared" si="100"/>
        <v>0.0945666666666667+0.0946366188780926i</v>
      </c>
      <c r="S261" s="227" t="str">
        <f t="shared" si="101"/>
        <v>0.0085-1.90201216118963i</v>
      </c>
      <c r="T261" s="227" t="str">
        <f t="shared" si="102"/>
        <v>0.278610429887594-1.86032420981253i</v>
      </c>
      <c r="U261" s="227" t="str">
        <f t="shared" si="103"/>
        <v>1.52405205456447-82.6993770204354i</v>
      </c>
      <c r="V261" s="227">
        <f t="shared" ref="V261:V324" si="115">20*LOG(IMABS(U261))</f>
        <v>38.351519466805229</v>
      </c>
      <c r="W261" s="227">
        <f t="shared" ref="W261:W324" si="116">IF(DEGREES(IMARGUMENT(U261))&gt;0,DEGREES(IMARGUMENT(U261))-360, DEGREES(IMARGUMENT(U261)))</f>
        <v>-88.944225818892306</v>
      </c>
      <c r="X261" s="227" t="str">
        <f t="shared" si="104"/>
        <v>0.999926970144167-0.00251655952106023i</v>
      </c>
      <c r="Y261" s="227" t="str">
        <f t="shared" si="105"/>
        <v>225.159597273269-24.9178966518721i</v>
      </c>
      <c r="Z261" s="227" t="str">
        <f t="shared" si="106"/>
        <v>117.212080664681-13.270281151553i</v>
      </c>
      <c r="AA261" s="227" t="str">
        <f t="shared" si="107"/>
        <v>0.70527764847108-5.38552573057543i</v>
      </c>
      <c r="AB261" s="227">
        <f t="shared" ref="AB261:AB324" si="117">20*LOG(IMABS(AA261))</f>
        <v>14.698412121962443</v>
      </c>
      <c r="AC261" s="227">
        <f t="shared" ref="AC261:AC324" si="118">IF(DEGREES(IMARGUMENT(AA261))&gt;0,DEGREES(IMARGUMENT(AA261))-360, DEGREES(IMARGUMENT(AA261)))</f>
        <v>-82.539117669587057</v>
      </c>
      <c r="AD261" s="229">
        <f t="shared" ref="AD261:AD324" si="119">20*LOG(IMABS(AH261))</f>
        <v>-10.894580159012563</v>
      </c>
      <c r="AE261" s="229">
        <f t="shared" ref="AE261:AE324" si="120">180+DEGREES(IMARGUMENT(AH261))</f>
        <v>164.8293892465359</v>
      </c>
      <c r="AF261" s="227">
        <f t="shared" si="108"/>
        <v>3.8038319629498805</v>
      </c>
      <c r="AG261" s="227">
        <f t="shared" si="109"/>
        <v>82.29027157694884</v>
      </c>
      <c r="AH261" s="229" t="str">
        <f t="shared" si="110"/>
        <v>0.275338024186372-0.0746560495808713i</v>
      </c>
    </row>
    <row r="262" spans="9:34" x14ac:dyDescent="0.2">
      <c r="I262" s="227">
        <v>258</v>
      </c>
      <c r="J262" s="227">
        <f t="shared" si="98"/>
        <v>3.515531611910117</v>
      </c>
      <c r="K262" s="227">
        <f t="shared" si="97"/>
        <v>3277.4163195964616</v>
      </c>
      <c r="L262" s="227">
        <f t="shared" si="111"/>
        <v>20592.614064799083</v>
      </c>
      <c r="M262" s="227">
        <f t="shared" si="99"/>
        <v>2468.3327418279418</v>
      </c>
      <c r="N262" s="227">
        <f>SQRT((ABS(AC262)-171.5+'Small Signal'!C$59)^2)</f>
        <v>18.409672477963326</v>
      </c>
      <c r="O262" s="227">
        <f t="shared" si="112"/>
        <v>81.924006186379629</v>
      </c>
      <c r="P262" s="227">
        <f t="shared" si="113"/>
        <v>3.6205080393078966</v>
      </c>
      <c r="Q262" s="227">
        <f t="shared" si="114"/>
        <v>3277.4163195964616</v>
      </c>
      <c r="R262" s="227" t="str">
        <f t="shared" si="100"/>
        <v>0.0945666666666667+0.0967852861045557i</v>
      </c>
      <c r="S262" s="227" t="str">
        <f t="shared" si="101"/>
        <v>0.0085-1.85978682550516i</v>
      </c>
      <c r="T262" s="227" t="str">
        <f t="shared" si="102"/>
        <v>0.266984561985542-1.82067494225492i</v>
      </c>
      <c r="U262" s="227" t="str">
        <f t="shared" si="103"/>
        <v>-2.19539987950125-81.4129394038555i</v>
      </c>
      <c r="V262" s="227">
        <f t="shared" si="115"/>
        <v>38.217025647300616</v>
      </c>
      <c r="W262" s="227">
        <f t="shared" si="116"/>
        <v>-91.544676703689305</v>
      </c>
      <c r="X262" s="227" t="str">
        <f t="shared" si="104"/>
        <v>0.999923616300573-0.00257369648379672i</v>
      </c>
      <c r="Y262" s="227" t="str">
        <f t="shared" si="105"/>
        <v>225.169749843345-33.1616501300229i</v>
      </c>
      <c r="Z262" s="227" t="str">
        <f t="shared" si="106"/>
        <v>117.205183763018-17.5696101184259i</v>
      </c>
      <c r="AA262" s="227" t="str">
        <f t="shared" si="107"/>
        <v>0.64043798195915-5.2848137459653i</v>
      </c>
      <c r="AB262" s="227">
        <f t="shared" si="117"/>
        <v>14.523909137931653</v>
      </c>
      <c r="AC262" s="227">
        <f t="shared" si="118"/>
        <v>-83.090327522036674</v>
      </c>
      <c r="AD262" s="229">
        <f t="shared" si="119"/>
        <v>-10.903401098623757</v>
      </c>
      <c r="AE262" s="229">
        <f t="shared" si="120"/>
        <v>165.0143337084163</v>
      </c>
      <c r="AF262" s="227">
        <f t="shared" si="108"/>
        <v>3.6205080393078966</v>
      </c>
      <c r="AG262" s="227">
        <f t="shared" si="109"/>
        <v>81.924006186379629</v>
      </c>
      <c r="AH262" s="229" t="str">
        <f t="shared" si="110"/>
        <v>0.275297850610562-0.0736920255780853i</v>
      </c>
    </row>
    <row r="263" spans="9:34" x14ac:dyDescent="0.2">
      <c r="I263" s="227">
        <v>259</v>
      </c>
      <c r="J263" s="227">
        <f t="shared" si="98"/>
        <v>3.5252817344369003</v>
      </c>
      <c r="K263" s="227">
        <f t="shared" si="97"/>
        <v>3351.8280760272733</v>
      </c>
      <c r="L263" s="227">
        <f t="shared" si="111"/>
        <v>21060.156919486584</v>
      </c>
      <c r="M263" s="227">
        <f t="shared" si="99"/>
        <v>2392.2315114471744</v>
      </c>
      <c r="N263" s="227">
        <f>SQRT((ABS(AC263)-171.5+'Small Signal'!C$59)^2)</f>
        <v>17.8606280431664</v>
      </c>
      <c r="O263" s="227">
        <f t="shared" si="112"/>
        <v>81.553001506812507</v>
      </c>
      <c r="P263" s="227">
        <f t="shared" si="113"/>
        <v>3.4370937639145254</v>
      </c>
      <c r="Q263" s="227">
        <f t="shared" si="114"/>
        <v>3351.8280760272733</v>
      </c>
      <c r="R263" s="227" t="str">
        <f t="shared" si="100"/>
        <v>0.0945666666666667+0.0989827375215869i</v>
      </c>
      <c r="S263" s="227" t="str">
        <f t="shared" si="101"/>
        <v>0.0085-1.81849890705179i</v>
      </c>
      <c r="T263" s="227" t="str">
        <f t="shared" si="102"/>
        <v>0.25584941440171-1.78180113558491i</v>
      </c>
      <c r="U263" s="227" t="str">
        <f t="shared" si="103"/>
        <v>-5.82430638596715-79.8403939143627i</v>
      </c>
      <c r="V263" s="227">
        <f t="shared" si="115"/>
        <v>38.067503602813808</v>
      </c>
      <c r="W263" s="227">
        <f t="shared" si="116"/>
        <v>-94.172300337440262</v>
      </c>
      <c r="X263" s="227" t="str">
        <f t="shared" si="104"/>
        <v>0.999920108434124-0.00263213070673447i</v>
      </c>
      <c r="Y263" s="227" t="str">
        <f t="shared" si="105"/>
        <v>224.481678758969-41.4845345255148i</v>
      </c>
      <c r="Z263" s="227" t="str">
        <f t="shared" si="106"/>
        <v>116.834066371339-21.9093072784024i</v>
      </c>
      <c r="AA263" s="227" t="str">
        <f t="shared" si="107"/>
        <v>0.578009430088249-5.18523345222126i</v>
      </c>
      <c r="AB263" s="227">
        <f t="shared" si="117"/>
        <v>14.348999410360339</v>
      </c>
      <c r="AC263" s="227">
        <f t="shared" si="118"/>
        <v>-83.6393719568336</v>
      </c>
      <c r="AD263" s="229">
        <f t="shared" si="119"/>
        <v>-10.911905646445813</v>
      </c>
      <c r="AE263" s="229">
        <f t="shared" si="120"/>
        <v>165.19237346364611</v>
      </c>
      <c r="AF263" s="227">
        <f t="shared" si="108"/>
        <v>3.4370937639145254</v>
      </c>
      <c r="AG263" s="227">
        <f t="shared" si="109"/>
        <v>81.553001506812507</v>
      </c>
      <c r="AH263" s="229" t="str">
        <f t="shared" si="110"/>
        <v>0.275255869121704-0.0727649355036382i</v>
      </c>
    </row>
    <row r="264" spans="9:34" x14ac:dyDescent="0.2">
      <c r="I264" s="227">
        <v>260</v>
      </c>
      <c r="J264" s="227">
        <f t="shared" si="98"/>
        <v>3.5350318569636836</v>
      </c>
      <c r="K264" s="227">
        <f t="shared" si="97"/>
        <v>3427.9293064080407</v>
      </c>
      <c r="L264" s="227">
        <f t="shared" si="111"/>
        <v>21538.315052073311</v>
      </c>
      <c r="M264" s="227">
        <f t="shared" si="99"/>
        <v>2314.4024486316443</v>
      </c>
      <c r="N264" s="227">
        <f>SQRT((ABS(AC264)-171.5+'Small Signal'!C$59)^2)</f>
        <v>17.313590990426576</v>
      </c>
      <c r="O264" s="227">
        <f t="shared" si="112"/>
        <v>81.177150878055045</v>
      </c>
      <c r="P264" s="227">
        <f t="shared" si="113"/>
        <v>3.2536070285926151</v>
      </c>
      <c r="Q264" s="227">
        <f t="shared" si="114"/>
        <v>3427.9293064080407</v>
      </c>
      <c r="R264" s="227" t="str">
        <f t="shared" si="100"/>
        <v>0.0945666666666667+0.101230080744745i</v>
      </c>
      <c r="S264" s="227" t="str">
        <f t="shared" si="101"/>
        <v>0.0085-1.7781275948389i</v>
      </c>
      <c r="T264" s="227" t="str">
        <f t="shared" si="102"/>
        <v>0.245185089555329-1.74369211343611i</v>
      </c>
      <c r="U264" s="227" t="str">
        <f t="shared" si="103"/>
        <v>-9.32742879884663-77.9913992692027i</v>
      </c>
      <c r="V264" s="227">
        <f t="shared" si="115"/>
        <v>37.902611813035762</v>
      </c>
      <c r="W264" s="227">
        <f t="shared" si="116"/>
        <v>-96.819931266033421</v>
      </c>
      <c r="X264" s="227" t="str">
        <f t="shared" si="104"/>
        <v>0.999916439471433-0.00269189164338219i</v>
      </c>
      <c r="Y264" s="227" t="str">
        <f t="shared" si="105"/>
        <v>223.081928415446-49.8016139618985i</v>
      </c>
      <c r="Z264" s="227" t="str">
        <f t="shared" si="106"/>
        <v>116.091819361291-26.2450622311866i</v>
      </c>
      <c r="AA264" s="227" t="str">
        <f t="shared" si="107"/>
        <v>0.517919406589661-5.08681963038695i</v>
      </c>
      <c r="AB264" s="227">
        <f t="shared" si="117"/>
        <v>14.173716106543846</v>
      </c>
      <c r="AC264" s="227">
        <f t="shared" si="118"/>
        <v>-84.186409009573424</v>
      </c>
      <c r="AD264" s="229">
        <f t="shared" si="119"/>
        <v>-10.920109077951231</v>
      </c>
      <c r="AE264" s="229">
        <f t="shared" si="120"/>
        <v>165.36355988762847</v>
      </c>
      <c r="AF264" s="227">
        <f t="shared" si="108"/>
        <v>3.2536070285926151</v>
      </c>
      <c r="AG264" s="227">
        <f t="shared" si="109"/>
        <v>81.177150878055045</v>
      </c>
      <c r="AH264" s="229" t="str">
        <f t="shared" si="110"/>
        <v>0.275211996766136-0.071874297519091i</v>
      </c>
    </row>
    <row r="265" spans="9:34" x14ac:dyDescent="0.2">
      <c r="I265" s="227">
        <v>261</v>
      </c>
      <c r="J265" s="227">
        <f t="shared" si="98"/>
        <v>3.5447819794904678</v>
      </c>
      <c r="K265" s="227">
        <f t="shared" si="97"/>
        <v>3505.7583692235708</v>
      </c>
      <c r="L265" s="227">
        <f t="shared" si="111"/>
        <v>22027.329476027408</v>
      </c>
      <c r="M265" s="227">
        <f t="shared" si="99"/>
        <v>2234.8063239903709</v>
      </c>
      <c r="N265" s="227">
        <f>SQRT((ABS(AC265)-171.5+'Small Signal'!C$59)^2)</f>
        <v>16.768400302793765</v>
      </c>
      <c r="O265" s="227">
        <f t="shared" si="112"/>
        <v>80.796343643009777</v>
      </c>
      <c r="P265" s="227">
        <f t="shared" si="113"/>
        <v>3.0700658624137631</v>
      </c>
      <c r="Q265" s="227">
        <f t="shared" si="114"/>
        <v>3505.7583692235708</v>
      </c>
      <c r="R265" s="227" t="str">
        <f t="shared" si="100"/>
        <v>0.0945666666666667+0.103528448537329i</v>
      </c>
      <c r="S265" s="227" t="str">
        <f t="shared" si="101"/>
        <v>0.0085-1.73865253988712i</v>
      </c>
      <c r="T265" s="227" t="str">
        <f t="shared" si="102"/>
        <v>0.234972427700375-1.70633703986143i</v>
      </c>
      <c r="U265" s="227" t="str">
        <f t="shared" si="103"/>
        <v>-12.6710940808007-75.881338122658i</v>
      </c>
      <c r="V265" s="227">
        <f t="shared" si="115"/>
        <v>37.722141542056541</v>
      </c>
      <c r="W265" s="227">
        <f t="shared" si="116"/>
        <v>-99.480103370849832</v>
      </c>
      <c r="X265" s="227" t="str">
        <f t="shared" si="104"/>
        <v>0.999912602014269-0.0027530094159727i</v>
      </c>
      <c r="Y265" s="227" t="str">
        <f t="shared" si="105"/>
        <v>220.970879636529-58.0257210531163i</v>
      </c>
      <c r="Z265" s="227" t="str">
        <f t="shared" si="106"/>
        <v>114.978751971172-30.5314183536423i</v>
      </c>
      <c r="AA265" s="227" t="str">
        <f t="shared" si="107"/>
        <v>0.460096122646064-4.98960350875169i</v>
      </c>
      <c r="AB265" s="227">
        <f t="shared" si="117"/>
        <v>13.99809207432174</v>
      </c>
      <c r="AC265" s="227">
        <f t="shared" si="118"/>
        <v>-84.731599697206235</v>
      </c>
      <c r="AD265" s="229">
        <f t="shared" si="119"/>
        <v>-10.928026211907977</v>
      </c>
      <c r="AE265" s="229">
        <f t="shared" si="120"/>
        <v>165.52794334021601</v>
      </c>
      <c r="AF265" s="227">
        <f t="shared" si="108"/>
        <v>3.0700658624137631</v>
      </c>
      <c r="AG265" s="227">
        <f t="shared" si="109"/>
        <v>80.796343643009777</v>
      </c>
      <c r="AH265" s="229" t="str">
        <f t="shared" si="110"/>
        <v>0.275166146935901-0.0710196471583578i</v>
      </c>
    </row>
    <row r="266" spans="9:34" x14ac:dyDescent="0.2">
      <c r="I266" s="227">
        <v>262</v>
      </c>
      <c r="J266" s="227">
        <f t="shared" si="98"/>
        <v>3.5545321020172511</v>
      </c>
      <c r="K266" s="227">
        <f t="shared" si="97"/>
        <v>3585.3544938648442</v>
      </c>
      <c r="L266" s="227">
        <f t="shared" si="111"/>
        <v>22527.446676881893</v>
      </c>
      <c r="M266" s="227">
        <f t="shared" si="99"/>
        <v>2153.403017452727</v>
      </c>
      <c r="N266" s="227">
        <f>SQRT((ABS(AC266)-171.5+'Small Signal'!C$59)^2)</f>
        <v>16.224892255394735</v>
      </c>
      <c r="O266" s="227">
        <f t="shared" si="112"/>
        <v>80.410465316610015</v>
      </c>
      <c r="P266" s="227">
        <f t="shared" si="113"/>
        <v>2.8864884362596612</v>
      </c>
      <c r="Q266" s="227">
        <f t="shared" si="114"/>
        <v>3585.3544938648442</v>
      </c>
      <c r="R266" s="227" t="str">
        <f t="shared" si="100"/>
        <v>0.0945666666666667+0.105878999381345i</v>
      </c>
      <c r="S266" s="227" t="str">
        <f t="shared" si="101"/>
        <v>0.0085-1.70005384497159i</v>
      </c>
      <c r="T266" s="227" t="str">
        <f t="shared" si="102"/>
        <v>0.225192985486893-1.6697249457241i</v>
      </c>
      <c r="U266" s="227" t="str">
        <f t="shared" si="103"/>
        <v>-15.8243443481005-73.5309545575138i</v>
      </c>
      <c r="V266" s="227">
        <f t="shared" si="115"/>
        <v>37.526023888372833</v>
      </c>
      <c r="W266" s="227">
        <f t="shared" si="116"/>
        <v>-102.14519222429975</v>
      </c>
      <c r="X266" s="227" t="str">
        <f t="shared" si="104"/>
        <v>0.999908588324646-0.0028155148306459i</v>
      </c>
      <c r="Y266" s="227" t="str">
        <f t="shared" si="105"/>
        <v>218.163095416411-66.0702836643942i</v>
      </c>
      <c r="Z266" s="227" t="str">
        <f t="shared" si="106"/>
        <v>113.502568535736-34.7232473609847i</v>
      </c>
      <c r="AA266" s="227" t="str">
        <f t="shared" si="107"/>
        <v>0.404468705104077-4.89361292380337i</v>
      </c>
      <c r="AB266" s="227">
        <f t="shared" si="117"/>
        <v>13.822159864336385</v>
      </c>
      <c r="AC266" s="227">
        <f t="shared" si="118"/>
        <v>-85.275107744605265</v>
      </c>
      <c r="AD266" s="229">
        <f t="shared" si="119"/>
        <v>-10.935671428076724</v>
      </c>
      <c r="AE266" s="229">
        <f t="shared" si="120"/>
        <v>165.68557306121528</v>
      </c>
      <c r="AF266" s="227">
        <f t="shared" si="108"/>
        <v>2.8864884362596612</v>
      </c>
      <c r="AG266" s="227">
        <f t="shared" si="109"/>
        <v>80.410465316610015</v>
      </c>
      <c r="AH266" s="229" t="str">
        <f t="shared" si="110"/>
        <v>0.275118229208826-0.0702005370252621i</v>
      </c>
    </row>
    <row r="267" spans="9:34" x14ac:dyDescent="0.2">
      <c r="I267" s="227">
        <v>263</v>
      </c>
      <c r="J267" s="227">
        <f t="shared" si="98"/>
        <v>3.5642822245440344</v>
      </c>
      <c r="K267" s="227">
        <f t="shared" si="97"/>
        <v>3666.7578004024881</v>
      </c>
      <c r="L267" s="227">
        <f t="shared" si="111"/>
        <v>23038.918736475051</v>
      </c>
      <c r="M267" s="227">
        <f t="shared" si="99"/>
        <v>2070.1514980461466</v>
      </c>
      <c r="N267" s="227">
        <f>SQRT((ABS(AC267)-171.5+'Small Signal'!C$59)^2)</f>
        <v>15.682900683148233</v>
      </c>
      <c r="O267" s="227">
        <f t="shared" si="112"/>
        <v>80.019397755665295</v>
      </c>
      <c r="P267" s="227">
        <f t="shared" si="113"/>
        <v>2.7028930687274073</v>
      </c>
      <c r="Q267" s="227">
        <f t="shared" si="114"/>
        <v>3666.7578004024881</v>
      </c>
      <c r="R267" s="227" t="str">
        <f t="shared" si="100"/>
        <v>0.0945666666666667+0.108282918061433i</v>
      </c>
      <c r="S267" s="227" t="str">
        <f t="shared" si="101"/>
        <v>0.0085-1.66231205459276i</v>
      </c>
      <c r="T267" s="227" t="str">
        <f t="shared" si="102"/>
        <v>0.215829014608005-1.63384475331299i</v>
      </c>
      <c r="U267" s="227" t="str">
        <f t="shared" si="103"/>
        <v>-18.7599764981508-70.9657198465655i</v>
      </c>
      <c r="V267" s="227">
        <f t="shared" si="115"/>
        <v>37.31433238287439</v>
      </c>
      <c r="W267" s="227">
        <f t="shared" si="116"/>
        <v>-104.80756514710684</v>
      </c>
      <c r="X267" s="227" t="str">
        <f t="shared" si="104"/>
        <v>0.999904390309214-0.00287943939297649i</v>
      </c>
      <c r="Y267" s="227" t="str">
        <f t="shared" si="105"/>
        <v>214.686974674672-73.8521814175188i</v>
      </c>
      <c r="Z267" s="227" t="str">
        <f t="shared" si="106"/>
        <v>111.678184314876-38.7772385053593i</v>
      </c>
      <c r="AA267" s="227" t="str">
        <f t="shared" si="107"/>
        <v>0.350967301797886-4.79887248023452i</v>
      </c>
      <c r="AB267" s="227">
        <f t="shared" si="117"/>
        <v>13.645951753660945</v>
      </c>
      <c r="AC267" s="227">
        <f t="shared" si="118"/>
        <v>-85.817099316851767</v>
      </c>
      <c r="AD267" s="229">
        <f t="shared" si="119"/>
        <v>-10.943058684933538</v>
      </c>
      <c r="AE267" s="229">
        <f t="shared" si="120"/>
        <v>165.83649707251706</v>
      </c>
      <c r="AF267" s="227">
        <f t="shared" si="108"/>
        <v>2.7028930687274073</v>
      </c>
      <c r="AG267" s="227">
        <f t="shared" si="109"/>
        <v>80.019397755665295</v>
      </c>
      <c r="AH267" s="229" t="str">
        <f t="shared" si="110"/>
        <v>0.275068149182284-0.0694165364951093i</v>
      </c>
    </row>
    <row r="268" spans="9:34" x14ac:dyDescent="0.2">
      <c r="I268" s="227">
        <v>264</v>
      </c>
      <c r="J268" s="227">
        <f t="shared" si="98"/>
        <v>3.5740323470708177</v>
      </c>
      <c r="K268" s="227">
        <f t="shared" si="97"/>
        <v>3750.0093198090685</v>
      </c>
      <c r="L268" s="227">
        <f t="shared" si="111"/>
        <v>23562.003460010852</v>
      </c>
      <c r="M268" s="227">
        <f t="shared" si="99"/>
        <v>1985.0098032146261</v>
      </c>
      <c r="N268" s="227">
        <f>SQRT((ABS(AC268)-171.5+'Small Signal'!C$59)^2)</f>
        <v>15.142257243123595</v>
      </c>
      <c r="O268" s="227">
        <f t="shared" si="112"/>
        <v>79.623019329682165</v>
      </c>
      <c r="P268" s="227">
        <f t="shared" si="113"/>
        <v>2.5192982332700424</v>
      </c>
      <c r="Q268" s="227">
        <f t="shared" si="114"/>
        <v>3750.0093198090685</v>
      </c>
      <c r="R268" s="227" t="str">
        <f t="shared" si="100"/>
        <v>0.0945666666666667+0.110741416262051i</v>
      </c>
      <c r="S268" s="227" t="str">
        <f t="shared" si="101"/>
        <v>0.0085-1.62540814517001i</v>
      </c>
      <c r="T268" s="227" t="str">
        <f t="shared" si="102"/>
        <v>0.206863440592232-1.59868529927054i</v>
      </c>
      <c r="U268" s="227" t="str">
        <f t="shared" si="103"/>
        <v>-21.4553993826953-68.2149664391847i</v>
      </c>
      <c r="V268" s="227">
        <f t="shared" si="115"/>
        <v>37.087280959406058</v>
      </c>
      <c r="W268" s="227">
        <f t="shared" si="116"/>
        <v>-107.4597316953064</v>
      </c>
      <c r="X268" s="227" t="str">
        <f t="shared" si="104"/>
        <v>0.999899999502943-0.00294481532385422i</v>
      </c>
      <c r="Y268" s="227" t="str">
        <f t="shared" si="105"/>
        <v>210.583728897261-81.2944367731402i</v>
      </c>
      <c r="Z268" s="227" t="str">
        <f t="shared" si="106"/>
        <v>109.527188423818-42.6533006529846i</v>
      </c>
      <c r="AA268" s="227" t="str">
        <f t="shared" si="107"/>
        <v>0.299523174677194-4.70540370931438i</v>
      </c>
      <c r="AB268" s="227">
        <f t="shared" si="117"/>
        <v>13.469499770657531</v>
      </c>
      <c r="AC268" s="227">
        <f t="shared" si="118"/>
        <v>-86.357742756876405</v>
      </c>
      <c r="AD268" s="229">
        <f t="shared" si="119"/>
        <v>-10.950201537387489</v>
      </c>
      <c r="AE268" s="229">
        <f t="shared" si="120"/>
        <v>165.98076208655857</v>
      </c>
      <c r="AF268" s="227">
        <f t="shared" si="108"/>
        <v>2.5192982332700424</v>
      </c>
      <c r="AG268" s="227">
        <f t="shared" si="109"/>
        <v>79.623019329682165</v>
      </c>
      <c r="AH268" s="229" t="str">
        <f t="shared" si="110"/>
        <v>0.27501580830041-0.0686672314198162i</v>
      </c>
    </row>
    <row r="269" spans="9:34" x14ac:dyDescent="0.2">
      <c r="I269" s="227">
        <v>265</v>
      </c>
      <c r="J269" s="227">
        <f t="shared" si="98"/>
        <v>3.5837824695976011</v>
      </c>
      <c r="K269" s="227">
        <f t="shared" si="97"/>
        <v>3835.151014640589</v>
      </c>
      <c r="L269" s="227">
        <f t="shared" si="111"/>
        <v>24096.964506004631</v>
      </c>
      <c r="M269" s="227">
        <f t="shared" si="99"/>
        <v>1897.9350176677126</v>
      </c>
      <c r="N269" s="227">
        <f>SQRT((ABS(AC269)-171.5+'Small Signal'!C$59)^2)</f>
        <v>14.60279167194679</v>
      </c>
      <c r="O269" s="227">
        <f t="shared" si="112"/>
        <v>79.221205092776273</v>
      </c>
      <c r="P269" s="227">
        <f t="shared" si="113"/>
        <v>2.3357225664612837</v>
      </c>
      <c r="Q269" s="227">
        <f t="shared" si="114"/>
        <v>3835.151014640589</v>
      </c>
      <c r="R269" s="227" t="str">
        <f t="shared" si="100"/>
        <v>0.0945666666666667+0.113255733178222i</v>
      </c>
      <c r="S269" s="227" t="str">
        <f t="shared" si="101"/>
        <v>0.0085-1.58932351545284i</v>
      </c>
      <c r="T269" s="227" t="str">
        <f t="shared" si="102"/>
        <v>0.19827984179367-1.56423535591804i</v>
      </c>
      <c r="U269" s="227" t="str">
        <f t="shared" si="103"/>
        <v>-23.8932523275531-65.3108511066893i</v>
      </c>
      <c r="V269" s="227">
        <f t="shared" si="115"/>
        <v>36.845217436720382</v>
      </c>
      <c r="W269" s="227">
        <f t="shared" si="116"/>
        <v>-110.09448726574712</v>
      </c>
      <c r="X269" s="227" t="str">
        <f t="shared" si="104"/>
        <v>0.999895407052053-0.00301167557572462i</v>
      </c>
      <c r="Y269" s="227" t="str">
        <f t="shared" si="105"/>
        <v>205.905757672441-88.32856015714i</v>
      </c>
      <c r="Z269" s="227" t="str">
        <f t="shared" si="106"/>
        <v>107.076993730657-46.3157831899243i</v>
      </c>
      <c r="AA269" s="227" t="str">
        <f t="shared" si="107"/>
        <v>0.250068781436655-4.61322522502126i</v>
      </c>
      <c r="AB269" s="227">
        <f t="shared" si="117"/>
        <v>13.292835720927016</v>
      </c>
      <c r="AC269" s="227">
        <f t="shared" si="118"/>
        <v>-86.89720832805321</v>
      </c>
      <c r="AD269" s="229">
        <f t="shared" si="119"/>
        <v>-10.957113154465732</v>
      </c>
      <c r="AE269" s="229">
        <f t="shared" si="120"/>
        <v>166.11841342082948</v>
      </c>
      <c r="AF269" s="227">
        <f t="shared" si="108"/>
        <v>2.3357225664612837</v>
      </c>
      <c r="AG269" s="227">
        <f t="shared" si="109"/>
        <v>79.221205092776273</v>
      </c>
      <c r="AH269" s="229" t="str">
        <f t="shared" si="110"/>
        <v>0.274961103674567-0.0679522238361332i</v>
      </c>
    </row>
    <row r="270" spans="9:34" x14ac:dyDescent="0.2">
      <c r="I270" s="227">
        <v>266</v>
      </c>
      <c r="J270" s="227">
        <f t="shared" si="98"/>
        <v>3.5935325921243844</v>
      </c>
      <c r="K270" s="227">
        <f t="shared" si="97"/>
        <v>3922.2258001875025</v>
      </c>
      <c r="L270" s="227">
        <f t="shared" si="111"/>
        <v>24644.071519178811</v>
      </c>
      <c r="M270" s="227">
        <f t="shared" si="99"/>
        <v>1808.883251749206</v>
      </c>
      <c r="N270" s="227">
        <f>SQRT((ABS(AC270)-171.5+'Small Signal'!C$59)^2)</f>
        <v>14.064332038707718</v>
      </c>
      <c r="O270" s="227">
        <f t="shared" si="112"/>
        <v>78.813826956848132</v>
      </c>
      <c r="P270" s="227">
        <f t="shared" si="113"/>
        <v>2.1521848772751415</v>
      </c>
      <c r="Q270" s="227">
        <f t="shared" si="114"/>
        <v>3922.2258001875025</v>
      </c>
      <c r="R270" s="227" t="str">
        <f t="shared" si="100"/>
        <v>0.0945666666666667+0.11582713614014i</v>
      </c>
      <c r="S270" s="227" t="str">
        <f t="shared" si="101"/>
        <v>0.0085-1.55403997714505i</v>
      </c>
      <c r="T270" s="227" t="str">
        <f t="shared" si="102"/>
        <v>0.190062428626447-1.53048365106171i</v>
      </c>
      <c r="U270" s="227" t="str">
        <f t="shared" si="103"/>
        <v>-26.0617513802358-62.2872219232876i</v>
      </c>
      <c r="V270" s="227">
        <f t="shared" si="115"/>
        <v>36.588612948905308</v>
      </c>
      <c r="W270" s="227">
        <f t="shared" si="116"/>
        <v>-112.7050431239922</v>
      </c>
      <c r="X270" s="227" t="str">
        <f t="shared" si="104"/>
        <v>0.999890603696159-0.00308005384919859i</v>
      </c>
      <c r="Y270" s="227" t="str">
        <f t="shared" si="105"/>
        <v>200.714550799469-94.8964037011339i</v>
      </c>
      <c r="Z270" s="227" t="str">
        <f t="shared" si="106"/>
        <v>104.359740487423-49.7344400776492i</v>
      </c>
      <c r="AA270" s="227" t="str">
        <f t="shared" si="107"/>
        <v>0.202537846343003-4.52235287740946i</v>
      </c>
      <c r="AB270" s="227">
        <f t="shared" si="117"/>
        <v>13.11599121421853</v>
      </c>
      <c r="AC270" s="227">
        <f t="shared" si="118"/>
        <v>-87.435667961292282</v>
      </c>
      <c r="AD270" s="229">
        <f t="shared" si="119"/>
        <v>-10.963806336943389</v>
      </c>
      <c r="AE270" s="229">
        <f t="shared" si="120"/>
        <v>166.24949491814041</v>
      </c>
      <c r="AF270" s="227">
        <f t="shared" si="108"/>
        <v>2.1521848772751415</v>
      </c>
      <c r="AG270" s="227">
        <f t="shared" si="109"/>
        <v>78.813826956848132</v>
      </c>
      <c r="AH270" s="229" t="str">
        <f t="shared" si="110"/>
        <v>0.27490392789683-0.0672711316764693i</v>
      </c>
    </row>
    <row r="271" spans="9:34" x14ac:dyDescent="0.2">
      <c r="I271" s="227">
        <v>267</v>
      </c>
      <c r="J271" s="227">
        <f t="shared" si="98"/>
        <v>3.6032827146511677</v>
      </c>
      <c r="K271" s="227">
        <f t="shared" si="97"/>
        <v>4011.2775661060091</v>
      </c>
      <c r="L271" s="227">
        <f t="shared" si="111"/>
        <v>25203.600266376368</v>
      </c>
      <c r="M271" s="227">
        <f t="shared" si="99"/>
        <v>1717.8096193147903</v>
      </c>
      <c r="N271" s="227">
        <f>SQRT((ABS(AC271)-171.5+'Small Signal'!C$59)^2)</f>
        <v>13.526704993858033</v>
      </c>
      <c r="O271" s="227">
        <f t="shared" si="112"/>
        <v>78.400753866239199</v>
      </c>
      <c r="P271" s="227">
        <f t="shared" si="113"/>
        <v>1.9687041572720698</v>
      </c>
      <c r="Q271" s="227">
        <f t="shared" si="114"/>
        <v>4011.2775661060091</v>
      </c>
      <c r="R271" s="227" t="str">
        <f t="shared" si="100"/>
        <v>0.0945666666666667+0.118456921251969i</v>
      </c>
      <c r="S271" s="227" t="str">
        <f t="shared" si="101"/>
        <v>0.0085-1.51953974573696i</v>
      </c>
      <c r="T271" s="227" t="str">
        <f t="shared" si="102"/>
        <v>0.182196023083915-1.49741888635934i</v>
      </c>
      <c r="U271" s="227" t="str">
        <f t="shared" si="103"/>
        <v>-27.954755113113-59.1784685473347i</v>
      </c>
      <c r="V271" s="227">
        <f t="shared" si="115"/>
        <v>36.31804801033681</v>
      </c>
      <c r="W271" s="227">
        <f t="shared" si="116"/>
        <v>-115.28513734108709</v>
      </c>
      <c r="X271" s="227" t="str">
        <f t="shared" si="104"/>
        <v>0.999885579749601-0.00314998461003906i</v>
      </c>
      <c r="Y271" s="227" t="str">
        <f t="shared" si="105"/>
        <v>195.07827986418-100.951428203135i</v>
      </c>
      <c r="Z271" s="227" t="str">
        <f t="shared" si="106"/>
        <v>101.411038762676-52.8850875172187i</v>
      </c>
      <c r="AA271" s="227" t="str">
        <f t="shared" si="107"/>
        <v>0.156865420948726-4.43279990275793i</v>
      </c>
      <c r="AB271" s="227">
        <f t="shared" si="117"/>
        <v>12.938997692169682</v>
      </c>
      <c r="AC271" s="227">
        <f t="shared" si="118"/>
        <v>-87.973295006141967</v>
      </c>
      <c r="AD271" s="229">
        <f t="shared" si="119"/>
        <v>-10.970293534897612</v>
      </c>
      <c r="AE271" s="229">
        <f t="shared" si="120"/>
        <v>166.37404887238117</v>
      </c>
      <c r="AF271" s="227">
        <f t="shared" si="108"/>
        <v>1.9687041572720698</v>
      </c>
      <c r="AG271" s="227">
        <f t="shared" si="109"/>
        <v>78.400753866239199</v>
      </c>
      <c r="AH271" s="229" t="str">
        <f t="shared" si="110"/>
        <v>0.274844168846298-0.0666235884818216i</v>
      </c>
    </row>
    <row r="272" spans="9:34" x14ac:dyDescent="0.2">
      <c r="I272" s="227">
        <v>268</v>
      </c>
      <c r="J272" s="227">
        <f t="shared" si="98"/>
        <v>3.6130328371779514</v>
      </c>
      <c r="K272" s="227">
        <f t="shared" si="97"/>
        <v>4102.3511985404248</v>
      </c>
      <c r="L272" s="227">
        <f t="shared" si="111"/>
        <v>25775.832775559764</v>
      </c>
      <c r="M272" s="227">
        <f t="shared" si="99"/>
        <v>1624.6682151073983</v>
      </c>
      <c r="N272" s="227">
        <f>SQRT((ABS(AC272)-171.5+'Small Signal'!C$59)^2)</f>
        <v>12.989736014623801</v>
      </c>
      <c r="O272" s="227">
        <f t="shared" si="112"/>
        <v>77.981851974129128</v>
      </c>
      <c r="P272" s="227">
        <f t="shared" si="113"/>
        <v>1.7852995915805927</v>
      </c>
      <c r="Q272" s="227">
        <f t="shared" si="114"/>
        <v>4102.3511985404248</v>
      </c>
      <c r="R272" s="227" t="str">
        <f t="shared" si="100"/>
        <v>0.0945666666666667+0.121146414045131i</v>
      </c>
      <c r="S272" s="227" t="str">
        <f t="shared" si="101"/>
        <v>0.0085-1.48580543154124i</v>
      </c>
      <c r="T272" s="227" t="str">
        <f t="shared" si="102"/>
        <v>0.174666038577771-1.46502975432526i</v>
      </c>
      <c r="U272" s="227" t="str">
        <f t="shared" si="103"/>
        <v>-29.5715664448039-56.0184309733211i</v>
      </c>
      <c r="V272" s="227">
        <f t="shared" si="115"/>
        <v>36.034196075875244</v>
      </c>
      <c r="W272" s="227">
        <f t="shared" si="116"/>
        <v>-117.82912271350058</v>
      </c>
      <c r="X272" s="227" t="str">
        <f t="shared" si="104"/>
        <v>0.999880325081912-0.00322150310653325i</v>
      </c>
      <c r="Y272" s="227" t="str">
        <f t="shared" si="105"/>
        <v>189.069257065497-106.459345099853i</v>
      </c>
      <c r="Z272" s="227" t="str">
        <f t="shared" si="106"/>
        <v>98.2686424362637-55.7499355212968i</v>
      </c>
      <c r="AA272" s="227" t="str">
        <f t="shared" si="107"/>
        <v>0.112987935369703-4.34457707011511i</v>
      </c>
      <c r="AB272" s="227">
        <f t="shared" si="117"/>
        <v>12.761886456750172</v>
      </c>
      <c r="AC272" s="227">
        <f t="shared" si="118"/>
        <v>-88.510263985376199</v>
      </c>
      <c r="AD272" s="229">
        <f t="shared" si="119"/>
        <v>-10.97658686516958</v>
      </c>
      <c r="AE272" s="229">
        <f t="shared" si="120"/>
        <v>166.49211595950533</v>
      </c>
      <c r="AF272" s="227">
        <f t="shared" si="108"/>
        <v>1.7852995915805927</v>
      </c>
      <c r="AG272" s="227">
        <f t="shared" si="109"/>
        <v>77.981851974129128</v>
      </c>
      <c r="AH272" s="229" t="str">
        <f t="shared" si="110"/>
        <v>0.274781709488014-0.0660092431162753i</v>
      </c>
    </row>
    <row r="273" spans="9:34" x14ac:dyDescent="0.2">
      <c r="I273" s="227">
        <v>269</v>
      </c>
      <c r="J273" s="227">
        <f t="shared" si="98"/>
        <v>3.6227829597047347</v>
      </c>
      <c r="K273" s="227">
        <f t="shared" si="97"/>
        <v>4195.4926027478168</v>
      </c>
      <c r="L273" s="227">
        <f t="shared" si="111"/>
        <v>26361.057477965722</v>
      </c>
      <c r="M273" s="227">
        <f t="shared" si="99"/>
        <v>1529.4120916188267</v>
      </c>
      <c r="N273" s="227">
        <f>SQRT((ABS(AC273)-171.5+'Small Signal'!C$59)^2)</f>
        <v>12.453249647486416</v>
      </c>
      <c r="O273" s="227">
        <f t="shared" si="112"/>
        <v>77.556984820972247</v>
      </c>
      <c r="P273" s="227">
        <f t="shared" si="113"/>
        <v>1.6019905705657838</v>
      </c>
      <c r="Q273" s="227">
        <f t="shared" si="114"/>
        <v>4195.4926027478168</v>
      </c>
      <c r="R273" s="227" t="str">
        <f t="shared" si="100"/>
        <v>0.0945666666666667+0.123896970146439i</v>
      </c>
      <c r="S273" s="227" t="str">
        <f t="shared" si="101"/>
        <v>0.0085-1.45282003092772i</v>
      </c>
      <c r="T273" s="227" t="str">
        <f t="shared" si="102"/>
        <v>0.167458460127362-1.43330495404829i</v>
      </c>
      <c r="U273" s="227" t="str">
        <f t="shared" si="103"/>
        <v>-30.9165075187387-52.8394299266073i</v>
      </c>
      <c r="V273" s="227">
        <f t="shared" si="115"/>
        <v>35.7378055443126</v>
      </c>
      <c r="W273" s="227">
        <f t="shared" si="116"/>
        <v>-120.33202952872458</v>
      </c>
      <c r="X273" s="227" t="str">
        <f t="shared" si="104"/>
        <v>0.999874829097389-0.00329464538725942i</v>
      </c>
      <c r="Y273" s="227" t="str">
        <f t="shared" si="105"/>
        <v>182.761433423325-111.398151243453i</v>
      </c>
      <c r="Z273" s="227" t="str">
        <f t="shared" si="106"/>
        <v>94.9711444978884-58.317602890151i</v>
      </c>
      <c r="AA273" s="227" t="str">
        <f t="shared" si="107"/>
        <v>0.0708432407888522-4.25769282391915i</v>
      </c>
      <c r="AB273" s="227">
        <f t="shared" si="117"/>
        <v>12.584688699287801</v>
      </c>
      <c r="AC273" s="227">
        <f t="shared" si="118"/>
        <v>-89.046750352513584</v>
      </c>
      <c r="AD273" s="229">
        <f t="shared" si="119"/>
        <v>-10.982698128722017</v>
      </c>
      <c r="AE273" s="229">
        <f t="shared" si="120"/>
        <v>166.60373517348583</v>
      </c>
      <c r="AF273" s="227">
        <f t="shared" si="108"/>
        <v>1.6019905705657838</v>
      </c>
      <c r="AG273" s="227">
        <f t="shared" si="109"/>
        <v>77.556984820972247</v>
      </c>
      <c r="AH273" s="229" t="str">
        <f t="shared" si="110"/>
        <v>0.274716427664247-0.0654277594825287i</v>
      </c>
    </row>
    <row r="274" spans="9:34" x14ac:dyDescent="0.2">
      <c r="I274" s="227">
        <v>270</v>
      </c>
      <c r="J274" s="227">
        <f t="shared" si="98"/>
        <v>3.6325330822315181</v>
      </c>
      <c r="K274" s="227">
        <f t="shared" si="97"/>
        <v>4290.7487262363884</v>
      </c>
      <c r="L274" s="227">
        <f t="shared" si="111"/>
        <v>26959.569353488001</v>
      </c>
      <c r="M274" s="227">
        <f t="shared" si="99"/>
        <v>1431.9932354260836</v>
      </c>
      <c r="N274" s="227">
        <f>SQRT((ABS(AC274)-171.5+'Small Signal'!C$59)^2)</f>
        <v>11.917069748304243</v>
      </c>
      <c r="O274" s="227">
        <f t="shared" si="112"/>
        <v>77.126013515303299</v>
      </c>
      <c r="P274" s="227">
        <f t="shared" si="113"/>
        <v>1.4187967020735019</v>
      </c>
      <c r="Q274" s="227">
        <f t="shared" si="114"/>
        <v>4290.7487262363884</v>
      </c>
      <c r="R274" s="227" t="str">
        <f t="shared" si="100"/>
        <v>0.0945666666666667+0.126709975961394i</v>
      </c>
      <c r="S274" s="227" t="str">
        <f t="shared" si="101"/>
        <v>0.0085-1.42056691775273i</v>
      </c>
      <c r="T274" s="227" t="str">
        <f t="shared" si="102"/>
        <v>0.160559824924921-1.40223320569421i</v>
      </c>
      <c r="U274" s="227" t="str">
        <f t="shared" si="103"/>
        <v>-31.9983189584517-49.6714648339308i</v>
      </c>
      <c r="V274" s="227">
        <f t="shared" si="115"/>
        <v>35.429681152857825</v>
      </c>
      <c r="W274" s="227">
        <f t="shared" si="116"/>
        <v>-122.78960281647495</v>
      </c>
      <c r="X274" s="227" t="str">
        <f t="shared" si="104"/>
        <v>0.99986908071373-0.00336944831925703i</v>
      </c>
      <c r="Y274" s="227" t="str">
        <f t="shared" si="105"/>
        <v>176.228085409154-115.757621869659i</v>
      </c>
      <c r="Z274" s="227" t="str">
        <f t="shared" si="106"/>
        <v>91.5567712903139-60.5828498784023i</v>
      </c>
      <c r="AA274" s="227" t="str">
        <f t="shared" si="107"/>
        <v>0.0303706438287446-4.17215342242813i</v>
      </c>
      <c r="AB274" s="227">
        <f t="shared" si="117"/>
        <v>12.407435529953506</v>
      </c>
      <c r="AC274" s="227">
        <f t="shared" si="118"/>
        <v>-89.582930251695757</v>
      </c>
      <c r="AD274" s="229">
        <f t="shared" si="119"/>
        <v>-10.988638827880004</v>
      </c>
      <c r="AE274" s="229">
        <f t="shared" si="120"/>
        <v>166.70894376699906</v>
      </c>
      <c r="AF274" s="227">
        <f t="shared" si="108"/>
        <v>1.4187967020735019</v>
      </c>
      <c r="AG274" s="227">
        <f t="shared" si="109"/>
        <v>77.126013515303299</v>
      </c>
      <c r="AH274" s="229" t="str">
        <f t="shared" si="110"/>
        <v>0.274648195877978-0.0648788162378729i</v>
      </c>
    </row>
    <row r="275" spans="9:34" x14ac:dyDescent="0.2">
      <c r="I275" s="227">
        <v>271</v>
      </c>
      <c r="J275" s="227">
        <f t="shared" si="98"/>
        <v>3.6422832047583014</v>
      </c>
      <c r="K275" s="227">
        <f t="shared" si="97"/>
        <v>4388.1675824291315</v>
      </c>
      <c r="L275" s="227">
        <f t="shared" si="111"/>
        <v>27571.670079360483</v>
      </c>
      <c r="M275" s="227">
        <f t="shared" si="99"/>
        <v>1332.3625429904314</v>
      </c>
      <c r="N275" s="227">
        <f>SQRT((ABS(AC275)-171.5+'Small Signal'!C$59)^2)</f>
        <v>11.381019720670452</v>
      </c>
      <c r="O275" s="227">
        <f t="shared" si="112"/>
        <v>76.688796917273379</v>
      </c>
      <c r="P275" s="227">
        <f t="shared" si="113"/>
        <v>1.2357378241407595</v>
      </c>
      <c r="Q275" s="227">
        <f t="shared" si="114"/>
        <v>4388.1675824291315</v>
      </c>
      <c r="R275" s="227" t="str">
        <f t="shared" si="100"/>
        <v>0.0945666666666667+0.129586849372994i</v>
      </c>
      <c r="S275" s="227" t="str">
        <f t="shared" si="101"/>
        <v>0.0085-1.38902983497886i</v>
      </c>
      <c r="T275" s="227" t="str">
        <f t="shared" si="102"/>
        <v>0.153957203298469-1.37180326386235i</v>
      </c>
      <c r="U275" s="227" t="str">
        <f t="shared" si="103"/>
        <v>-32.8294418619701-46.5416057636655i</v>
      </c>
      <c r="V275" s="227">
        <f t="shared" si="115"/>
        <v>35.110665633922082</v>
      </c>
      <c r="W275" s="227">
        <f t="shared" si="116"/>
        <v>-125.19831530950911</v>
      </c>
      <c r="X275" s="227" t="str">
        <f t="shared" si="104"/>
        <v>0.999863068339687-0.00344594960660939i</v>
      </c>
      <c r="Y275" s="227" t="str">
        <f t="shared" si="105"/>
        <v>169.539803917087-119.538361424997i</v>
      </c>
      <c r="Z275" s="227" t="str">
        <f t="shared" si="106"/>
        <v>88.0623349781414-62.5460806720437i</v>
      </c>
      <c r="AA275" s="227" t="str">
        <f t="shared" si="107"/>
        <v>-0.0084890665847027-4.08796307175058i</v>
      </c>
      <c r="AB275" s="227">
        <f t="shared" si="117"/>
        <v>12.230158007589559</v>
      </c>
      <c r="AC275" s="227">
        <f t="shared" si="118"/>
        <v>-90.118980279329548</v>
      </c>
      <c r="AD275" s="229">
        <f t="shared" si="119"/>
        <v>-10.994420183448799</v>
      </c>
      <c r="AE275" s="229">
        <f t="shared" si="120"/>
        <v>166.80777719660293</v>
      </c>
      <c r="AF275" s="227">
        <f t="shared" si="108"/>
        <v>1.2357378241407595</v>
      </c>
      <c r="AG275" s="227">
        <f t="shared" si="109"/>
        <v>76.688796917273379</v>
      </c>
      <c r="AH275" s="229" t="str">
        <f t="shared" si="110"/>
        <v>0.274576881068328-0.0643621065100246i</v>
      </c>
    </row>
    <row r="276" spans="9:34" x14ac:dyDescent="0.2">
      <c r="I276" s="227">
        <v>272</v>
      </c>
      <c r="J276" s="227">
        <f t="shared" si="98"/>
        <v>3.6520333272850847</v>
      </c>
      <c r="K276" s="227">
        <f t="shared" si="97"/>
        <v>4487.7982748647837</v>
      </c>
      <c r="L276" s="227">
        <f t="shared" si="111"/>
        <v>28197.668182216305</v>
      </c>
      <c r="M276" s="227">
        <f t="shared" si="99"/>
        <v>1230.4697959069608</v>
      </c>
      <c r="N276" s="227">
        <f>SQRT((ABS(AC276)-171.5+'Small Signal'!C$59)^2)</f>
        <v>10.844922753113963</v>
      </c>
      <c r="O276" s="227">
        <f t="shared" si="112"/>
        <v>76.245191825303067</v>
      </c>
      <c r="P276" s="227">
        <f t="shared" si="113"/>
        <v>1.0528340180594853</v>
      </c>
      <c r="Q276" s="227">
        <f t="shared" si="114"/>
        <v>4487.7982748647837</v>
      </c>
      <c r="R276" s="227" t="str">
        <f t="shared" si="100"/>
        <v>0.0945666666666667+0.132529040456417i</v>
      </c>
      <c r="S276" s="227" t="str">
        <f t="shared" si="101"/>
        <v>0.0085-1.35819288648057i</v>
      </c>
      <c r="T276" s="227" t="str">
        <f t="shared" si="102"/>
        <v>0.147638180090269-1.34200392986162i</v>
      </c>
      <c r="U276" s="227" t="str">
        <f t="shared" si="103"/>
        <v>-33.4252410148209-43.4735866943597i</v>
      </c>
      <c r="V276" s="227">
        <f t="shared" si="115"/>
        <v>34.781622371708124</v>
      </c>
      <c r="W276" s="227">
        <f t="shared" si="116"/>
        <v>-127.55535859833385</v>
      </c>
      <c r="X276" s="227" t="str">
        <f t="shared" si="104"/>
        <v>0.999856779851692-0.00352418780944822i</v>
      </c>
      <c r="Y276" s="227" t="str">
        <f t="shared" si="105"/>
        <v>162.762858669928-122.750530814364i</v>
      </c>
      <c r="Z276" s="227" t="str">
        <f t="shared" si="106"/>
        <v>84.5223822104699-64.2126775963817i</v>
      </c>
      <c r="AA276" s="227" t="str">
        <f t="shared" si="107"/>
        <v>-0.0457935992690141-4.00512405531228i</v>
      </c>
      <c r="AB276" s="227">
        <f t="shared" si="117"/>
        <v>12.052887169761565</v>
      </c>
      <c r="AC276" s="227">
        <f t="shared" si="118"/>
        <v>-90.655077246886037</v>
      </c>
      <c r="AD276" s="229">
        <f t="shared" si="119"/>
        <v>-11.00005315170208</v>
      </c>
      <c r="AE276" s="229">
        <f t="shared" si="120"/>
        <v>166.9002690721891</v>
      </c>
      <c r="AF276" s="227">
        <f t="shared" si="108"/>
        <v>1.0528340180594853</v>
      </c>
      <c r="AG276" s="227">
        <f t="shared" si="109"/>
        <v>76.245191825303067</v>
      </c>
      <c r="AH276" s="229" t="str">
        <f t="shared" si="110"/>
        <v>0.274502344377758-0.0638773376121874i</v>
      </c>
    </row>
    <row r="277" spans="9:34" x14ac:dyDescent="0.2">
      <c r="I277" s="227">
        <v>273</v>
      </c>
      <c r="J277" s="227">
        <f t="shared" si="98"/>
        <v>3.661783449811868</v>
      </c>
      <c r="K277" s="227">
        <f t="shared" si="97"/>
        <v>4589.6910219482543</v>
      </c>
      <c r="L277" s="227">
        <f t="shared" si="111"/>
        <v>28837.879193599332</v>
      </c>
      <c r="M277" s="227">
        <f t="shared" si="99"/>
        <v>1126.2636355922568</v>
      </c>
      <c r="N277" s="227">
        <f>SQRT((ABS(AC277)-171.5+'Small Signal'!C$59)^2)</f>
        <v>10.308602055758271</v>
      </c>
      <c r="O277" s="227">
        <f t="shared" si="112"/>
        <v>75.795053166255215</v>
      </c>
      <c r="P277" s="227">
        <f t="shared" si="113"/>
        <v>0.87010562168187811</v>
      </c>
      <c r="Q277" s="227">
        <f t="shared" si="114"/>
        <v>4589.6910219482543</v>
      </c>
      <c r="R277" s="227" t="str">
        <f t="shared" si="100"/>
        <v>0.0945666666666667+0.135538032209917i</v>
      </c>
      <c r="S277" s="227" t="str">
        <f t="shared" si="101"/>
        <v>0.0085-1.32804052903189i</v>
      </c>
      <c r="T277" s="227" t="str">
        <f t="shared" si="102"/>
        <v>0.141590836465471-1.31282406297001i</v>
      </c>
      <c r="U277" s="227" t="str">
        <f t="shared" si="103"/>
        <v>-33.8032222647028-40.48759113687i</v>
      </c>
      <c r="V277" s="227">
        <f t="shared" si="115"/>
        <v>34.443419627914778</v>
      </c>
      <c r="W277" s="227">
        <f t="shared" si="116"/>
        <v>-129.85861583201421</v>
      </c>
      <c r="X277" s="227" t="str">
        <f t="shared" si="104"/>
        <v>0.999850202569408-0.00360420236338972i</v>
      </c>
      <c r="Y277" s="227" t="str">
        <f t="shared" si="105"/>
        <v>155.957970606979-125.412373718604i</v>
      </c>
      <c r="Z277" s="227" t="str">
        <f t="shared" si="106"/>
        <v>80.9685557952523-65.5922310564507i</v>
      </c>
      <c r="AA277" s="227" t="str">
        <f t="shared" si="107"/>
        <v>-0.0815991471689276-3.92363685864066i</v>
      </c>
      <c r="AB277" s="227">
        <f t="shared" si="117"/>
        <v>11.875654062919676</v>
      </c>
      <c r="AC277" s="227">
        <f t="shared" si="118"/>
        <v>-91.191397944241729</v>
      </c>
      <c r="AD277" s="229">
        <f t="shared" si="119"/>
        <v>-11.005548441237798</v>
      </c>
      <c r="AE277" s="229">
        <f t="shared" si="120"/>
        <v>166.98645111049694</v>
      </c>
      <c r="AF277" s="227">
        <f t="shared" si="108"/>
        <v>0.87010562168187811</v>
      </c>
      <c r="AG277" s="227">
        <f t="shared" si="109"/>
        <v>75.795053166255215</v>
      </c>
      <c r="AH277" s="229" t="str">
        <f t="shared" si="110"/>
        <v>0.274424440910827-0.063424230756694i</v>
      </c>
    </row>
    <row r="278" spans="9:34" x14ac:dyDescent="0.2">
      <c r="I278" s="227">
        <v>274</v>
      </c>
      <c r="J278" s="227">
        <f t="shared" si="98"/>
        <v>3.6715335723386517</v>
      </c>
      <c r="K278" s="227">
        <f t="shared" si="97"/>
        <v>4693.8971822629583</v>
      </c>
      <c r="L278" s="227">
        <f t="shared" si="111"/>
        <v>29492.62580900628</v>
      </c>
      <c r="M278" s="227">
        <f t="shared" si="99"/>
        <v>1019.6915373972806</v>
      </c>
      <c r="N278" s="227">
        <f>SQRT((ABS(AC278)-171.5+'Small Signal'!C$59)^2)</f>
        <v>9.7718810970588379</v>
      </c>
      <c r="O278" s="227">
        <f t="shared" si="112"/>
        <v>75.338234189551798</v>
      </c>
      <c r="P278" s="227">
        <f t="shared" si="113"/>
        <v>0.68757324285149224</v>
      </c>
      <c r="Q278" s="227">
        <f t="shared" si="114"/>
        <v>4693.8971822629583</v>
      </c>
      <c r="R278" s="227" t="str">
        <f t="shared" si="100"/>
        <v>0.0945666666666667+0.13861534130233i</v>
      </c>
      <c r="S278" s="227" t="str">
        <f t="shared" si="101"/>
        <v>0.0085-1.29855756447194i</v>
      </c>
      <c r="T278" s="227" t="str">
        <f t="shared" si="102"/>
        <v>0.135803732162414-1.28425259073758i</v>
      </c>
      <c r="U278" s="227" t="str">
        <f t="shared" si="103"/>
        <v>-33.9822876184179-37.6002088514883i</v>
      </c>
      <c r="V278" s="227">
        <f t="shared" si="115"/>
        <v>34.096916725564512</v>
      </c>
      <c r="W278" s="227">
        <f t="shared" si="116"/>
        <v>-132.10661978463617</v>
      </c>
      <c r="X278" s="227" t="str">
        <f t="shared" si="104"/>
        <v>0.999843323230168-0.00368603359941192i</v>
      </c>
      <c r="Y278" s="227" t="str">
        <f t="shared" si="105"/>
        <v>149.179489193925-127.548656483508i</v>
      </c>
      <c r="Z278" s="227" t="str">
        <f t="shared" si="106"/>
        <v>77.429167645186-66.6977249172519i</v>
      </c>
      <c r="AA278" s="227" t="str">
        <f t="shared" si="107"/>
        <v>-0.115960379529722-3.84350028938622i</v>
      </c>
      <c r="AB278" s="227">
        <f t="shared" si="117"/>
        <v>11.698489772552609</v>
      </c>
      <c r="AC278" s="227">
        <f t="shared" si="118"/>
        <v>-91.728118902941162</v>
      </c>
      <c r="AD278" s="229">
        <f t="shared" si="119"/>
        <v>-11.010916529701117</v>
      </c>
      <c r="AE278" s="229">
        <f t="shared" si="120"/>
        <v>167.06635309249296</v>
      </c>
      <c r="AF278" s="227">
        <f t="shared" si="108"/>
        <v>0.68757324285149224</v>
      </c>
      <c r="AG278" s="227">
        <f t="shared" si="109"/>
        <v>75.338234189551798</v>
      </c>
      <c r="AH278" s="229" t="str">
        <f t="shared" si="110"/>
        <v>0.274343019484292-0.0630025207665327i</v>
      </c>
    </row>
    <row r="279" spans="9:34" x14ac:dyDescent="0.2">
      <c r="I279" s="227">
        <v>275</v>
      </c>
      <c r="J279" s="227">
        <f t="shared" si="98"/>
        <v>3.6812836948654351</v>
      </c>
      <c r="K279" s="227">
        <f t="shared" si="97"/>
        <v>4800.4692804579345</v>
      </c>
      <c r="L279" s="227">
        <f t="shared" si="111"/>
        <v>30162.238050540254</v>
      </c>
      <c r="M279" s="227">
        <f t="shared" si="99"/>
        <v>910.69978413262015</v>
      </c>
      <c r="N279" s="227">
        <f>SQRT((ABS(AC279)-171.5+'Small Signal'!C$59)^2)</f>
        <v>9.2345838412349934</v>
      </c>
      <c r="O279" s="227">
        <f t="shared" si="112"/>
        <v>74.874586665663017</v>
      </c>
      <c r="P279" s="227">
        <f t="shared" si="113"/>
        <v>0.5052577728451304</v>
      </c>
      <c r="Q279" s="227">
        <f t="shared" si="114"/>
        <v>4800.4692804579345</v>
      </c>
      <c r="R279" s="227" t="str">
        <f t="shared" si="100"/>
        <v>0.0945666666666667+0.141762518837539i</v>
      </c>
      <c r="S279" s="227" t="str">
        <f t="shared" si="101"/>
        <v>0.0085-1.26972913204428i</v>
      </c>
      <c r="T279" s="227" t="str">
        <f t="shared" si="102"/>
        <v>0.130265888193305-1.25627851839062i</v>
      </c>
      <c r="U279" s="227" t="str">
        <f t="shared" si="103"/>
        <v>-33.982060310111-34.8245346444204i</v>
      </c>
      <c r="V279" s="227">
        <f t="shared" si="115"/>
        <v>33.74295240656889</v>
      </c>
      <c r="W279" s="227">
        <f t="shared" si="116"/>
        <v>-134.29850021260094</v>
      </c>
      <c r="X279" s="227" t="str">
        <f t="shared" si="104"/>
        <v>0.999836127962221-0.00376972276418334i</v>
      </c>
      <c r="Y279" s="227" t="str">
        <f t="shared" si="105"/>
        <v>142.474943835538-129.189119351601i</v>
      </c>
      <c r="Z279" s="227" t="str">
        <f t="shared" si="106"/>
        <v>73.9289667997478-67.5447282715703i</v>
      </c>
      <c r="AA279" s="227" t="str">
        <f t="shared" si="107"/>
        <v>-0.148930439339808-3.76471159253539i</v>
      </c>
      <c r="AB279" s="227">
        <f t="shared" si="117"/>
        <v>11.521425453217994</v>
      </c>
      <c r="AC279" s="227">
        <f t="shared" si="118"/>
        <v>-92.265416158765007</v>
      </c>
      <c r="AD279" s="229">
        <f t="shared" si="119"/>
        <v>-11.016167680372863</v>
      </c>
      <c r="AE279" s="229">
        <f t="shared" si="120"/>
        <v>167.14000282442802</v>
      </c>
      <c r="AF279" s="227">
        <f t="shared" si="108"/>
        <v>0.5052577728451304</v>
      </c>
      <c r="AG279" s="227">
        <f t="shared" si="109"/>
        <v>74.874586665663017</v>
      </c>
      <c r="AH279" s="229" t="str">
        <f t="shared" si="110"/>
        <v>0.274257922368436-0.0626119557840641i</v>
      </c>
    </row>
    <row r="280" spans="9:34" x14ac:dyDescent="0.2">
      <c r="I280" s="227">
        <v>276</v>
      </c>
      <c r="J280" s="227">
        <f t="shared" si="98"/>
        <v>3.6910338173922184</v>
      </c>
      <c r="K280" s="227">
        <f t="shared" si="97"/>
        <v>4909.4610337225949</v>
      </c>
      <c r="L280" s="227">
        <f t="shared" si="111"/>
        <v>30847.053433256511</v>
      </c>
      <c r="M280" s="227">
        <f t="shared" si="99"/>
        <v>799.23343899252359</v>
      </c>
      <c r="N280" s="227">
        <f>SQRT((ABS(AC280)-171.5+'Small Signal'!C$59)^2)</f>
        <v>8.696534987012825</v>
      </c>
      <c r="O280" s="227">
        <f t="shared" si="112"/>
        <v>74.403961089412178</v>
      </c>
      <c r="P280" s="227">
        <f t="shared" si="113"/>
        <v>0.32318039970546941</v>
      </c>
      <c r="Q280" s="227">
        <f t="shared" si="114"/>
        <v>4909.4610337225949</v>
      </c>
      <c r="R280" s="227" t="str">
        <f t="shared" si="100"/>
        <v>0.0945666666666667+0.144981151136306i</v>
      </c>
      <c r="S280" s="227" t="str">
        <f t="shared" si="101"/>
        <v>0.0085-1.2415407009065i</v>
      </c>
      <c r="T280" s="227" t="str">
        <f t="shared" si="102"/>
        <v>0.124966770001595-1.22889093739232i</v>
      </c>
      <c r="U280" s="227" t="str">
        <f t="shared" si="103"/>
        <v>-33.822300541638-32.1703767537668i</v>
      </c>
      <c r="V280" s="227">
        <f t="shared" si="115"/>
        <v>33.382335425948916</v>
      </c>
      <c r="W280" s="227">
        <f t="shared" si="116"/>
        <v>-136.43392424201883</v>
      </c>
      <c r="X280" s="227" t="str">
        <f t="shared" si="104"/>
        <v>0.999828602256771-0.00385531204085316i</v>
      </c>
      <c r="Y280" s="227" t="str">
        <f t="shared" si="105"/>
        <v>135.884919790863-130.367015374752i</v>
      </c>
      <c r="Z280" s="227" t="str">
        <f t="shared" si="106"/>
        <v>70.4890765609456-68.1506333421669i</v>
      </c>
      <c r="AA280" s="227" t="str">
        <f t="shared" si="107"/>
        <v>-0.180560945549245-3.6872665608018i</v>
      </c>
      <c r="AB280" s="227">
        <f t="shared" si="117"/>
        <v>11.344492358335154</v>
      </c>
      <c r="AC280" s="227">
        <f t="shared" si="118"/>
        <v>-92.803465012987175</v>
      </c>
      <c r="AD280" s="229">
        <f t="shared" si="119"/>
        <v>-11.021311958629685</v>
      </c>
      <c r="AE280" s="229">
        <f t="shared" si="120"/>
        <v>167.20742610239935</v>
      </c>
      <c r="AF280" s="227">
        <f t="shared" si="108"/>
        <v>0.32318039970546941</v>
      </c>
      <c r="AG280" s="227">
        <f t="shared" si="109"/>
        <v>74.403961089412178</v>
      </c>
      <c r="AH280" s="229" t="str">
        <f t="shared" si="110"/>
        <v>0.274168985019329-0.0622522969761479i</v>
      </c>
    </row>
    <row r="281" spans="9:34" x14ac:dyDescent="0.2">
      <c r="I281" s="227">
        <v>277</v>
      </c>
      <c r="J281" s="227">
        <f t="shared" si="98"/>
        <v>3.7007839399190021</v>
      </c>
      <c r="K281" s="227">
        <f t="shared" si="97"/>
        <v>5020.9273788626915</v>
      </c>
      <c r="L281" s="227">
        <f t="shared" si="111"/>
        <v>31547.417135285774</v>
      </c>
      <c r="M281" s="227">
        <f t="shared" si="99"/>
        <v>685.23631786426995</v>
      </c>
      <c r="N281" s="227">
        <f>SQRT((ABS(AC281)-171.5+'Small Signal'!C$59)^2)</f>
        <v>8.1575602082813532</v>
      </c>
      <c r="O281" s="227">
        <f t="shared" si="112"/>
        <v>73.926206888536342</v>
      </c>
      <c r="P281" s="227">
        <f t="shared" si="113"/>
        <v>0.14136262134426936</v>
      </c>
      <c r="Q281" s="227">
        <f t="shared" si="114"/>
        <v>5020.9273788626915</v>
      </c>
      <c r="R281" s="227" t="str">
        <f t="shared" si="100"/>
        <v>0.0945666666666667+0.148272860535843i</v>
      </c>
      <c r="S281" s="227" t="str">
        <f t="shared" si="101"/>
        <v>0.0085-1.21397806280595i</v>
      </c>
      <c r="T281" s="227" t="str">
        <f t="shared" si="102"/>
        <v>0.119896271079963-1.20207903321191i</v>
      </c>
      <c r="U281" s="227" t="str">
        <f t="shared" si="103"/>
        <v>-33.5224220810784-29.6445424168835i</v>
      </c>
      <c r="V281" s="227">
        <f t="shared" si="115"/>
        <v>33.015837321827917</v>
      </c>
      <c r="W281" s="227">
        <f t="shared" si="116"/>
        <v>-138.51303313174407</v>
      </c>
      <c r="X281" s="227" t="str">
        <f t="shared" si="104"/>
        <v>0.999820730938711-0.00394284457031345i</v>
      </c>
      <c r="Y281" s="227" t="str">
        <f t="shared" si="105"/>
        <v>129.443198869163-131.117790652504i</v>
      </c>
      <c r="Z281" s="227" t="str">
        <f t="shared" si="106"/>
        <v>67.1270695308195-68.5339674181356i</v>
      </c>
      <c r="AA281" s="227" t="str">
        <f t="shared" si="107"/>
        <v>-0.210901999598552-3.61115964020777i</v>
      </c>
      <c r="AB281" s="227">
        <f t="shared" si="117"/>
        <v>11.167721869619553</v>
      </c>
      <c r="AC281" s="227">
        <f t="shared" si="118"/>
        <v>-93.342439791718647</v>
      </c>
      <c r="AD281" s="229">
        <f t="shared" si="119"/>
        <v>-11.026359248275284</v>
      </c>
      <c r="AE281" s="229">
        <f t="shared" si="120"/>
        <v>167.26864668025499</v>
      </c>
      <c r="AF281" s="227">
        <f t="shared" si="108"/>
        <v>0.14136262134426936</v>
      </c>
      <c r="AG281" s="227">
        <f t="shared" si="109"/>
        <v>73.926206888536342</v>
      </c>
      <c r="AH281" s="229" t="str">
        <f t="shared" si="110"/>
        <v>0.274076035802-0.0619233182349302i</v>
      </c>
    </row>
    <row r="282" spans="9:34" x14ac:dyDescent="0.2">
      <c r="I282" s="227">
        <v>278</v>
      </c>
      <c r="J282" s="227">
        <f t="shared" si="98"/>
        <v>3.7105340624457854</v>
      </c>
      <c r="K282" s="227">
        <f t="shared" si="97"/>
        <v>5134.9244999909452</v>
      </c>
      <c r="L282" s="227">
        <f t="shared" si="111"/>
        <v>32263.68217181959</v>
      </c>
      <c r="M282" s="227">
        <f t="shared" si="99"/>
        <v>568.65096100884875</v>
      </c>
      <c r="N282" s="227">
        <f>SQRT((ABS(AC282)-171.5+'Small Signal'!C$59)^2)</f>
        <v>7.6174863972500617</v>
      </c>
      <c r="O282" s="227">
        <f t="shared" si="112"/>
        <v>73.44117263794196</v>
      </c>
      <c r="P282" s="227">
        <f t="shared" si="113"/>
        <v>4.0173741709224942E-2</v>
      </c>
      <c r="Q282" s="227">
        <f t="shared" si="114"/>
        <v>5134.9244999909452</v>
      </c>
      <c r="R282" s="227" t="str">
        <f t="shared" si="100"/>
        <v>0.0945666666666667+0.151639306207552i</v>
      </c>
      <c r="S282" s="227" t="str">
        <f t="shared" si="101"/>
        <v>0.0085-1.18702732491818i</v>
      </c>
      <c r="T282" s="227" t="str">
        <f t="shared" si="102"/>
        <v>0.115044697050991-1.1758320923523i</v>
      </c>
      <c r="U282" s="227" t="str">
        <f t="shared" si="103"/>
        <v>-33.1011112083441-27.2511708883117i</v>
      </c>
      <c r="V282" s="227">
        <f t="shared" si="115"/>
        <v>32.644187208514751</v>
      </c>
      <c r="W282" s="227">
        <f t="shared" si="116"/>
        <v>-140.53637823935728</v>
      </c>
      <c r="X282" s="227" t="str">
        <f t="shared" si="104"/>
        <v>0.999812498136031-0.00403236447294421i</v>
      </c>
      <c r="Y282" s="227" t="str">
        <f t="shared" si="105"/>
        <v>123.177102425447-131.477938215156i</v>
      </c>
      <c r="Z282" s="227" t="str">
        <f t="shared" si="106"/>
        <v>63.8571479266413-68.7137956005327i</v>
      </c>
      <c r="AA282" s="227" t="str">
        <f t="shared" si="107"/>
        <v>-0.240002195819533-3.53638403089485i</v>
      </c>
      <c r="AB282" s="227">
        <f t="shared" si="117"/>
        <v>10.991145526043127</v>
      </c>
      <c r="AC282" s="227">
        <f t="shared" si="118"/>
        <v>-93.882513602749938</v>
      </c>
      <c r="AD282" s="229">
        <f t="shared" si="119"/>
        <v>-11.031319267752352</v>
      </c>
      <c r="AE282" s="229">
        <f t="shared" si="120"/>
        <v>167.3236862406919</v>
      </c>
      <c r="AF282" s="227">
        <f t="shared" si="108"/>
        <v>-4.0173741709224942E-2</v>
      </c>
      <c r="AG282" s="227">
        <f t="shared" si="109"/>
        <v>73.44117263794196</v>
      </c>
      <c r="AH282" s="229" t="str">
        <f t="shared" si="110"/>
        <v>0.273978895704237-0.0616248058734344i</v>
      </c>
    </row>
    <row r="283" spans="9:34" x14ac:dyDescent="0.2">
      <c r="I283" s="227">
        <v>279</v>
      </c>
      <c r="J283" s="227">
        <f t="shared" si="98"/>
        <v>3.7202841849725687</v>
      </c>
      <c r="K283" s="227">
        <f t="shared" si="97"/>
        <v>5251.5098568463663</v>
      </c>
      <c r="L283" s="227">
        <f t="shared" si="111"/>
        <v>32996.20957304586</v>
      </c>
      <c r="M283" s="227">
        <f t="shared" si="99"/>
        <v>449.41860409858236</v>
      </c>
      <c r="N283" s="227">
        <f>SQRT((ABS(AC283)-171.5+'Small Signal'!C$59)^2)</f>
        <v>7.0761419106801782</v>
      </c>
      <c r="O283" s="227">
        <f t="shared" si="112"/>
        <v>72.948706280090761</v>
      </c>
      <c r="P283" s="227">
        <f t="shared" si="113"/>
        <v>0.22140653404093591</v>
      </c>
      <c r="Q283" s="227">
        <f t="shared" si="114"/>
        <v>5251.5098568463663</v>
      </c>
      <c r="R283" s="227" t="str">
        <f t="shared" si="100"/>
        <v>0.0945666666666667+0.155082184993316i</v>
      </c>
      <c r="S283" s="227" t="str">
        <f t="shared" si="101"/>
        <v>0.0085-1.16067490284431i</v>
      </c>
      <c r="T283" s="227" t="str">
        <f t="shared" si="102"/>
        <v>0.11040275021068-1.15013950868333i</v>
      </c>
      <c r="U283" s="227" t="str">
        <f t="shared" si="103"/>
        <v>-32.5760429543836-24.9920884654975i</v>
      </c>
      <c r="V283" s="227">
        <f t="shared" si="115"/>
        <v>32.268068379264008</v>
      </c>
      <c r="W283" s="227">
        <f t="shared" si="116"/>
        <v>-142.50485844750165</v>
      </c>
      <c r="X283" s="227" t="str">
        <f t="shared" si="104"/>
        <v>0.999803887247811-0.00412391687085194i</v>
      </c>
      <c r="Y283" s="227" t="str">
        <f t="shared" si="105"/>
        <v>117.107976989187-131.484039601202i</v>
      </c>
      <c r="Z283" s="227" t="str">
        <f t="shared" si="106"/>
        <v>60.690398040709-68.7092216086368i</v>
      </c>
      <c r="AA283" s="227" t="str">
        <f t="shared" si="107"/>
        <v>-0.267908635296524-3.46293178322074i</v>
      </c>
      <c r="AB283" s="227">
        <f t="shared" si="117"/>
        <v>10.814795052197248</v>
      </c>
      <c r="AC283" s="227">
        <f t="shared" si="118"/>
        <v>-94.423858089319822</v>
      </c>
      <c r="AD283" s="229">
        <f t="shared" si="119"/>
        <v>-11.036201586238183</v>
      </c>
      <c r="AE283" s="229">
        <f t="shared" si="120"/>
        <v>167.37256436941058</v>
      </c>
      <c r="AF283" s="227">
        <f t="shared" si="108"/>
        <v>-0.22140653404093591</v>
      </c>
      <c r="AG283" s="227">
        <f t="shared" si="109"/>
        <v>72.948706280090761</v>
      </c>
      <c r="AH283" s="229" t="str">
        <f t="shared" si="110"/>
        <v>0.273877378040996-0.0613565583151241i</v>
      </c>
    </row>
    <row r="284" spans="9:34" x14ac:dyDescent="0.2">
      <c r="I284" s="227">
        <v>280</v>
      </c>
      <c r="J284" s="227">
        <f t="shared" si="98"/>
        <v>3.7300343074993521</v>
      </c>
      <c r="K284" s="227">
        <f t="shared" si="97"/>
        <v>5370.7422137566327</v>
      </c>
      <c r="L284" s="227">
        <f t="shared" si="111"/>
        <v>33745.368566124838</v>
      </c>
      <c r="M284" s="227">
        <f t="shared" si="99"/>
        <v>327.47914859726097</v>
      </c>
      <c r="N284" s="227">
        <f>SQRT((ABS(AC284)-171.5+'Small Signal'!C$59)^2)</f>
        <v>6.533356819724176</v>
      </c>
      <c r="O284" s="227">
        <f t="shared" si="112"/>
        <v>72.448655351926632</v>
      </c>
      <c r="P284" s="227">
        <f t="shared" si="113"/>
        <v>0.40231325369981974</v>
      </c>
      <c r="Q284" s="227">
        <f t="shared" si="114"/>
        <v>5370.7422137566327</v>
      </c>
      <c r="R284" s="227" t="str">
        <f t="shared" si="100"/>
        <v>0.0945666666666667+0.158603232260787i</v>
      </c>
      <c r="S284" s="227" t="str">
        <f t="shared" si="101"/>
        <v>0.0085-1.13490751376385i</v>
      </c>
      <c r="T284" s="227" t="str">
        <f t="shared" si="102"/>
        <v>0.105961514533473-1.12499078912541i</v>
      </c>
      <c r="U284" s="227" t="str">
        <f t="shared" si="103"/>
        <v>-31.9636851802795-22.8671651117968i</v>
      </c>
      <c r="V284" s="227">
        <f t="shared" si="115"/>
        <v>31.888116472028219</v>
      </c>
      <c r="W284" s="227">
        <f t="shared" si="116"/>
        <v>-144.41966074353704</v>
      </c>
      <c r="X284" s="227" t="str">
        <f t="shared" si="104"/>
        <v>0.999794880910744-0.00421754791061333i</v>
      </c>
      <c r="Y284" s="227" t="str">
        <f t="shared" si="105"/>
        <v>111.251769372966-131.171993787423i</v>
      </c>
      <c r="Z284" s="227" t="str">
        <f t="shared" si="106"/>
        <v>57.6350911263352-68.538986401514i</v>
      </c>
      <c r="AA284" s="227" t="str">
        <f t="shared" si="107"/>
        <v>-0.294666942803814-3.39079388921893i</v>
      </c>
      <c r="AB284" s="227">
        <f t="shared" si="117"/>
        <v>10.63870238593484</v>
      </c>
      <c r="AC284" s="227">
        <f t="shared" si="118"/>
        <v>-94.966643180275824</v>
      </c>
      <c r="AD284" s="229">
        <f t="shared" si="119"/>
        <v>-11.04101563963466</v>
      </c>
      <c r="AE284" s="229">
        <f t="shared" si="120"/>
        <v>167.41529853220246</v>
      </c>
      <c r="AF284" s="227">
        <f t="shared" si="108"/>
        <v>-0.40231325369981974</v>
      </c>
      <c r="AG284" s="227">
        <f t="shared" si="109"/>
        <v>72.448655351926632</v>
      </c>
      <c r="AH284" s="229" t="str">
        <f t="shared" si="110"/>
        <v>0.27377128814921-0.0611183857765083i</v>
      </c>
    </row>
    <row r="285" spans="9:34" x14ac:dyDescent="0.2">
      <c r="I285" s="227">
        <v>281</v>
      </c>
      <c r="J285" s="227">
        <f t="shared" si="98"/>
        <v>3.7397844300261354</v>
      </c>
      <c r="K285" s="227">
        <f t="shared" si="97"/>
        <v>5492.6816692579541</v>
      </c>
      <c r="L285" s="227">
        <f t="shared" si="111"/>
        <v>34511.536761296222</v>
      </c>
      <c r="M285" s="227">
        <f t="shared" si="99"/>
        <v>202.77113146774082</v>
      </c>
      <c r="N285" s="227">
        <f>SQRT((ABS(AC285)-171.5+'Small Signal'!C$59)^2)</f>
        <v>5.988963163904188</v>
      </c>
      <c r="O285" s="227">
        <f t="shared" si="112"/>
        <v>71.940867218761625</v>
      </c>
      <c r="P285" s="227">
        <f t="shared" si="113"/>
        <v>0.58287104129237122</v>
      </c>
      <c r="Q285" s="227">
        <f t="shared" si="114"/>
        <v>5492.6816692579541</v>
      </c>
      <c r="R285" s="227" t="str">
        <f t="shared" si="100"/>
        <v>0.0945666666666667+0.162204222778092i</v>
      </c>
      <c r="S285" s="227" t="str">
        <f t="shared" si="101"/>
        <v>0.0085-1.10971216973959i</v>
      </c>
      <c r="T285" s="227" t="str">
        <f t="shared" si="102"/>
        <v>0.10171244113599-1.10037555872634i</v>
      </c>
      <c r="U285" s="227" t="str">
        <f t="shared" si="103"/>
        <v>-31.2791785410748-20.8746573692794i</v>
      </c>
      <c r="V285" s="227">
        <f t="shared" si="115"/>
        <v>31.504918940646625</v>
      </c>
      <c r="W285" s="227">
        <f t="shared" si="116"/>
        <v>-146.28220512626422</v>
      </c>
      <c r="X285" s="227" t="str">
        <f t="shared" si="104"/>
        <v>0.999785460964126-0.00431330478653518i</v>
      </c>
      <c r="Y285" s="227" t="str">
        <f t="shared" si="105"/>
        <v>105.619646632534-130.576422752912i</v>
      </c>
      <c r="Z285" s="227" t="str">
        <f t="shared" si="106"/>
        <v>54.6970074502923-68.2211589688355i</v>
      </c>
      <c r="AA285" s="227" t="str">
        <f t="shared" si="107"/>
        <v>-0.320321286459252-3.31996036951339i</v>
      </c>
      <c r="AB285" s="227">
        <f t="shared" si="117"/>
        <v>10.462899705166684</v>
      </c>
      <c r="AC285" s="227">
        <f t="shared" si="118"/>
        <v>-95.511036836095812</v>
      </c>
      <c r="AD285" s="229">
        <f t="shared" si="119"/>
        <v>-11.045770746459056</v>
      </c>
      <c r="AE285" s="229">
        <f t="shared" si="120"/>
        <v>167.45190405485744</v>
      </c>
      <c r="AF285" s="227">
        <f t="shared" si="108"/>
        <v>-0.58287104129237122</v>
      </c>
      <c r="AG285" s="227">
        <f t="shared" si="109"/>
        <v>71.940867218761625</v>
      </c>
      <c r="AH285" s="229" t="str">
        <f t="shared" si="110"/>
        <v>0.273660423072978-0.0609101099418646i</v>
      </c>
    </row>
    <row r="286" spans="9:34" x14ac:dyDescent="0.2">
      <c r="I286" s="227">
        <v>282</v>
      </c>
      <c r="J286" s="227">
        <f t="shared" si="98"/>
        <v>3.7495345525529187</v>
      </c>
      <c r="K286" s="227">
        <f t="shared" si="97"/>
        <v>5617.3896863874743</v>
      </c>
      <c r="L286" s="227">
        <f t="shared" si="111"/>
        <v>35295.100342211925</v>
      </c>
      <c r="M286" s="227">
        <f t="shared" si="99"/>
        <v>75.231694191758834</v>
      </c>
      <c r="N286" s="227">
        <f>SQRT((ABS(AC286)-171.5+'Small Signal'!C$59)^2)</f>
        <v>5.4427952096930454</v>
      </c>
      <c r="O286" s="227">
        <f t="shared" si="112"/>
        <v>71.425189315486293</v>
      </c>
      <c r="P286" s="227">
        <f t="shared" si="113"/>
        <v>0.76305666996702826</v>
      </c>
      <c r="Q286" s="227">
        <f t="shared" si="114"/>
        <v>5617.3896863874743</v>
      </c>
      <c r="R286" s="227" t="str">
        <f t="shared" si="100"/>
        <v>0.0945666666666667+0.165886971608396i</v>
      </c>
      <c r="S286" s="227" t="str">
        <f t="shared" si="101"/>
        <v>0.0085-1.08507617117106i</v>
      </c>
      <c r="T286" s="227" t="str">
        <f t="shared" si="102"/>
        <v>0.0976473341954496-1.07628356517109i</v>
      </c>
      <c r="U286" s="227" t="str">
        <f t="shared" si="103"/>
        <v>-30.5362794120226-19.0115269657569i</v>
      </c>
      <c r="V286" s="227">
        <f t="shared" si="115"/>
        <v>31.119015579915885</v>
      </c>
      <c r="W286" s="227">
        <f t="shared" si="116"/>
        <v>-148.09409456343414</v>
      </c>
      <c r="X286" s="227" t="str">
        <f t="shared" si="104"/>
        <v>0.999775608413236-0.0044112357644425i</v>
      </c>
      <c r="Y286" s="227" t="str">
        <f t="shared" si="105"/>
        <v>100.218625436029-129.730236263868i</v>
      </c>
      <c r="Z286" s="227" t="str">
        <f t="shared" si="106"/>
        <v>51.8797650509704-67.7729101654138i</v>
      </c>
      <c r="AA286" s="227" t="str">
        <f t="shared" si="107"/>
        <v>-0.344914399760948-3.25042035579175i</v>
      </c>
      <c r="AB286" s="227">
        <f t="shared" si="117"/>
        <v>10.287419453679515</v>
      </c>
      <c r="AC286" s="227">
        <f t="shared" si="118"/>
        <v>-96.057204790306955</v>
      </c>
      <c r="AD286" s="229">
        <f t="shared" si="119"/>
        <v>-11.050476123646543</v>
      </c>
      <c r="AE286" s="229">
        <f t="shared" si="120"/>
        <v>167.48239410579325</v>
      </c>
      <c r="AF286" s="227">
        <f t="shared" si="108"/>
        <v>-0.76305666996702826</v>
      </c>
      <c r="AG286" s="227">
        <f t="shared" si="109"/>
        <v>71.425189315486293</v>
      </c>
      <c r="AH286" s="229" t="str">
        <f t="shared" si="110"/>
        <v>0.273544571239028-0.0607315636290745i</v>
      </c>
    </row>
    <row r="287" spans="9:34" x14ac:dyDescent="0.2">
      <c r="I287" s="227">
        <v>283</v>
      </c>
      <c r="J287" s="227">
        <f t="shared" si="98"/>
        <v>3.759284675079702</v>
      </c>
      <c r="K287" s="227">
        <f t="shared" si="97"/>
        <v>5744.9291236634563</v>
      </c>
      <c r="L287" s="227">
        <f t="shared" si="111"/>
        <v>36096.454260590326</v>
      </c>
      <c r="M287" s="227">
        <f t="shared" si="99"/>
        <v>55.203448913574903</v>
      </c>
      <c r="N287" s="227">
        <f>SQRT((ABS(AC287)-171.5+'Small Signal'!C$59)^2)</f>
        <v>4.8946897141469918</v>
      </c>
      <c r="O287" s="227">
        <f t="shared" si="112"/>
        <v>70.901469395465952</v>
      </c>
      <c r="P287" s="227">
        <f t="shared" si="113"/>
        <v>0.94284653642968408</v>
      </c>
      <c r="Q287" s="227">
        <f t="shared" si="114"/>
        <v>5744.9291236634563</v>
      </c>
      <c r="R287" s="227" t="str">
        <f t="shared" si="100"/>
        <v>0.0945666666666667+0.169653335024775i</v>
      </c>
      <c r="S287" s="227" t="str">
        <f t="shared" si="101"/>
        <v>0.0085-1.06098710039337i</v>
      </c>
      <c r="T287" s="227" t="str">
        <f t="shared" si="102"/>
        <v>0.0937583373176989-1.05270468276302i</v>
      </c>
      <c r="U287" s="227" t="str">
        <f t="shared" si="103"/>
        <v>-29.747353023763-17.2737285729967i</v>
      </c>
      <c r="V287" s="227">
        <f t="shared" si="115"/>
        <v>30.730899870651204</v>
      </c>
      <c r="W287" s="227">
        <f t="shared" si="116"/>
        <v>-149.85707035346124</v>
      </c>
      <c r="X287" s="227" t="str">
        <f t="shared" si="104"/>
        <v>0.999765303391034-0.00451139020600671i</v>
      </c>
      <c r="Y287" s="227" t="str">
        <f t="shared" si="105"/>
        <v>95.0521842806742-128.664334860354i</v>
      </c>
      <c r="Z287" s="227" t="str">
        <f t="shared" si="106"/>
        <v>49.185139377171-67.2103585948412i</v>
      </c>
      <c r="AA287" s="227" t="str">
        <f t="shared" si="107"/>
        <v>-0.368487605696659-3.18216216895292i</v>
      </c>
      <c r="AB287" s="227">
        <f t="shared" si="117"/>
        <v>10.112294365844228</v>
      </c>
      <c r="AC287" s="227">
        <f t="shared" si="118"/>
        <v>-96.605310285853008</v>
      </c>
      <c r="AD287" s="229">
        <f t="shared" si="119"/>
        <v>-11.055140902273912</v>
      </c>
      <c r="AE287" s="229">
        <f t="shared" si="120"/>
        <v>167.50677968131896</v>
      </c>
      <c r="AF287" s="227">
        <f t="shared" si="108"/>
        <v>-0.94284653642968408</v>
      </c>
      <c r="AG287" s="227">
        <f t="shared" si="109"/>
        <v>70.901469395465952</v>
      </c>
      <c r="AH287" s="229" t="str">
        <f t="shared" si="110"/>
        <v>0.273423512122441-0.0605825904455427i</v>
      </c>
    </row>
    <row r="288" spans="9:34" x14ac:dyDescent="0.2">
      <c r="I288" s="227">
        <v>284</v>
      </c>
      <c r="J288" s="227">
        <f t="shared" si="98"/>
        <v>3.7690347976064857</v>
      </c>
      <c r="K288" s="227">
        <f t="shared" si="97"/>
        <v>5875.36426676879</v>
      </c>
      <c r="L288" s="227">
        <f t="shared" si="111"/>
        <v>36916.002435289622</v>
      </c>
      <c r="M288" s="227">
        <f t="shared" si="99"/>
        <v>188.60004309876422</v>
      </c>
      <c r="N288" s="227">
        <f>SQRT((ABS(AC288)-171.5+'Small Signal'!C$59)^2)</f>
        <v>4.3444861939806572</v>
      </c>
      <c r="O288" s="227">
        <f t="shared" si="112"/>
        <v>70.369555787439566</v>
      </c>
      <c r="P288" s="227">
        <f t="shared" si="113"/>
        <v>1.1222166531402813</v>
      </c>
      <c r="Q288" s="227">
        <f t="shared" si="114"/>
        <v>5875.36426676879</v>
      </c>
      <c r="R288" s="227" t="str">
        <f t="shared" si="100"/>
        <v>0.0945666666666667+0.173505211445861i</v>
      </c>
      <c r="S288" s="227" t="str">
        <f t="shared" si="101"/>
        <v>0.0085-1.03743281541814i</v>
      </c>
      <c r="T288" s="227" t="str">
        <f t="shared" si="102"/>
        <v>0.0900379203487857-1.02962891591219i</v>
      </c>
      <c r="U288" s="227" t="str">
        <f t="shared" si="103"/>
        <v>-28.923404983894-15.656463452891i</v>
      </c>
      <c r="V288" s="227">
        <f t="shared" si="115"/>
        <v>30.341020935609976</v>
      </c>
      <c r="W288" s="227">
        <f t="shared" si="116"/>
        <v>-151.57297295510568</v>
      </c>
      <c r="X288" s="227" t="str">
        <f t="shared" si="104"/>
        <v>0.9997545251181-0.00461381859362609i</v>
      </c>
      <c r="Y288" s="227" t="str">
        <f t="shared" si="105"/>
        <v>90.120839960455-127.407428816319i</v>
      </c>
      <c r="Z288" s="227" t="str">
        <f t="shared" si="106"/>
        <v>46.6133641377445-66.5484769267257i</v>
      </c>
      <c r="AA288" s="227" t="str">
        <f t="shared" si="107"/>
        <v>-0.391080842639376-3.11517339305272i</v>
      </c>
      <c r="AB288" s="227">
        <f t="shared" si="117"/>
        <v>9.9375574900758892</v>
      </c>
      <c r="AC288" s="227">
        <f t="shared" si="118"/>
        <v>-97.155513806019343</v>
      </c>
      <c r="AD288" s="229">
        <f t="shared" si="119"/>
        <v>-11.05977414321617</v>
      </c>
      <c r="AE288" s="229">
        <f t="shared" si="120"/>
        <v>167.52506959345891</v>
      </c>
      <c r="AF288" s="227">
        <f t="shared" si="108"/>
        <v>-1.1222166531402813</v>
      </c>
      <c r="AG288" s="227">
        <f t="shared" si="109"/>
        <v>70.369555787439566</v>
      </c>
      <c r="AH288" s="229" t="str">
        <f t="shared" si="110"/>
        <v>0.27329701590261-0.0604630444331061i</v>
      </c>
    </row>
    <row r="289" spans="9:34" x14ac:dyDescent="0.2">
      <c r="I289" s="227">
        <v>285</v>
      </c>
      <c r="J289" s="227">
        <f t="shared" si="98"/>
        <v>3.7787849201332691</v>
      </c>
      <c r="K289" s="227">
        <f t="shared" si="97"/>
        <v>6008.7608609539793</v>
      </c>
      <c r="L289" s="227">
        <f t="shared" si="111"/>
        <v>37754.157955901806</v>
      </c>
      <c r="M289" s="227">
        <f t="shared" si="99"/>
        <v>325.02532632044404</v>
      </c>
      <c r="N289" s="227">
        <f>SQRT((ABS(AC289)-171.5+'Small Signal'!C$59)^2)</f>
        <v>3.7920272004211739</v>
      </c>
      <c r="O289" s="227">
        <f t="shared" si="112"/>
        <v>69.829297660695048</v>
      </c>
      <c r="P289" s="227">
        <f t="shared" si="113"/>
        <v>1.3011426418440646</v>
      </c>
      <c r="Q289" s="227">
        <f t="shared" si="114"/>
        <v>6008.7608609539793</v>
      </c>
      <c r="R289" s="227" t="str">
        <f t="shared" si="100"/>
        <v>0.0945666666666667+0.177444542392738i</v>
      </c>
      <c r="S289" s="227" t="str">
        <f t="shared" si="101"/>
        <v>0.0085-1.01440144381339i</v>
      </c>
      <c r="T289" s="227" t="str">
        <f t="shared" si="102"/>
        <v>0.0864788666232312-1.00704640216489i</v>
      </c>
      <c r="U289" s="227" t="str">
        <f t="shared" si="103"/>
        <v>-28.0741407393655-14.1543982334037i</v>
      </c>
      <c r="V289" s="227">
        <f t="shared" si="115"/>
        <v>29.949785925388174</v>
      </c>
      <c r="W289" s="227">
        <f t="shared" si="116"/>
        <v>-153.24370813412349</v>
      </c>
      <c r="X289" s="227" t="str">
        <f t="shared" si="104"/>
        <v>0.999743251860735-0.00471857255587131i</v>
      </c>
      <c r="Y289" s="227" t="str">
        <f t="shared" si="105"/>
        <v>85.4226764240451-125.985951352195i</v>
      </c>
      <c r="Z289" s="227" t="str">
        <f t="shared" si="106"/>
        <v>44.1634072042652-65.8010473054484i</v>
      </c>
      <c r="AA289" s="227" t="str">
        <f t="shared" si="107"/>
        <v>-0.412732691764844-3.04944094517789i</v>
      </c>
      <c r="AB289" s="227">
        <f t="shared" si="117"/>
        <v>9.7632422109033268</v>
      </c>
      <c r="AC289" s="227">
        <f t="shared" si="118"/>
        <v>-97.707972799578826</v>
      </c>
      <c r="AD289" s="229">
        <f t="shared" si="119"/>
        <v>-11.064384852747391</v>
      </c>
      <c r="AE289" s="229">
        <f t="shared" si="120"/>
        <v>167.53727046027387</v>
      </c>
      <c r="AF289" s="227">
        <f t="shared" si="108"/>
        <v>-1.3011426418440646</v>
      </c>
      <c r="AG289" s="227">
        <f t="shared" si="109"/>
        <v>69.829297660695048</v>
      </c>
      <c r="AH289" s="229" t="str">
        <f t="shared" si="110"/>
        <v>0.273164843109471-0.0603727897008019i</v>
      </c>
    </row>
    <row r="290" spans="9:34" x14ac:dyDescent="0.2">
      <c r="I290" s="227">
        <v>286</v>
      </c>
      <c r="J290" s="227">
        <f t="shared" si="98"/>
        <v>3.7885350426600524</v>
      </c>
      <c r="K290" s="227">
        <f t="shared" si="97"/>
        <v>6145.1861441756591</v>
      </c>
      <c r="L290" s="227">
        <f t="shared" si="111"/>
        <v>38611.343290968078</v>
      </c>
      <c r="M290" s="227">
        <f t="shared" si="99"/>
        <v>464.54806313245081</v>
      </c>
      <c r="N290" s="227">
        <f>SQRT((ABS(AC290)-171.5+'Small Signal'!C$59)^2)</f>
        <v>3.2371586001307548</v>
      </c>
      <c r="O290" s="227">
        <f t="shared" si="112"/>
        <v>69.280545298762718</v>
      </c>
      <c r="P290" s="227">
        <f t="shared" si="113"/>
        <v>1.4795997285932856</v>
      </c>
      <c r="Q290" s="227">
        <f t="shared" si="114"/>
        <v>6145.1861441756591</v>
      </c>
      <c r="R290" s="227" t="str">
        <f t="shared" si="100"/>
        <v>0.0945666666666667+0.18147331346755i</v>
      </c>
      <c r="S290" s="227" t="str">
        <f t="shared" si="101"/>
        <v>0.0085-0.991881376719266i</v>
      </c>
      <c r="T290" s="227" t="str">
        <f t="shared" si="102"/>
        <v>0.0830742606414383-0.984947414806428i</v>
      </c>
      <c r="U290" s="227" t="str">
        <f t="shared" si="103"/>
        <v>-27.2080441111092-12.7618498544902i</v>
      </c>
      <c r="V290" s="227">
        <f t="shared" si="115"/>
        <v>29.557562682381736</v>
      </c>
      <c r="W290" s="227">
        <f t="shared" si="116"/>
        <v>-154.87121812652248</v>
      </c>
      <c r="X290" s="227" t="str">
        <f t="shared" si="104"/>
        <v>0.999731460887135-0.00482570489350849i</v>
      </c>
      <c r="Y290" s="227" t="str">
        <f t="shared" si="105"/>
        <v>80.9538195740914-124.424046009628i</v>
      </c>
      <c r="Z290" s="227" t="str">
        <f t="shared" si="106"/>
        <v>41.8332182290947-64.9806553653584i</v>
      </c>
      <c r="AA290" s="227" t="str">
        <f t="shared" si="107"/>
        <v>-0.433480405747409-2.98495114138498i</v>
      </c>
      <c r="AB290" s="227">
        <f t="shared" si="117"/>
        <v>9.5893822695035968</v>
      </c>
      <c r="AC290" s="227">
        <f t="shared" si="118"/>
        <v>-98.262841399869245</v>
      </c>
      <c r="AD290" s="229">
        <f t="shared" si="119"/>
        <v>-11.068981998096882</v>
      </c>
      <c r="AE290" s="229">
        <f t="shared" si="120"/>
        <v>167.54338669863196</v>
      </c>
      <c r="AF290" s="227">
        <f t="shared" si="108"/>
        <v>-1.4795997285932856</v>
      </c>
      <c r="AG290" s="227">
        <f t="shared" si="109"/>
        <v>69.280545298762718</v>
      </c>
      <c r="AH290" s="229" t="str">
        <f t="shared" si="110"/>
        <v>0.273026744260107-0.0603117000443041i</v>
      </c>
    </row>
    <row r="291" spans="9:34" x14ac:dyDescent="0.2">
      <c r="I291" s="227">
        <v>287</v>
      </c>
      <c r="J291" s="227">
        <f t="shared" si="98"/>
        <v>3.7982851651868361</v>
      </c>
      <c r="K291" s="227">
        <f t="shared" si="97"/>
        <v>6284.7088809876659</v>
      </c>
      <c r="L291" s="227">
        <f t="shared" si="111"/>
        <v>39487.990500922759</v>
      </c>
      <c r="M291" s="227">
        <f t="shared" si="99"/>
        <v>607.2385793462081</v>
      </c>
      <c r="N291" s="227">
        <f>SQRT((ABS(AC291)-171.5+'Small Signal'!C$59)^2)</f>
        <v>2.679729862412259</v>
      </c>
      <c r="O291" s="227">
        <f t="shared" si="112"/>
        <v>68.723150381802029</v>
      </c>
      <c r="P291" s="227">
        <f t="shared" si="113"/>
        <v>1.657562740423657</v>
      </c>
      <c r="Q291" s="227">
        <f t="shared" si="114"/>
        <v>6284.7088809876659</v>
      </c>
      <c r="R291" s="227" t="str">
        <f t="shared" si="100"/>
        <v>0.0945666666666667+0.185593555354337i</v>
      </c>
      <c r="S291" s="227" t="str">
        <f t="shared" si="101"/>
        <v>0.0085-0.969861262996676i</v>
      </c>
      <c r="T291" s="227" t="str">
        <f t="shared" si="102"/>
        <v>0.0798174761680986-0.963322365067266i</v>
      </c>
      <c r="U291" s="227" t="str">
        <f t="shared" si="103"/>
        <v>-26.3324676326919-11.472938920796i</v>
      </c>
      <c r="V291" s="227">
        <f t="shared" si="115"/>
        <v>29.164682558733187</v>
      </c>
      <c r="W291" s="227">
        <f t="shared" si="116"/>
        <v>-156.45745742308145</v>
      </c>
      <c r="X291" s="227" t="str">
        <f t="shared" si="104"/>
        <v>0.999719128421555-0.00493526960611326i</v>
      </c>
      <c r="Y291" s="227" t="str">
        <f t="shared" si="105"/>
        <v>76.7088556996077-122.743610367683i</v>
      </c>
      <c r="Z291" s="227" t="str">
        <f t="shared" si="106"/>
        <v>39.6199467976121-64.0987135562159i</v>
      </c>
      <c r="AA291" s="227" t="str">
        <f t="shared" si="107"/>
        <v>-0.453359938511204-2.92168975884346i</v>
      </c>
      <c r="AB291" s="227">
        <f t="shared" si="117"/>
        <v>9.416011782550429</v>
      </c>
      <c r="AC291" s="227">
        <f t="shared" si="118"/>
        <v>-98.820270137587741</v>
      </c>
      <c r="AD291" s="229">
        <f t="shared" si="119"/>
        <v>-11.073574522974086</v>
      </c>
      <c r="AE291" s="229">
        <f t="shared" si="120"/>
        <v>167.54342051938977</v>
      </c>
      <c r="AF291" s="227">
        <f t="shared" si="108"/>
        <v>-1.657562740423657</v>
      </c>
      <c r="AG291" s="227">
        <f t="shared" si="109"/>
        <v>68.723150381802029</v>
      </c>
      <c r="AH291" s="229" t="str">
        <f t="shared" si="110"/>
        <v>0.27288245948581-0.0602796585507866i</v>
      </c>
    </row>
    <row r="292" spans="9:34" x14ac:dyDescent="0.2">
      <c r="I292" s="227">
        <v>288</v>
      </c>
      <c r="J292" s="227">
        <f t="shared" si="98"/>
        <v>3.8080352877136194</v>
      </c>
      <c r="K292" s="227">
        <f t="shared" si="97"/>
        <v>6427.3993972014232</v>
      </c>
      <c r="L292" s="227">
        <f t="shared" si="111"/>
        <v>40384.541455870909</v>
      </c>
      <c r="M292" s="227">
        <f t="shared" si="99"/>
        <v>753.16879747821167</v>
      </c>
      <c r="N292" s="227">
        <f>SQRT((ABS(AC292)-171.5+'Small Signal'!C$59)^2)</f>
        <v>2.1195943528423129</v>
      </c>
      <c r="O292" s="227">
        <f t="shared" si="112"/>
        <v>68.156966277802695</v>
      </c>
      <c r="P292" s="227">
        <f t="shared" si="113"/>
        <v>1.8350061038522796</v>
      </c>
      <c r="Q292" s="227">
        <f t="shared" si="114"/>
        <v>6427.3993972014232</v>
      </c>
      <c r="R292" s="227" t="str">
        <f t="shared" si="100"/>
        <v>0.0945666666666667+0.189807344842593i</v>
      </c>
      <c r="S292" s="227" t="str">
        <f t="shared" si="101"/>
        <v>0.0085-0.948330003505782i</v>
      </c>
      <c r="T292" s="227" t="str">
        <f t="shared" si="102"/>
        <v>0.0767021647429515-0.942161803961158i</v>
      </c>
      <c r="U292" s="227" t="str">
        <f t="shared" si="103"/>
        <v>-25.4537289326286-10.2817144103578i</v>
      </c>
      <c r="V292" s="227">
        <f t="shared" si="115"/>
        <v>28.771443289685081</v>
      </c>
      <c r="W292" s="227">
        <f t="shared" si="116"/>
        <v>-158.00437272790955</v>
      </c>
      <c r="X292" s="227" t="str">
        <f t="shared" si="104"/>
        <v>0.999706229596365-0.00504732191928893i</v>
      </c>
      <c r="Y292" s="227" t="str">
        <f t="shared" si="105"/>
        <v>72.6811942419526-120.964380824958i</v>
      </c>
      <c r="Z292" s="227" t="str">
        <f t="shared" si="106"/>
        <v>37.5201314991961-63.1655058137322i</v>
      </c>
      <c r="AA292" s="227" t="str">
        <f t="shared" si="107"/>
        <v>-0.472405975832599-2.85964209432521i</v>
      </c>
      <c r="AB292" s="227">
        <f t="shared" si="117"/>
        <v>9.2431652592219944</v>
      </c>
      <c r="AC292" s="227">
        <f t="shared" si="118"/>
        <v>-99.380405647157687</v>
      </c>
      <c r="AD292" s="229">
        <f t="shared" si="119"/>
        <v>-11.078171363074274</v>
      </c>
      <c r="AE292" s="229">
        <f t="shared" si="120"/>
        <v>167.53737192496038</v>
      </c>
      <c r="AF292" s="227">
        <f t="shared" si="108"/>
        <v>-1.8350061038522796</v>
      </c>
      <c r="AG292" s="227">
        <f t="shared" si="109"/>
        <v>68.156966277802695</v>
      </c>
      <c r="AH292" s="229" t="str">
        <f t="shared" si="110"/>
        <v>0.272731718149784-0.0602765571879142i</v>
      </c>
    </row>
    <row r="293" spans="9:34" x14ac:dyDescent="0.2">
      <c r="I293" s="227">
        <v>289</v>
      </c>
      <c r="J293" s="227">
        <f t="shared" si="98"/>
        <v>3.8177854102404027</v>
      </c>
      <c r="K293" s="227">
        <f t="shared" si="97"/>
        <v>6573.3296153334268</v>
      </c>
      <c r="L293" s="227">
        <f t="shared" si="111"/>
        <v>41301.448058311427</v>
      </c>
      <c r="M293" s="227">
        <f t="shared" si="99"/>
        <v>902.41227300220453</v>
      </c>
      <c r="N293" s="227">
        <f>SQRT((ABS(AC293)-171.5+'Small Signal'!C$59)^2)</f>
        <v>1.5566096334074047</v>
      </c>
      <c r="O293" s="227">
        <f t="shared" si="112"/>
        <v>67.581848342662525</v>
      </c>
      <c r="P293" s="227">
        <f t="shared" si="113"/>
        <v>2.0119038453662004</v>
      </c>
      <c r="Q293" s="227">
        <f t="shared" si="114"/>
        <v>6573.3296153334268</v>
      </c>
      <c r="R293" s="227" t="str">
        <f t="shared" si="100"/>
        <v>0.0945666666666667+0.194116805874064i</v>
      </c>
      <c r="S293" s="227" t="str">
        <f t="shared" si="101"/>
        <v>0.0085-0.927276745511558i</v>
      </c>
      <c r="T293" s="227" t="str">
        <f t="shared" si="102"/>
        <v>0.0737222445948494-0.921456423781974i</v>
      </c>
      <c r="U293" s="227" t="str">
        <f t="shared" si="103"/>
        <v>-24.5772087479798-9.18225303075702i</v>
      </c>
      <c r="V293" s="227">
        <f t="shared" si="115"/>
        <v>28.378111846275029</v>
      </c>
      <c r="W293" s="227">
        <f t="shared" si="116"/>
        <v>-159.51388662475625</v>
      </c>
      <c r="X293" s="227" t="str">
        <f t="shared" si="104"/>
        <v>0.999692738401907-0.0051619183125028i</v>
      </c>
      <c r="Y293" s="227" t="str">
        <f t="shared" si="105"/>
        <v>68.8633776508811-119.104045735706i</v>
      </c>
      <c r="Z293" s="227" t="str">
        <f t="shared" si="106"/>
        <v>35.5298613704902-62.1902469495743i</v>
      </c>
      <c r="AA293" s="227" t="str">
        <f t="shared" si="107"/>
        <v>-0.490651966607509-2.79879301918461i</v>
      </c>
      <c r="AB293" s="227">
        <f t="shared" si="117"/>
        <v>9.0708776162114457</v>
      </c>
      <c r="AC293" s="227">
        <f t="shared" si="118"/>
        <v>-99.943390366592595</v>
      </c>
      <c r="AD293" s="229">
        <f t="shared" si="119"/>
        <v>-11.082781461577646</v>
      </c>
      <c r="AE293" s="229">
        <f t="shared" si="120"/>
        <v>167.52523870925512</v>
      </c>
      <c r="AF293" s="227">
        <f t="shared" si="108"/>
        <v>-2.0119038453662004</v>
      </c>
      <c r="AG293" s="227">
        <f t="shared" si="109"/>
        <v>67.581848342662525</v>
      </c>
      <c r="AH293" s="229" t="str">
        <f t="shared" si="110"/>
        <v>0.272574238455722-0.06030229637561i</v>
      </c>
    </row>
    <row r="294" spans="9:34" x14ac:dyDescent="0.2">
      <c r="I294" s="227">
        <v>290</v>
      </c>
      <c r="J294" s="227">
        <f t="shared" si="98"/>
        <v>3.8275355327671861</v>
      </c>
      <c r="K294" s="227">
        <f t="shared" si="97"/>
        <v>6722.5730908574196</v>
      </c>
      <c r="L294" s="227">
        <f t="shared" si="111"/>
        <v>42239.172470916194</v>
      </c>
      <c r="M294" s="227">
        <f t="shared" si="99"/>
        <v>1055.0442314245038</v>
      </c>
      <c r="N294" s="227">
        <f>SQRT((ABS(AC294)-171.5+'Small Signal'!C$59)^2)</f>
        <v>0.99063776912790047</v>
      </c>
      <c r="O294" s="227">
        <f t="shared" si="112"/>
        <v>66.997654229126297</v>
      </c>
      <c r="P294" s="227">
        <f t="shared" si="113"/>
        <v>2.1882295940793099</v>
      </c>
      <c r="Q294" s="227">
        <f t="shared" si="114"/>
        <v>6722.5730908574196</v>
      </c>
      <c r="R294" s="227" t="str">
        <f t="shared" si="100"/>
        <v>0.0945666666666667+0.198524110613306i</v>
      </c>
      <c r="S294" s="227" t="str">
        <f t="shared" si="101"/>
        <v>0.0085-0.906690877213456i</v>
      </c>
      <c r="T294" s="227" t="str">
        <f t="shared" si="102"/>
        <v>0.0708718899497316-0.90119705928433i</v>
      </c>
      <c r="U294" s="227" t="str">
        <f t="shared" si="103"/>
        <v>-23.7074473139757-8.16873658776899i</v>
      </c>
      <c r="V294" s="227">
        <f t="shared" si="115"/>
        <v>27.984927210606536</v>
      </c>
      <c r="W294" s="227">
        <f t="shared" si="116"/>
        <v>-160.98788448948309</v>
      </c>
      <c r="X294" s="227" t="str">
        <f t="shared" si="104"/>
        <v>0.999678627634049-0.00527911654755431i</v>
      </c>
      <c r="Y294" s="227" t="str">
        <f t="shared" si="105"/>
        <v>65.2473423786051-117.178376604483i</v>
      </c>
      <c r="Z294" s="227" t="str">
        <f t="shared" si="106"/>
        <v>33.6449118349088-61.1811513969708i</v>
      </c>
      <c r="AA294" s="227" t="str">
        <f t="shared" si="107"/>
        <v>-0.508130154614088-2.73912703097214i</v>
      </c>
      <c r="AB294" s="227">
        <f t="shared" si="117"/>
        <v>8.8991841905748679</v>
      </c>
      <c r="AC294" s="227">
        <f t="shared" si="118"/>
        <v>-100.5093622308721</v>
      </c>
      <c r="AD294" s="229">
        <f t="shared" si="119"/>
        <v>-11.087413784654178</v>
      </c>
      <c r="AE294" s="229">
        <f t="shared" si="120"/>
        <v>167.5070164599984</v>
      </c>
      <c r="AF294" s="227">
        <f t="shared" si="108"/>
        <v>-2.1882295940793099</v>
      </c>
      <c r="AG294" s="227">
        <f t="shared" si="109"/>
        <v>66.997654229126297</v>
      </c>
      <c r="AH294" s="229" t="str">
        <f t="shared" si="110"/>
        <v>0.272409727047558-0.060356784539195i</v>
      </c>
    </row>
    <row r="295" spans="9:34" x14ac:dyDescent="0.2">
      <c r="I295" s="227">
        <v>291</v>
      </c>
      <c r="J295" s="227">
        <f t="shared" si="98"/>
        <v>3.8372856552939694</v>
      </c>
      <c r="K295" s="227">
        <f t="shared" si="97"/>
        <v>6875.2050492797189</v>
      </c>
      <c r="L295" s="227">
        <f t="shared" si="111"/>
        <v>43198.187349481232</v>
      </c>
      <c r="M295" s="227">
        <f t="shared" si="99"/>
        <v>1211.1416062010712</v>
      </c>
      <c r="N295" s="227">
        <f>SQRT((ABS(AC295)-171.5+'Small Signal'!C$59)^2)</f>
        <v>0.42154564105862846</v>
      </c>
      <c r="O295" s="227">
        <f t="shared" si="112"/>
        <v>66.404244204487952</v>
      </c>
      <c r="P295" s="227">
        <f t="shared" si="113"/>
        <v>2.3639565867322432</v>
      </c>
      <c r="Q295" s="227">
        <f t="shared" si="114"/>
        <v>6875.2050492797189</v>
      </c>
      <c r="R295" s="227" t="str">
        <f t="shared" si="100"/>
        <v>0.0945666666666667+0.203031480542562i</v>
      </c>
      <c r="S295" s="227" t="str">
        <f t="shared" si="101"/>
        <v>0.0085-0.886562022396651i</v>
      </c>
      <c r="T295" s="227" t="str">
        <f t="shared" si="102"/>
        <v>0.0681455207229061-0.881374688572038i</v>
      </c>
      <c r="U295" s="227" t="str">
        <f t="shared" si="103"/>
        <v>-22.8482368347123-7.23551062133906i</v>
      </c>
      <c r="V295" s="227">
        <f t="shared" si="115"/>
        <v>27.592103033050147</v>
      </c>
      <c r="W295" s="227">
        <f t="shared" si="116"/>
        <v>-162.4282042081266</v>
      </c>
      <c r="X295" s="227" t="str">
        <f t="shared" si="104"/>
        <v>0.999663868839327-0.00539897569768963i</v>
      </c>
      <c r="Y295" s="227" t="str">
        <f t="shared" si="105"/>
        <v>61.8246357631359-115.201369216819i</v>
      </c>
      <c r="Z295" s="227" t="str">
        <f t="shared" si="106"/>
        <v>31.8608576263781-60.145507082123i</v>
      </c>
      <c r="AA295" s="227" t="str">
        <f t="shared" si="107"/>
        <v>-0.524871610617844-2.68062830182639i</v>
      </c>
      <c r="AB295" s="227">
        <f t="shared" si="117"/>
        <v>8.7281207502556484</v>
      </c>
      <c r="AC295" s="227">
        <f t="shared" si="118"/>
        <v>-101.07845435894137</v>
      </c>
      <c r="AD295" s="229">
        <f t="shared" si="119"/>
        <v>-11.092077336987892</v>
      </c>
      <c r="AE295" s="229">
        <f t="shared" si="120"/>
        <v>167.48269856342932</v>
      </c>
      <c r="AF295" s="227">
        <f t="shared" si="108"/>
        <v>-2.3639565867322432</v>
      </c>
      <c r="AG295" s="227">
        <f t="shared" si="109"/>
        <v>66.404244204487952</v>
      </c>
      <c r="AH295" s="229" t="str">
        <f t="shared" si="110"/>
        <v>0.272237878600725-0.0604399376424154i</v>
      </c>
    </row>
    <row r="296" spans="9:34" x14ac:dyDescent="0.2">
      <c r="I296" s="227">
        <v>292</v>
      </c>
      <c r="J296" s="227">
        <f t="shared" si="98"/>
        <v>3.8470357778207527</v>
      </c>
      <c r="K296" s="227">
        <f t="shared" si="97"/>
        <v>7031.3024240562863</v>
      </c>
      <c r="L296" s="227">
        <f t="shared" si="111"/>
        <v>44178.976081166664</v>
      </c>
      <c r="M296" s="227">
        <f t="shared" si="99"/>
        <v>1370.783077515498</v>
      </c>
      <c r="N296" s="227">
        <f>SQRT((ABS(AC296)-171.5+'Small Signal'!C$59)^2)</f>
        <v>0.15079473453160119</v>
      </c>
      <c r="O296" s="227">
        <f t="shared" si="112"/>
        <v>65.801481476880937</v>
      </c>
      <c r="P296" s="227">
        <f t="shared" si="113"/>
        <v>2.5390576752183112</v>
      </c>
      <c r="Q296" s="227">
        <f t="shared" si="114"/>
        <v>7031.3024240562863</v>
      </c>
      <c r="R296" s="227" t="str">
        <f t="shared" si="100"/>
        <v>0.0945666666666667+0.207641187581483i</v>
      </c>
      <c r="S296" s="227" t="str">
        <f t="shared" si="101"/>
        <v>0.0085-0.866880035201899i</v>
      </c>
      <c r="T296" s="227" t="str">
        <f t="shared" si="102"/>
        <v>0.0655377925857593-0.861980433716242i</v>
      </c>
      <c r="U296" s="227" t="str">
        <f t="shared" si="103"/>
        <v>-22.0027085134596-6.37712733708899i</v>
      </c>
      <c r="V296" s="227">
        <f t="shared" si="115"/>
        <v>27.199830143872482</v>
      </c>
      <c r="W296" s="227">
        <f t="shared" si="116"/>
        <v>-163.83662829133186</v>
      </c>
      <c r="X296" s="227" t="str">
        <f t="shared" si="104"/>
        <v>0.999648432257575-0.00552155617737731i</v>
      </c>
      <c r="Y296" s="227" t="str">
        <f t="shared" si="105"/>
        <v>58.5865938223079-113.185388468824i</v>
      </c>
      <c r="Z296" s="227" t="str">
        <f t="shared" si="106"/>
        <v>30.1731653237917-59.0897511751963i</v>
      </c>
      <c r="AA296" s="227" t="str">
        <f t="shared" si="107"/>
        <v>-0.540906264680059-2.62328072378567i</v>
      </c>
      <c r="AB296" s="227">
        <f t="shared" si="117"/>
        <v>8.5577235021136886</v>
      </c>
      <c r="AC296" s="227">
        <f t="shared" si="118"/>
        <v>-101.6507947345316</v>
      </c>
      <c r="AD296" s="229">
        <f t="shared" si="119"/>
        <v>-11.096781177332</v>
      </c>
      <c r="AE296" s="229">
        <f t="shared" si="120"/>
        <v>167.45227621141254</v>
      </c>
      <c r="AF296" s="227">
        <f t="shared" si="108"/>
        <v>-2.5390576752183112</v>
      </c>
      <c r="AG296" s="227">
        <f t="shared" si="109"/>
        <v>65.801481476880937</v>
      </c>
      <c r="AH296" s="229" t="str">
        <f t="shared" si="110"/>
        <v>0.27205837540539-0.0605516786988507i</v>
      </c>
    </row>
    <row r="297" spans="9:34" x14ac:dyDescent="0.2">
      <c r="I297" s="227">
        <v>293</v>
      </c>
      <c r="J297" s="227">
        <f t="shared" si="98"/>
        <v>3.8567859003475364</v>
      </c>
      <c r="K297" s="227">
        <f t="shared" si="97"/>
        <v>7190.9438953707131</v>
      </c>
      <c r="L297" s="227">
        <f t="shared" si="111"/>
        <v>45182.033028146005</v>
      </c>
      <c r="M297" s="227">
        <f t="shared" si="99"/>
        <v>1534.0491119373446</v>
      </c>
      <c r="N297" s="227">
        <f>SQRT((ABS(AC297)-171.5+'Small Signal'!C$59)^2)</f>
        <v>0.72650588111110892</v>
      </c>
      <c r="O297" s="227">
        <f t="shared" si="112"/>
        <v>65.189232529885231</v>
      </c>
      <c r="P297" s="227">
        <f t="shared" si="113"/>
        <v>2.7135053368168247</v>
      </c>
      <c r="Q297" s="227">
        <f t="shared" si="114"/>
        <v>7190.9438953707131</v>
      </c>
      <c r="R297" s="227" t="str">
        <f t="shared" si="100"/>
        <v>0.0945666666666667+0.212355555232286i</v>
      </c>
      <c r="S297" s="227" t="str">
        <f t="shared" si="101"/>
        <v>0.0085-0.847634995011581i</v>
      </c>
      <c r="T297" s="227" t="str">
        <f t="shared" si="102"/>
        <v>0.0630435873969568-0.84300556112449i</v>
      </c>
      <c r="U297" s="227" t="str">
        <f t="shared" si="103"/>
        <v>-21.1734132269589-5.58837556966239i</v>
      </c>
      <c r="V297" s="227">
        <f t="shared" si="115"/>
        <v>26.808278902281355</v>
      </c>
      <c r="W297" s="227">
        <f t="shared" si="116"/>
        <v>-165.21487801310334</v>
      </c>
      <c r="X297" s="227" t="str">
        <f t="shared" si="104"/>
        <v>0.99963228676191-0.00564691977275986i</v>
      </c>
      <c r="Y297" s="227" t="str">
        <f t="shared" si="105"/>
        <v>55.5244849453793-111.141312247252i</v>
      </c>
      <c r="Z297" s="227" t="str">
        <f t="shared" si="106"/>
        <v>28.5772681026642-58.0195453030596i</v>
      </c>
      <c r="AA297" s="227" t="str">
        <f t="shared" si="107"/>
        <v>-0.556262938544852-2.5670679511601i</v>
      </c>
      <c r="AB297" s="227">
        <f t="shared" si="117"/>
        <v>8.3880290972908345</v>
      </c>
      <c r="AC297" s="227">
        <f t="shared" si="118"/>
        <v>-102.22650588111111</v>
      </c>
      <c r="AD297" s="229">
        <f t="shared" si="119"/>
        <v>-11.101534434107659</v>
      </c>
      <c r="AE297" s="229">
        <f t="shared" si="120"/>
        <v>167.41573841099634</v>
      </c>
      <c r="AF297" s="227">
        <f t="shared" si="108"/>
        <v>-2.7135053368168247</v>
      </c>
      <c r="AG297" s="227">
        <f t="shared" si="109"/>
        <v>65.189232529885231</v>
      </c>
      <c r="AH297" s="229" t="str">
        <f t="shared" si="110"/>
        <v>0.271870886942177-0.0606919372601054i</v>
      </c>
    </row>
    <row r="298" spans="9:34" x14ac:dyDescent="0.2">
      <c r="I298" s="227">
        <v>294</v>
      </c>
      <c r="J298" s="227">
        <f t="shared" si="98"/>
        <v>3.8665360228743197</v>
      </c>
      <c r="K298" s="227">
        <f t="shared" si="97"/>
        <v>7354.2099297925597</v>
      </c>
      <c r="L298" s="227">
        <f t="shared" si="111"/>
        <v>46207.863776786828</v>
      </c>
      <c r="M298" s="227">
        <f t="shared" si="99"/>
        <v>1701.0220029810444</v>
      </c>
      <c r="N298" s="227">
        <f>SQRT((ABS(AC298)-171.5+'Small Signal'!C$59)^2)</f>
        <v>1.3057045313863398</v>
      </c>
      <c r="O298" s="227">
        <f t="shared" si="112"/>
        <v>64.567367465080451</v>
      </c>
      <c r="P298" s="227">
        <f t="shared" si="113"/>
        <v>2.8872716873161881</v>
      </c>
      <c r="Q298" s="227">
        <f t="shared" si="114"/>
        <v>7354.2099297925597</v>
      </c>
      <c r="R298" s="227" t="str">
        <f t="shared" si="100"/>
        <v>0.0945666666666667+0.217176959750898i</v>
      </c>
      <c r="S298" s="227" t="str">
        <f t="shared" si="101"/>
        <v>0.0085-0.828817201449268i</v>
      </c>
      <c r="T298" s="227" t="str">
        <f t="shared" si="102"/>
        <v>0.0606580039880557-0.824441481680127i</v>
      </c>
      <c r="U298" s="227" t="str">
        <f t="shared" si="103"/>
        <v>-20.3623953894032-4.86430019418259i</v>
      </c>
      <c r="V298" s="227">
        <f t="shared" si="115"/>
        <v>26.417601374053117</v>
      </c>
      <c r="W298" s="227">
        <f t="shared" si="116"/>
        <v>-166.56460924139415</v>
      </c>
      <c r="X298" s="227" t="str">
        <f t="shared" si="104"/>
        <v>0.999615399795972-0.00577512967279682i</v>
      </c>
      <c r="Y298" s="227" t="str">
        <f t="shared" si="105"/>
        <v>52.6296242326268-109.078671016996i</v>
      </c>
      <c r="Z298" s="227" t="str">
        <f t="shared" si="106"/>
        <v>27.0686251854915-56.9398484864245i</v>
      </c>
      <c r="AA298" s="227" t="str">
        <f t="shared" si="107"/>
        <v>-0.570969377993068-2.51197344010258i</v>
      </c>
      <c r="AB298" s="227">
        <f t="shared" si="117"/>
        <v>8.2190746337425065</v>
      </c>
      <c r="AC298" s="227">
        <f t="shared" si="118"/>
        <v>-102.80570453138634</v>
      </c>
      <c r="AD298" s="229">
        <f t="shared" si="119"/>
        <v>-11.106346321058695</v>
      </c>
      <c r="AE298" s="229">
        <f t="shared" si="120"/>
        <v>167.37307199646679</v>
      </c>
      <c r="AF298" s="227">
        <f t="shared" si="108"/>
        <v>-2.8872716873161881</v>
      </c>
      <c r="AG298" s="227">
        <f t="shared" si="109"/>
        <v>64.567367465080451</v>
      </c>
      <c r="AH298" s="229" t="str">
        <f t="shared" si="110"/>
        <v>0.271675069450978-0.0608606488791419i</v>
      </c>
    </row>
    <row r="299" spans="9:34" x14ac:dyDescent="0.2">
      <c r="I299" s="227">
        <v>295</v>
      </c>
      <c r="J299" s="227">
        <f t="shared" si="98"/>
        <v>3.8762861454011031</v>
      </c>
      <c r="K299" s="227">
        <f t="shared" si="97"/>
        <v>7521.1828208362595</v>
      </c>
      <c r="L299" s="227">
        <f t="shared" si="111"/>
        <v>47256.9853924899</v>
      </c>
      <c r="M299" s="227">
        <f t="shared" si="99"/>
        <v>1871.7859125854793</v>
      </c>
      <c r="N299" s="227">
        <f>SQRT((ABS(AC299)-171.5+'Small Signal'!C$59)^2)</f>
        <v>1.8885012918909183</v>
      </c>
      <c r="O299" s="227">
        <f t="shared" si="112"/>
        <v>63.935760352068968</v>
      </c>
      <c r="P299" s="227">
        <f t="shared" si="113"/>
        <v>3.0603284972113478</v>
      </c>
      <c r="Q299" s="227">
        <f t="shared" si="114"/>
        <v>7521.1828208362595</v>
      </c>
      <c r="R299" s="227" t="str">
        <f t="shared" si="100"/>
        <v>0.0945666666666667+0.222107831344703i</v>
      </c>
      <c r="S299" s="227" t="str">
        <f t="shared" si="101"/>
        <v>0.0085-0.810417169490287i</v>
      </c>
      <c r="T299" s="227" t="str">
        <f t="shared" si="102"/>
        <v>0.0583763492934331-0.806279750670543i</v>
      </c>
      <c r="U299" s="227" t="str">
        <f t="shared" si="103"/>
        <v>-19.5712598925873-4.20021307957763i</v>
      </c>
      <c r="V299" s="227">
        <f t="shared" si="115"/>
        <v>26.027933335132619</v>
      </c>
      <c r="W299" s="227">
        <f t="shared" si="116"/>
        <v>-167.88740966769123</v>
      </c>
      <c r="X299" s="227" t="str">
        <f t="shared" si="104"/>
        <v>0.999597737308271-0.00590625050111486i</v>
      </c>
      <c r="Y299" s="227" t="str">
        <f t="shared" si="105"/>
        <v>49.8934628734812-107.005780821676i</v>
      </c>
      <c r="Z299" s="227" t="str">
        <f t="shared" si="106"/>
        <v>25.6427682833396-55.8549866104576i</v>
      </c>
      <c r="AA299" s="227" t="str">
        <f t="shared" si="107"/>
        <v>-0.585052285062944-2.45798048551287i</v>
      </c>
      <c r="AB299" s="227">
        <f t="shared" si="117"/>
        <v>8.0508976557612293</v>
      </c>
      <c r="AC299" s="227">
        <f t="shared" si="118"/>
        <v>-103.38850129189092</v>
      </c>
      <c r="AD299" s="229">
        <f t="shared" si="119"/>
        <v>-11.111226152972577</v>
      </c>
      <c r="AE299" s="229">
        <f t="shared" si="120"/>
        <v>167.32426164395989</v>
      </c>
      <c r="AF299" s="227">
        <f t="shared" si="108"/>
        <v>-3.0603284972113478</v>
      </c>
      <c r="AG299" s="227">
        <f t="shared" si="109"/>
        <v>63.935760352068968</v>
      </c>
      <c r="AH299" s="229" t="str">
        <f t="shared" si="110"/>
        <v>0.271470565493614-0.0610577545470599i</v>
      </c>
    </row>
    <row r="300" spans="9:34" x14ac:dyDescent="0.2">
      <c r="I300" s="227">
        <v>296</v>
      </c>
      <c r="J300" s="227">
        <f t="shared" si="98"/>
        <v>3.8860362679278864</v>
      </c>
      <c r="K300" s="227">
        <f t="shared" si="97"/>
        <v>7691.9467304406944</v>
      </c>
      <c r="L300" s="227">
        <f t="shared" si="111"/>
        <v>48329.92668031303</v>
      </c>
      <c r="M300" s="227">
        <f t="shared" si="99"/>
        <v>2046.4269135355216</v>
      </c>
      <c r="N300" s="227">
        <f>SQRT((ABS(AC300)-171.5+'Small Signal'!C$59)^2)</f>
        <v>2.4750003033217496</v>
      </c>
      <c r="O300" s="227">
        <f t="shared" si="112"/>
        <v>63.294289585382828</v>
      </c>
      <c r="P300" s="227">
        <f t="shared" si="113"/>
        <v>3.2326472111549265</v>
      </c>
      <c r="Q300" s="227">
        <f t="shared" si="114"/>
        <v>7691.9467304406944</v>
      </c>
      <c r="R300" s="227" t="str">
        <f t="shared" si="100"/>
        <v>0.0945666666666667+0.227150655397471i</v>
      </c>
      <c r="S300" s="227" t="str">
        <f t="shared" si="101"/>
        <v>0.0085-0.792425624680823i</v>
      </c>
      <c r="T300" s="227" t="str">
        <f t="shared" si="102"/>
        <v>0.0561941298144226-0.788512067521442i</v>
      </c>
      <c r="U300" s="227" t="str">
        <f t="shared" si="103"/>
        <v>-18.8012322517194-3.59169736924789i</v>
      </c>
      <c r="V300" s="227">
        <f t="shared" si="115"/>
        <v>25.639396103209513</v>
      </c>
      <c r="W300" s="227">
        <f t="shared" si="116"/>
        <v>-169.18479718082236</v>
      </c>
      <c r="X300" s="227" t="str">
        <f t="shared" si="104"/>
        <v>0.999579263683528-0.00604034834858101i</v>
      </c>
      <c r="Y300" s="227" t="str">
        <f t="shared" si="105"/>
        <v>47.3076565287375-104.929868227372i</v>
      </c>
      <c r="Z300" s="227" t="str">
        <f t="shared" si="106"/>
        <v>24.295337098496-54.7687176673149i</v>
      </c>
      <c r="AA300" s="227" t="str">
        <f t="shared" si="107"/>
        <v>-0.598537350048898-2.40507225540783i</v>
      </c>
      <c r="AB300" s="227">
        <f t="shared" si="117"/>
        <v>7.8835361503255363</v>
      </c>
      <c r="AC300" s="227">
        <f t="shared" si="118"/>
        <v>-103.97500030332175</v>
      </c>
      <c r="AD300" s="229">
        <f t="shared" si="119"/>
        <v>-11.116183361480463</v>
      </c>
      <c r="AE300" s="229">
        <f t="shared" si="120"/>
        <v>167.26928988870458</v>
      </c>
      <c r="AF300" s="227">
        <f t="shared" si="108"/>
        <v>-3.2326472111549265</v>
      </c>
      <c r="AG300" s="227">
        <f t="shared" si="109"/>
        <v>63.294289585382828</v>
      </c>
      <c r="AH300" s="229" t="str">
        <f t="shared" si="110"/>
        <v>0.271257003511109-0.0612832001015567i</v>
      </c>
    </row>
    <row r="301" spans="9:34" x14ac:dyDescent="0.2">
      <c r="I301" s="227">
        <v>297</v>
      </c>
      <c r="J301" s="227">
        <f t="shared" si="98"/>
        <v>3.8957863904546697</v>
      </c>
      <c r="K301" s="227">
        <f t="shared" si="97"/>
        <v>7866.5877313907367</v>
      </c>
      <c r="L301" s="227">
        <f t="shared" si="111"/>
        <v>49427.228451513467</v>
      </c>
      <c r="M301" s="227">
        <f t="shared" si="99"/>
        <v>2225.0330328465816</v>
      </c>
      <c r="N301" s="227">
        <f>SQRT((ABS(AC301)-171.5+'Small Signal'!C$59)^2)</f>
        <v>3.0652988974128306</v>
      </c>
      <c r="O301" s="227">
        <f t="shared" si="112"/>
        <v>62.64283824757193</v>
      </c>
      <c r="P301" s="227">
        <f t="shared" si="113"/>
        <v>3.4041989708415148</v>
      </c>
      <c r="Q301" s="227">
        <f t="shared" si="114"/>
        <v>7866.5877313907367</v>
      </c>
      <c r="R301" s="227" t="str">
        <f t="shared" si="100"/>
        <v>0.0945666666666667+0.232307973722113i</v>
      </c>
      <c r="S301" s="227" t="str">
        <f t="shared" si="101"/>
        <v>0.0085-0.774833498463191i</v>
      </c>
      <c r="T301" s="227" t="str">
        <f t="shared" si="102"/>
        <v>0.0541070434075883-0.771130275353258i</v>
      </c>
      <c r="U301" s="227" t="str">
        <f t="shared" si="103"/>
        <v>-18.053212251963-3.03460659048254i</v>
      </c>
      <c r="V301" s="227">
        <f t="shared" si="115"/>
        <v>25.252098202573201</v>
      </c>
      <c r="W301" s="227">
        <f t="shared" si="116"/>
        <v>-170.45821916573172</v>
      </c>
      <c r="X301" s="227" t="str">
        <f t="shared" si="104"/>
        <v>0.999559941670857-0.00617749080661551i</v>
      </c>
      <c r="Y301" s="227" t="str">
        <f t="shared" si="105"/>
        <v>44.8641162336193-102.857186373773i</v>
      </c>
      <c r="Z301" s="227" t="str">
        <f t="shared" si="106"/>
        <v>23.0221057232034-53.6842923392177i</v>
      </c>
      <c r="AA301" s="227" t="str">
        <f t="shared" si="107"/>
        <v>-0.611449283199722-2.35323182288516i</v>
      </c>
      <c r="AB301" s="227">
        <f t="shared" si="117"/>
        <v>7.7170285401029783</v>
      </c>
      <c r="AC301" s="227">
        <f t="shared" si="118"/>
        <v>-104.56529889741283</v>
      </c>
      <c r="AD301" s="229">
        <f t="shared" si="119"/>
        <v>-11.121227510944493</v>
      </c>
      <c r="AE301" s="229">
        <f t="shared" si="120"/>
        <v>167.20813714498476</v>
      </c>
      <c r="AF301" s="227">
        <f t="shared" si="108"/>
        <v>-3.4041989708415148</v>
      </c>
      <c r="AG301" s="227">
        <f t="shared" si="109"/>
        <v>62.64283824757193</v>
      </c>
      <c r="AH301" s="229" t="str">
        <f t="shared" si="110"/>
        <v>0.271033997376603-0.0615369356052632i</v>
      </c>
    </row>
    <row r="302" spans="9:34" x14ac:dyDescent="0.2">
      <c r="I302" s="227">
        <v>298</v>
      </c>
      <c r="J302" s="227">
        <f t="shared" si="98"/>
        <v>3.905536512981453</v>
      </c>
      <c r="K302" s="227">
        <f t="shared" si="97"/>
        <v>8045.1938507017967</v>
      </c>
      <c r="L302" s="227">
        <f t="shared" si="111"/>
        <v>50549.443796141088</v>
      </c>
      <c r="M302" s="227">
        <f t="shared" si="99"/>
        <v>2407.694296134242</v>
      </c>
      <c r="N302" s="227">
        <f>SQRT((ABS(AC302)-171.5+'Small Signal'!C$59)^2)</f>
        <v>3.6594872512709458</v>
      </c>
      <c r="O302" s="227">
        <f t="shared" si="112"/>
        <v>61.981294477645918</v>
      </c>
      <c r="P302" s="227">
        <f t="shared" si="113"/>
        <v>3.5749546414978015</v>
      </c>
      <c r="Q302" s="227">
        <f t="shared" si="114"/>
        <v>8045.1938507017967</v>
      </c>
      <c r="R302" s="227" t="str">
        <f t="shared" si="100"/>
        <v>0.0945666666666667+0.237582385841863i</v>
      </c>
      <c r="S302" s="227" t="str">
        <f t="shared" si="101"/>
        <v>0.0085-0.757631923604846i</v>
      </c>
      <c r="T302" s="227" t="str">
        <f t="shared" si="102"/>
        <v>0.0521109713871286-0.754126360374864i</v>
      </c>
      <c r="U302" s="227" t="str">
        <f t="shared" si="103"/>
        <v>-17.3278214964908-2.52505983930937i</v>
      </c>
      <c r="V302" s="227">
        <f t="shared" si="115"/>
        <v>24.866136869809043</v>
      </c>
      <c r="W302" s="227">
        <f t="shared" si="116"/>
        <v>-171.70905254036725</v>
      </c>
      <c r="X302" s="227" t="str">
        <f t="shared" si="104"/>
        <v>0.999539732308655-0.00631774700126095i</v>
      </c>
      <c r="Y302" s="227" t="str">
        <f t="shared" si="105"/>
        <v>42.5550448942194-100.793121773717i</v>
      </c>
      <c r="Z302" s="227" t="str">
        <f t="shared" si="106"/>
        <v>21.819001537212-52.6045097387238i</v>
      </c>
      <c r="AA302" s="227" t="str">
        <f t="shared" si="107"/>
        <v>-0.623811846047349-2.30244219580612i</v>
      </c>
      <c r="AB302" s="227">
        <f t="shared" si="117"/>
        <v>7.5514136729465777</v>
      </c>
      <c r="AC302" s="227">
        <f t="shared" si="118"/>
        <v>-105.15948725127095</v>
      </c>
      <c r="AD302" s="229">
        <f t="shared" si="119"/>
        <v>-11.126368314444379</v>
      </c>
      <c r="AE302" s="229">
        <f t="shared" si="120"/>
        <v>167.14078172891686</v>
      </c>
      <c r="AF302" s="227">
        <f t="shared" si="108"/>
        <v>-3.5749546414978015</v>
      </c>
      <c r="AG302" s="227">
        <f t="shared" si="109"/>
        <v>61.981294477645918</v>
      </c>
      <c r="AH302" s="229" t="str">
        <f t="shared" si="110"/>
        <v>0.270801145944899-0.0618189146920867i</v>
      </c>
    </row>
    <row r="303" spans="9:34" x14ac:dyDescent="0.2">
      <c r="I303" s="227">
        <v>299</v>
      </c>
      <c r="J303" s="227">
        <f t="shared" si="98"/>
        <v>3.9152866355082363</v>
      </c>
      <c r="K303" s="227">
        <f t="shared" si="97"/>
        <v>8227.8551139894571</v>
      </c>
      <c r="L303" s="227">
        <f t="shared" si="111"/>
        <v>51697.138361820973</v>
      </c>
      <c r="M303" s="227">
        <f t="shared" si="99"/>
        <v>2594.5027729913027</v>
      </c>
      <c r="N303" s="227">
        <f>SQRT((ABS(AC303)-171.5+'Small Signal'!C$59)^2)</f>
        <v>4.2576480402345425</v>
      </c>
      <c r="O303" s="227">
        <f t="shared" si="112"/>
        <v>61.309551843922932</v>
      </c>
      <c r="P303" s="227">
        <f t="shared" si="113"/>
        <v>3.7448848421457761</v>
      </c>
      <c r="Q303" s="227">
        <f t="shared" si="114"/>
        <v>8227.8551139894571</v>
      </c>
      <c r="R303" s="227" t="str">
        <f t="shared" si="100"/>
        <v>0.0945666666666667+0.242976550300559i</v>
      </c>
      <c r="S303" s="227" t="str">
        <f t="shared" si="101"/>
        <v>0.0085-0.74081222972893i</v>
      </c>
      <c r="T303" s="227" t="str">
        <f t="shared" si="102"/>
        <v>0.0502019709315008-0.737492451128731i</v>
      </c>
      <c r="U303" s="227" t="str">
        <f t="shared" si="103"/>
        <v>-16.6254453173078-2.05943406383629i</v>
      </c>
      <c r="V303" s="227">
        <f t="shared" si="115"/>
        <v>24.481599409341889</v>
      </c>
      <c r="W303" s="227">
        <f t="shared" si="116"/>
        <v>-172.93860437287637</v>
      </c>
      <c r="X303" s="227" t="str">
        <f t="shared" si="104"/>
        <v>0.999518594846032-0.0064611876280249i</v>
      </c>
      <c r="Y303" s="227" t="str">
        <f t="shared" si="105"/>
        <v>40.3729620281524-98.7422918511115i</v>
      </c>
      <c r="Z303" s="227" t="str">
        <f t="shared" si="106"/>
        <v>20.6821179865448-51.5317683043229i</v>
      </c>
      <c r="AA303" s="227" t="str">
        <f t="shared" si="107"/>
        <v>-0.635647882305623-2.25268634431699i</v>
      </c>
      <c r="AB303" s="227">
        <f t="shared" si="117"/>
        <v>7.386730807723648</v>
      </c>
      <c r="AC303" s="227">
        <f t="shared" si="118"/>
        <v>-105.75764804023454</v>
      </c>
      <c r="AD303" s="229">
        <f t="shared" si="119"/>
        <v>-11.131615649869424</v>
      </c>
      <c r="AE303" s="229">
        <f t="shared" si="120"/>
        <v>167.06719988415747</v>
      </c>
      <c r="AF303" s="227">
        <f t="shared" si="108"/>
        <v>-3.7448848421457761</v>
      </c>
      <c r="AG303" s="227">
        <f t="shared" si="109"/>
        <v>61.309551843922932</v>
      </c>
      <c r="AH303" s="229" t="str">
        <f t="shared" si="110"/>
        <v>0.270558032599954-0.0621290938796492i</v>
      </c>
    </row>
    <row r="304" spans="9:34" x14ac:dyDescent="0.2">
      <c r="I304" s="227">
        <v>300</v>
      </c>
      <c r="J304" s="227">
        <f t="shared" si="98"/>
        <v>3.9250367580350205</v>
      </c>
      <c r="K304" s="227">
        <f t="shared" si="97"/>
        <v>8414.6635908465178</v>
      </c>
      <c r="L304" s="227">
        <f t="shared" si="111"/>
        <v>52870.890638865858</v>
      </c>
      <c r="M304" s="227">
        <f t="shared" si="99"/>
        <v>2785.5526233949231</v>
      </c>
      <c r="N304" s="227">
        <f>SQRT((ABS(AC304)-171.5+'Small Signal'!C$59)^2)</f>
        <v>4.8598560904599424</v>
      </c>
      <c r="O304" s="227">
        <f t="shared" si="112"/>
        <v>60.627509720201203</v>
      </c>
      <c r="P304" s="227">
        <f t="shared" si="113"/>
        <v>3.9139599797980971</v>
      </c>
      <c r="Q304" s="227">
        <f t="shared" si="114"/>
        <v>8414.6635908465178</v>
      </c>
      <c r="R304" s="227" t="str">
        <f t="shared" si="100"/>
        <v>0.0945666666666667+0.24849318600267i</v>
      </c>
      <c r="S304" s="227" t="str">
        <f t="shared" si="101"/>
        <v>0.0085-0.724365938943961i</v>
      </c>
      <c r="T304" s="227" t="str">
        <f t="shared" si="102"/>
        <v>0.0483762677844527-0.721220817600594i</v>
      </c>
      <c r="U304" s="227" t="str">
        <f t="shared" si="103"/>
        <v>-15.9462695372474-1.63435427615094i</v>
      </c>
      <c r="V304" s="227">
        <f t="shared" si="115"/>
        <v>24.098564408647981</v>
      </c>
      <c r="W304" s="227">
        <f t="shared" si="116"/>
        <v>-174.14811294698899</v>
      </c>
      <c r="X304" s="227" t="str">
        <f t="shared" si="104"/>
        <v>0.999496486660643-0.00660788498751374i</v>
      </c>
      <c r="Y304" s="227" t="str">
        <f t="shared" si="105"/>
        <v>38.3107190118073-96.7086334544849i</v>
      </c>
      <c r="Z304" s="227" t="str">
        <f t="shared" si="106"/>
        <v>19.6077224229851-50.4681119779382i</v>
      </c>
      <c r="AA304" s="227" t="str">
        <f t="shared" si="107"/>
        <v>-0.646979348286881-2.20394722632611i</v>
      </c>
      <c r="AB304" s="227">
        <f t="shared" si="117"/>
        <v>7.2230195963276476</v>
      </c>
      <c r="AC304" s="227">
        <f t="shared" si="118"/>
        <v>-106.35985609045994</v>
      </c>
      <c r="AD304" s="229">
        <f t="shared" si="119"/>
        <v>-11.136979576125745</v>
      </c>
      <c r="AE304" s="229">
        <f t="shared" si="120"/>
        <v>166.98736581066115</v>
      </c>
      <c r="AF304" s="227">
        <f t="shared" si="108"/>
        <v>-3.9139599797980971</v>
      </c>
      <c r="AG304" s="227">
        <f t="shared" si="109"/>
        <v>60.627509720201203</v>
      </c>
      <c r="AH304" s="229" t="str">
        <f t="shared" si="110"/>
        <v>0.270304224801621-0.0624674318458675i</v>
      </c>
    </row>
    <row r="305" spans="9:34" x14ac:dyDescent="0.2">
      <c r="I305" s="227">
        <v>301</v>
      </c>
      <c r="J305" s="227">
        <f t="shared" si="98"/>
        <v>3.9347868805618038</v>
      </c>
      <c r="K305" s="227">
        <f t="shared" si="97"/>
        <v>8605.7134412501382</v>
      </c>
      <c r="L305" s="227">
        <f t="shared" si="111"/>
        <v>54071.292251860745</v>
      </c>
      <c r="M305" s="227">
        <f t="shared" si="99"/>
        <v>2980.9401451677177</v>
      </c>
      <c r="N305" s="227">
        <f>SQRT((ABS(AC305)-171.5+'Small Signal'!C$59)^2)</f>
        <v>5.4661780325837412</v>
      </c>
      <c r="O305" s="227">
        <f t="shared" si="112"/>
        <v>59.935073664044268</v>
      </c>
      <c r="P305" s="227">
        <f t="shared" si="113"/>
        <v>4.0821502877312632</v>
      </c>
      <c r="Q305" s="227">
        <f t="shared" ref="Q305:Q368" si="121">K305</f>
        <v>8605.7134412501382</v>
      </c>
      <c r="R305" s="227" t="str">
        <f t="shared" si="100"/>
        <v>0.0945666666666667+0.254135073583745i</v>
      </c>
      <c r="S305" s="227" t="str">
        <f t="shared" si="101"/>
        <v>0.0085-0.708284761570638i</v>
      </c>
      <c r="T305" s="227" t="str">
        <f t="shared" si="102"/>
        <v>0.0466302492408193-0.705303870206159i</v>
      </c>
      <c r="U305" s="227" t="str">
        <f t="shared" si="103"/>
        <v>-15.2903125748601-1.24668235865734i</v>
      </c>
      <c r="V305" s="227">
        <f t="shared" si="115"/>
        <v>23.717102823312363</v>
      </c>
      <c r="W305" s="227">
        <f t="shared" si="116"/>
        <v>-175.33874916590119</v>
      </c>
      <c r="X305" s="227" t="str">
        <f t="shared" si="104"/>
        <v>0.999473363172744-0.00675791302187534i</v>
      </c>
      <c r="Y305" s="227" t="str">
        <f t="shared" si="105"/>
        <v>36.3615067467758-94.6954827513083i</v>
      </c>
      <c r="Z305" s="227" t="str">
        <f t="shared" si="106"/>
        <v>18.5922600011616-49.4152718780265i</v>
      </c>
      <c r="AA305" s="227" t="str">
        <f t="shared" si="107"/>
        <v>-0.657827342791512-2.15620781104895i</v>
      </c>
      <c r="AB305" s="227">
        <f t="shared" si="117"/>
        <v>7.0603200617331012</v>
      </c>
      <c r="AC305" s="227">
        <f t="shared" si="118"/>
        <v>-106.96617803258374</v>
      </c>
      <c r="AD305" s="229">
        <f t="shared" si="119"/>
        <v>-11.142470349464364</v>
      </c>
      <c r="AE305" s="229">
        <f t="shared" si="120"/>
        <v>166.90125169662801</v>
      </c>
      <c r="AF305" s="227">
        <f t="shared" si="108"/>
        <v>-4.0821502877312632</v>
      </c>
      <c r="AG305" s="227">
        <f t="shared" si="109"/>
        <v>59.935073664044268</v>
      </c>
      <c r="AH305" s="229" t="str">
        <f t="shared" si="110"/>
        <v>0.270039273633218-0.0628338886676703i</v>
      </c>
    </row>
    <row r="306" spans="9:34" x14ac:dyDescent="0.2">
      <c r="I306" s="227">
        <v>302</v>
      </c>
      <c r="J306" s="227">
        <f t="shared" si="98"/>
        <v>3.9445370030885871</v>
      </c>
      <c r="K306" s="227">
        <f t="shared" si="97"/>
        <v>8801.1009630229328</v>
      </c>
      <c r="L306" s="227">
        <f t="shared" si="111"/>
        <v>55298.948257869801</v>
      </c>
      <c r="M306" s="227">
        <f t="shared" si="99"/>
        <v>3180.7638225161236</v>
      </c>
      <c r="N306" s="227">
        <f>SQRT((ABS(AC306)-171.5+'Small Signal'!C$59)^2)</f>
        <v>6.0766719579523993</v>
      </c>
      <c r="O306" s="227">
        <f t="shared" si="112"/>
        <v>59.232155795835084</v>
      </c>
      <c r="P306" s="227">
        <f t="shared" si="113"/>
        <v>4.2494258679742787</v>
      </c>
      <c r="Q306" s="227">
        <f t="shared" si="121"/>
        <v>8801.1009630229328</v>
      </c>
      <c r="R306" s="227" t="str">
        <f t="shared" si="100"/>
        <v>0.0945666666666667+0.259905056811988i</v>
      </c>
      <c r="S306" s="227" t="str">
        <f t="shared" si="101"/>
        <v>0.0085-0.692560591963434i</v>
      </c>
      <c r="T306" s="227" t="str">
        <f t="shared" si="102"/>
        <v>0.0449604574075569-0.689734158666187i</v>
      </c>
      <c r="U306" s="227" t="str">
        <f t="shared" si="103"/>
        <v>-14.6574533707373-0.89350499273212i</v>
      </c>
      <c r="V306" s="227">
        <f t="shared" si="115"/>
        <v>23.337278942105563</v>
      </c>
      <c r="W306" s="227">
        <f t="shared" si="116"/>
        <v>-176.51161820440242</v>
      </c>
      <c r="X306" s="227" t="str">
        <f t="shared" si="104"/>
        <v>0.999449177755297-0.00691134735206941i</v>
      </c>
      <c r="Y306" s="227" t="str">
        <f t="shared" si="105"/>
        <v>34.5188573483809-92.7056470149601i</v>
      </c>
      <c r="Z306" s="227" t="str">
        <f t="shared" si="106"/>
        <v>17.632354468489-48.3747037372379i</v>
      </c>
      <c r="AA306" s="227" t="str">
        <f t="shared" si="107"/>
        <v>-0.668212136432036-2.10945110072847i</v>
      </c>
      <c r="AB306" s="227">
        <f t="shared" si="117"/>
        <v>6.898672571961618</v>
      </c>
      <c r="AC306" s="227">
        <f t="shared" si="118"/>
        <v>-107.5766719579524</v>
      </c>
      <c r="AD306" s="229">
        <f t="shared" si="119"/>
        <v>-11.148098439935897</v>
      </c>
      <c r="AE306" s="229">
        <f t="shared" si="120"/>
        <v>166.80882775378748</v>
      </c>
      <c r="AF306" s="227">
        <f t="shared" si="108"/>
        <v>-4.2494258679742787</v>
      </c>
      <c r="AG306" s="227">
        <f t="shared" si="109"/>
        <v>59.232155795835084</v>
      </c>
      <c r="AH306" s="229" t="str">
        <f t="shared" si="110"/>
        <v>0.26976271335163-0.0632284250198291i</v>
      </c>
    </row>
    <row r="307" spans="9:34" x14ac:dyDescent="0.2">
      <c r="I307" s="227">
        <v>303</v>
      </c>
      <c r="J307" s="227">
        <f t="shared" si="98"/>
        <v>3.9542871256153704</v>
      </c>
      <c r="K307" s="227">
        <f t="shared" si="97"/>
        <v>9000.9246403713387</v>
      </c>
      <c r="L307" s="227">
        <f t="shared" si="111"/>
        <v>56554.477451411898</v>
      </c>
      <c r="M307" s="227">
        <f t="shared" si="99"/>
        <v>3385.1243756709546</v>
      </c>
      <c r="N307" s="227">
        <f>SQRT((ABS(AC307)-171.5+'Small Signal'!C$59)^2)</f>
        <v>6.6913870790549481</v>
      </c>
      <c r="O307" s="227">
        <f t="shared" si="112"/>
        <v>58.518675177126624</v>
      </c>
      <c r="P307" s="227">
        <f t="shared" si="113"/>
        <v>4.4157567381298053</v>
      </c>
      <c r="Q307" s="227">
        <f t="shared" si="121"/>
        <v>9000.9246403713387</v>
      </c>
      <c r="R307" s="227" t="str">
        <f t="shared" si="100"/>
        <v>0.0945666666666667+0.265806044021636i</v>
      </c>
      <c r="S307" s="227" t="str">
        <f t="shared" si="101"/>
        <v>0.0085-0.677185504424982i</v>
      </c>
      <c r="T307" s="227" t="str">
        <f t="shared" si="102"/>
        <v>0.0433635827306882-0.674504370780782i</v>
      </c>
      <c r="U307" s="227" t="str">
        <f t="shared" si="103"/>
        <v>-14.047455589846-0.572121122863397i</v>
      </c>
      <c r="V307" s="227">
        <f t="shared" si="115"/>
        <v>22.959151242020468</v>
      </c>
      <c r="W307" s="227">
        <f t="shared" si="116"/>
        <v>-177.66776133563883</v>
      </c>
      <c r="X307" s="227" t="str">
        <f t="shared" si="104"/>
        <v>0.999423881639953-0.00706826531598382i</v>
      </c>
      <c r="Y307" s="227" t="str">
        <f t="shared" si="105"/>
        <v>32.7766411890791-90.7414688769422i</v>
      </c>
      <c r="Z307" s="227" t="str">
        <f t="shared" si="106"/>
        <v>16.7248065422686-47.3476214049277i</v>
      </c>
      <c r="AA307" s="227" t="str">
        <f t="shared" si="107"/>
        <v>-0.67815320035971-2.06366015063481i</v>
      </c>
      <c r="AB307" s="227">
        <f t="shared" si="117"/>
        <v>6.7381178098454706</v>
      </c>
      <c r="AC307" s="227">
        <f t="shared" si="118"/>
        <v>-108.19138707905495</v>
      </c>
      <c r="AD307" s="229">
        <f t="shared" si="119"/>
        <v>-11.153874547975276</v>
      </c>
      <c r="AE307" s="229">
        <f t="shared" si="120"/>
        <v>166.71006225618157</v>
      </c>
      <c r="AF307" s="227">
        <f t="shared" si="108"/>
        <v>-4.4157567381298053</v>
      </c>
      <c r="AG307" s="227">
        <f t="shared" si="109"/>
        <v>58.518675177126624</v>
      </c>
      <c r="AH307" s="229" t="str">
        <f t="shared" si="110"/>
        <v>0.269474060941876-0.0636510013318428i</v>
      </c>
    </row>
    <row r="308" spans="9:34" x14ac:dyDescent="0.2">
      <c r="I308" s="227">
        <v>304</v>
      </c>
      <c r="J308" s="227">
        <f t="shared" si="98"/>
        <v>3.9640372481421537</v>
      </c>
      <c r="K308" s="227">
        <f t="shared" si="97"/>
        <v>9205.2851935261697</v>
      </c>
      <c r="L308" s="227">
        <f t="shared" si="111"/>
        <v>57838.512676361424</v>
      </c>
      <c r="M308" s="227">
        <f t="shared" si="99"/>
        <v>3594.1248116549987</v>
      </c>
      <c r="N308" s="227">
        <f>SQRT((ABS(AC308)-171.5+'Small Signal'!C$59)^2)</f>
        <v>7.3103633959375998</v>
      </c>
      <c r="O308" s="227">
        <f t="shared" si="112"/>
        <v>57.7945581866814</v>
      </c>
      <c r="P308" s="227">
        <f t="shared" si="113"/>
        <v>4.5811128826286236</v>
      </c>
      <c r="Q308" s="227">
        <f t="shared" si="121"/>
        <v>9205.2851935261697</v>
      </c>
      <c r="R308" s="227" t="str">
        <f t="shared" si="100"/>
        <v>0.0945666666666667+0.271841009578899i</v>
      </c>
      <c r="S308" s="227" t="str">
        <f t="shared" si="101"/>
        <v>0.0085-0.662151749211177i</v>
      </c>
      <c r="T308" s="227" t="str">
        <f t="shared" si="102"/>
        <v>0.0418364577789994-0.659607331112914i</v>
      </c>
      <c r="U308" s="227" t="str">
        <f t="shared" si="103"/>
        <v>-13.4599885238809-0.280029274976301i</v>
      </c>
      <c r="V308" s="227">
        <f t="shared" si="115"/>
        <v>22.582773142800285</v>
      </c>
      <c r="W308" s="227">
        <f t="shared" si="116"/>
        <v>-178.80815787311522</v>
      </c>
      <c r="X308" s="227" t="str">
        <f t="shared" si="104"/>
        <v>0.999397423818708-0.00722874600741642i</v>
      </c>
      <c r="Y308" s="227" t="str">
        <f t="shared" si="105"/>
        <v>31.1290603964663-88.804883643664i</v>
      </c>
      <c r="Z308" s="227" t="str">
        <f t="shared" si="106"/>
        <v>15.8665904466858-46.3350267284479i</v>
      </c>
      <c r="AA308" s="227" t="str">
        <f t="shared" si="107"/>
        <v>-0.687669234367249-2.0188180874438i</v>
      </c>
      <c r="AB308" s="227">
        <f t="shared" si="117"/>
        <v>6.5786967384909936</v>
      </c>
      <c r="AC308" s="227">
        <f t="shared" si="118"/>
        <v>-108.8103633959376</v>
      </c>
      <c r="AD308" s="229">
        <f t="shared" si="119"/>
        <v>-11.159809621119617</v>
      </c>
      <c r="AE308" s="229">
        <f t="shared" si="120"/>
        <v>166.604921582619</v>
      </c>
      <c r="AF308" s="227">
        <f t="shared" si="108"/>
        <v>-4.5811128826286236</v>
      </c>
      <c r="AG308" s="227">
        <f t="shared" si="109"/>
        <v>57.7945581866814</v>
      </c>
      <c r="AH308" s="229" t="str">
        <f t="shared" si="110"/>
        <v>0.269172815678236-0.0641015769008045i</v>
      </c>
    </row>
    <row r="309" spans="9:34" x14ac:dyDescent="0.2">
      <c r="I309" s="227">
        <v>305</v>
      </c>
      <c r="J309" s="227">
        <f t="shared" si="98"/>
        <v>3.9737873706689371</v>
      </c>
      <c r="K309" s="227">
        <f t="shared" si="97"/>
        <v>9414.2856295102138</v>
      </c>
      <c r="L309" s="227">
        <f t="shared" si="111"/>
        <v>59151.701144930499</v>
      </c>
      <c r="M309" s="227">
        <f t="shared" si="99"/>
        <v>3807.8704762031803</v>
      </c>
      <c r="N309" s="227">
        <f>SQRT((ABS(AC309)-171.5+'Small Signal'!C$59)^2)</f>
        <v>7.9336313705161956</v>
      </c>
      <c r="O309" s="227">
        <f t="shared" si="112"/>
        <v>57.059738892471557</v>
      </c>
      <c r="P309" s="227">
        <f t="shared" si="113"/>
        <v>4.7454643085000017</v>
      </c>
      <c r="Q309" s="227">
        <f t="shared" si="121"/>
        <v>9414.2856295102138</v>
      </c>
      <c r="R309" s="227" t="str">
        <f t="shared" si="100"/>
        <v>0.0945666666666667+0.278012995381173i</v>
      </c>
      <c r="S309" s="227" t="str">
        <f t="shared" si="101"/>
        <v>0.0085-0.647451748624946i</v>
      </c>
      <c r="T309" s="227" t="str">
        <f t="shared" si="102"/>
        <v>0.040376051275522-0.64503599959042i</v>
      </c>
      <c r="U309" s="227" t="str">
        <f t="shared" si="103"/>
        <v>-12.894645083601-0.0149149705983909i</v>
      </c>
      <c r="V309" s="227">
        <f t="shared" si="115"/>
        <v>22.208193669975572</v>
      </c>
      <c r="W309" s="227">
        <f t="shared" si="116"/>
        <v>-179.93372718053118</v>
      </c>
      <c r="X309" s="227" t="str">
        <f t="shared" si="104"/>
        <v>0.999369750941056-0.00739287031594197i</v>
      </c>
      <c r="Y309" s="227" t="str">
        <f t="shared" si="105"/>
        <v>29.5706397066279-86.897470279326i</v>
      </c>
      <c r="Z309" s="227" t="str">
        <f t="shared" si="106"/>
        <v>15.0548490786722-45.337736128049i</v>
      </c>
      <c r="AA309" s="227" t="str">
        <f t="shared" si="107"/>
        <v>-0.696778194346052-1.97490812608868i</v>
      </c>
      <c r="AB309" s="227">
        <f t="shared" si="117"/>
        <v>6.4204505623598385</v>
      </c>
      <c r="AC309" s="227">
        <f t="shared" si="118"/>
        <v>-109.4336313705162</v>
      </c>
      <c r="AD309" s="229">
        <f t="shared" si="119"/>
        <v>-11.16591487085984</v>
      </c>
      <c r="AE309" s="229">
        <f t="shared" si="120"/>
        <v>166.49337026298775</v>
      </c>
      <c r="AF309" s="227">
        <f t="shared" si="108"/>
        <v>-4.7454643085000017</v>
      </c>
      <c r="AG309" s="227">
        <f t="shared" si="109"/>
        <v>57.059738892471557</v>
      </c>
      <c r="AH309" s="229" t="str">
        <f t="shared" si="110"/>
        <v>0.268858458694281-0.0645801089581674i</v>
      </c>
    </row>
    <row r="310" spans="9:34" x14ac:dyDescent="0.2">
      <c r="I310" s="227">
        <v>306</v>
      </c>
      <c r="J310" s="227">
        <f t="shared" si="98"/>
        <v>3.9835374931957204</v>
      </c>
      <c r="K310" s="227">
        <f t="shared" si="97"/>
        <v>9628.0312940583954</v>
      </c>
      <c r="L310" s="227">
        <f t="shared" si="111"/>
        <v>60494.704763892965</v>
      </c>
      <c r="M310" s="227">
        <f t="shared" si="99"/>
        <v>4026.4691068617094</v>
      </c>
      <c r="N310" s="227">
        <f>SQRT((ABS(AC310)-171.5+'Small Signal'!C$59)^2)</f>
        <v>8.5612116108325154</v>
      </c>
      <c r="O310" s="227">
        <f t="shared" si="112"/>
        <v>56.314159417790648</v>
      </c>
      <c r="P310" s="227">
        <f t="shared" si="113"/>
        <v>4.9087811057117543</v>
      </c>
      <c r="Q310" s="227">
        <f t="shared" si="121"/>
        <v>9628.0312940583954</v>
      </c>
      <c r="R310" s="227" t="str">
        <f t="shared" si="100"/>
        <v>0.0945666666666667+0.284325112390297i</v>
      </c>
      <c r="S310" s="227" t="str">
        <f t="shared" si="101"/>
        <v>0.0085-0.633078093196748i</v>
      </c>
      <c r="T310" s="227" t="str">
        <f t="shared" si="102"/>
        <v>0.0389794623680413-0.630783470035248i</v>
      </c>
      <c r="U310" s="227" t="str">
        <f t="shared" si="103"/>
        <v>-12.350957235828+0.225361583795608i</v>
      </c>
      <c r="V310" s="227">
        <f t="shared" si="115"/>
        <v>21.835458034854625</v>
      </c>
      <c r="W310" s="227">
        <f t="shared" si="116"/>
        <v>-181.0453307121565</v>
      </c>
      <c r="X310" s="227" t="str">
        <f t="shared" si="104"/>
        <v>0.999340807206405-0.00756072096768407i</v>
      </c>
      <c r="Y310" s="227" t="str">
        <f t="shared" si="105"/>
        <v>28.0962154050344-85.0204966415036i</v>
      </c>
      <c r="Z310" s="227" t="str">
        <f t="shared" si="106"/>
        <v>14.2868881837226-44.3564041722213i</v>
      </c>
      <c r="AA310" s="227" t="str">
        <f t="shared" si="107"/>
        <v>-0.705497319081196-1.93191358517635i</v>
      </c>
      <c r="AB310" s="227">
        <f t="shared" si="117"/>
        <v>6.263420683912547</v>
      </c>
      <c r="AC310" s="227">
        <f t="shared" si="118"/>
        <v>-110.06121161083252</v>
      </c>
      <c r="AD310" s="229">
        <f t="shared" si="119"/>
        <v>-11.172201789624301</v>
      </c>
      <c r="AE310" s="229">
        <f t="shared" si="120"/>
        <v>166.37537102862316</v>
      </c>
      <c r="AF310" s="227">
        <f t="shared" si="108"/>
        <v>-4.9087811057117543</v>
      </c>
      <c r="AG310" s="227">
        <f t="shared" si="109"/>
        <v>56.314159417790648</v>
      </c>
      <c r="AH310" s="229" t="str">
        <f t="shared" si="110"/>
        <v>0.268530452564397-0.0650865516883385i</v>
      </c>
    </row>
    <row r="311" spans="9:34" x14ac:dyDescent="0.2">
      <c r="I311" s="227">
        <v>307</v>
      </c>
      <c r="J311" s="227">
        <f t="shared" si="98"/>
        <v>3.9932876157225037</v>
      </c>
      <c r="K311" s="227">
        <f t="shared" si="97"/>
        <v>9846.6299247169245</v>
      </c>
      <c r="L311" s="227">
        <f t="shared" si="111"/>
        <v>61868.200468216215</v>
      </c>
      <c r="M311" s="227">
        <f t="shared" si="99"/>
        <v>4250.0308872926425</v>
      </c>
      <c r="N311" s="227">
        <f>SQRT((ABS(AC311)-171.5+'Small Signal'!C$59)^2)</f>
        <v>9.1931145674262496</v>
      </c>
      <c r="O311" s="227">
        <f t="shared" si="112"/>
        <v>55.557770299514772</v>
      </c>
      <c r="P311" s="227">
        <f t="shared" si="113"/>
        <v>5.0710335121130523</v>
      </c>
      <c r="Q311" s="227">
        <f t="shared" si="121"/>
        <v>9846.6299247169245</v>
      </c>
      <c r="R311" s="227" t="str">
        <f t="shared" si="100"/>
        <v>0.0945666666666667+0.290780542200616i</v>
      </c>
      <c r="S311" s="227" t="str">
        <f t="shared" si="101"/>
        <v>0.0085-0.619023537949846i</v>
      </c>
      <c r="T311" s="227" t="str">
        <f t="shared" si="102"/>
        <v>0.0376439151300725-0.616842968627944i</v>
      </c>
      <c r="U311" s="227" t="str">
        <f t="shared" si="103"/>
        <v>-11.8284092047851+0.442777402866972i</v>
      </c>
      <c r="V311" s="227">
        <f t="shared" si="115"/>
        <v>21.464608139306989</v>
      </c>
      <c r="W311" s="227">
        <f t="shared" si="116"/>
        <v>-182.14377405488966</v>
      </c>
      <c r="X311" s="227" t="str">
        <f t="shared" si="104"/>
        <v>0.99931053425156-0.00773238256701299i</v>
      </c>
      <c r="Y311" s="227" t="str">
        <f t="shared" si="105"/>
        <v>26.7009229455486-83.17495952965i</v>
      </c>
      <c r="Z311" s="227" t="str">
        <f t="shared" si="106"/>
        <v>13.5601698489334-43.3915444463723i</v>
      </c>
      <c r="AA311" s="227" t="str">
        <f t="shared" si="107"/>
        <v>-0.713843156371378-1.88981790105428i</v>
      </c>
      <c r="AB311" s="227">
        <f t="shared" si="117"/>
        <v>6.1076486557792347</v>
      </c>
      <c r="AC311" s="227">
        <f t="shared" si="118"/>
        <v>-110.69311456742625</v>
      </c>
      <c r="AD311" s="229">
        <f t="shared" si="119"/>
        <v>-11.178682167892287</v>
      </c>
      <c r="AE311" s="229">
        <f t="shared" si="120"/>
        <v>166.25088486694102</v>
      </c>
      <c r="AF311" s="227">
        <f t="shared" si="108"/>
        <v>-5.0710335121130523</v>
      </c>
      <c r="AG311" s="227">
        <f t="shared" si="109"/>
        <v>55.557770299514772</v>
      </c>
      <c r="AH311" s="229" t="str">
        <f t="shared" si="110"/>
        <v>0.268188240899592-0.0656208551970384i</v>
      </c>
    </row>
    <row r="312" spans="9:34" x14ac:dyDescent="0.2">
      <c r="I312" s="227">
        <v>308</v>
      </c>
      <c r="J312" s="227">
        <f t="shared" si="98"/>
        <v>4.0030377382492865</v>
      </c>
      <c r="K312" s="227">
        <f t="shared" si="97"/>
        <v>10070.191705147858</v>
      </c>
      <c r="L312" s="227">
        <f t="shared" si="111"/>
        <v>63272.880562266764</v>
      </c>
      <c r="M312" s="227">
        <f t="shared" si="99"/>
        <v>4478.6685028114744</v>
      </c>
      <c r="N312" s="227">
        <f>SQRT((ABS(AC312)-171.5+'Small Signal'!C$59)^2)</f>
        <v>9.829340244108792</v>
      </c>
      <c r="O312" s="227">
        <f t="shared" si="112"/>
        <v>54.790530836448895</v>
      </c>
      <c r="P312" s="227">
        <f t="shared" si="113"/>
        <v>5.232191982975924</v>
      </c>
      <c r="Q312" s="227">
        <f t="shared" si="121"/>
        <v>10070.191705147858</v>
      </c>
      <c r="R312" s="227" t="str">
        <f t="shared" si="100"/>
        <v>0.0945666666666667+0.297382538642654i</v>
      </c>
      <c r="S312" s="227" t="str">
        <f t="shared" si="101"/>
        <v>0.0085-0.605280998748534i</v>
      </c>
      <c r="T312" s="227" t="str">
        <f t="shared" si="102"/>
        <v>0.0363667532839714-0.603207852314992i</v>
      </c>
      <c r="U312" s="227" t="str">
        <f t="shared" si="103"/>
        <v>-11.3264487237921+0.639158134208289i</v>
      </c>
      <c r="V312" s="227">
        <f t="shared" si="115"/>
        <v>21.095683012577659</v>
      </c>
      <c r="W312" s="227">
        <f t="shared" si="116"/>
        <v>-183.22980895016215</v>
      </c>
      <c r="X312" s="227" t="str">
        <f t="shared" si="104"/>
        <v>0.999278871033042-0.00790794163919008i</v>
      </c>
      <c r="Y312" s="227" t="str">
        <f t="shared" si="105"/>
        <v>25.3801837198527-81.3616200731352i</v>
      </c>
      <c r="Z312" s="227" t="str">
        <f t="shared" si="106"/>
        <v>12.8723055589001-42.4435479900606i</v>
      </c>
      <c r="AA312" s="227" t="str">
        <f t="shared" si="107"/>
        <v>-0.721831588465222-1.84860464061137i</v>
      </c>
      <c r="AB312" s="227">
        <f t="shared" si="117"/>
        <v>5.9531761284548734</v>
      </c>
      <c r="AC312" s="227">
        <f t="shared" si="118"/>
        <v>-111.32934024410879</v>
      </c>
      <c r="AD312" s="229">
        <f t="shared" si="119"/>
        <v>-11.185368111430797</v>
      </c>
      <c r="AE312" s="229">
        <f t="shared" si="120"/>
        <v>166.11987108055769</v>
      </c>
      <c r="AF312" s="227">
        <f t="shared" si="108"/>
        <v>-5.232191982975924</v>
      </c>
      <c r="AG312" s="227">
        <f t="shared" si="109"/>
        <v>54.790530836448895</v>
      </c>
      <c r="AH312" s="229" t="str">
        <f t="shared" si="110"/>
        <v>0.267831247960708-0.0661829644274096i</v>
      </c>
    </row>
    <row r="313" spans="9:34" x14ac:dyDescent="0.2">
      <c r="I313" s="227">
        <v>309</v>
      </c>
      <c r="J313" s="227">
        <f t="shared" si="98"/>
        <v>4.0127878607760703</v>
      </c>
      <c r="K313" s="227">
        <f t="shared" si="97"/>
        <v>10298.829320666689</v>
      </c>
      <c r="L313" s="227">
        <f t="shared" si="111"/>
        <v>64709.453068763265</v>
      </c>
      <c r="M313" s="227">
        <f t="shared" si="99"/>
        <v>4712.4971971856967</v>
      </c>
      <c r="N313" s="227">
        <f>SQRT((ABS(AC313)-171.5+'Small Signal'!C$59)^2)</f>
        <v>10.469877925515334</v>
      </c>
      <c r="O313" s="227">
        <f t="shared" si="112"/>
        <v>54.012409425614209</v>
      </c>
      <c r="P313" s="227">
        <f t="shared" si="113"/>
        <v>5.3922272651105683</v>
      </c>
      <c r="Q313" s="227">
        <f t="shared" si="121"/>
        <v>10298.829320666689</v>
      </c>
      <c r="R313" s="227" t="str">
        <f t="shared" si="100"/>
        <v>0.0945666666666667+0.304134429423187i</v>
      </c>
      <c r="S313" s="227" t="str">
        <f t="shared" si="101"/>
        <v>0.0085-0.591843548727392i</v>
      </c>
      <c r="T313" s="227" t="str">
        <f t="shared" si="102"/>
        <v>0.0351454351380479-0.589871607165862i</v>
      </c>
      <c r="U313" s="227" t="str">
        <f t="shared" si="103"/>
        <v>-10.8444965916379+0.816188917349505i</v>
      </c>
      <c r="V313" s="227">
        <f t="shared" si="115"/>
        <v>20.728719186773567</v>
      </c>
      <c r="W313" s="227">
        <f t="shared" si="116"/>
        <v>-184.30413527965007</v>
      </c>
      <c r="X313" s="227" t="str">
        <f t="shared" si="104"/>
        <v>0.999245753703991-0.00808748667398046i</v>
      </c>
      <c r="Y313" s="227" t="str">
        <f t="shared" si="105"/>
        <v>24.1296913514943-79.5810349478707i</v>
      </c>
      <c r="Z313" s="227" t="str">
        <f t="shared" si="106"/>
        <v>12.2210490089939-41.5126995582939i</v>
      </c>
      <c r="AA313" s="227" t="str">
        <f t="shared" si="107"/>
        <v>-0.729477856807663-1.80825751289018i</v>
      </c>
      <c r="AB313" s="227">
        <f t="shared" si="117"/>
        <v>5.8000447935375945</v>
      </c>
      <c r="AC313" s="227">
        <f t="shared" si="118"/>
        <v>-111.96987792551533</v>
      </c>
      <c r="AD313" s="229">
        <f t="shared" si="119"/>
        <v>-11.192272058648163</v>
      </c>
      <c r="AE313" s="229">
        <f t="shared" si="120"/>
        <v>165.98228735112954</v>
      </c>
      <c r="AF313" s="227">
        <f t="shared" si="108"/>
        <v>-5.3922272651105683</v>
      </c>
      <c r="AG313" s="227">
        <f t="shared" si="109"/>
        <v>54.012409425614209</v>
      </c>
      <c r="AH313" s="229" t="str">
        <f t="shared" si="110"/>
        <v>0.267458878292362-0.0667728180218931i</v>
      </c>
    </row>
    <row r="314" spans="9:34" x14ac:dyDescent="0.2">
      <c r="I314" s="227">
        <v>310</v>
      </c>
      <c r="J314" s="227">
        <f t="shared" si="98"/>
        <v>4.0225379833028541</v>
      </c>
      <c r="K314" s="227">
        <f t="shared" si="97"/>
        <v>10532.658015040912</v>
      </c>
      <c r="L314" s="227">
        <f t="shared" si="111"/>
        <v>66178.642085652362</v>
      </c>
      <c r="M314" s="227">
        <f t="shared" si="99"/>
        <v>4951.6348307228427</v>
      </c>
      <c r="N314" s="227">
        <f>SQRT((ABS(AC314)-171.5+'Small Signal'!C$59)^2)</f>
        <v>11.114705923915253</v>
      </c>
      <c r="O314" s="227">
        <f t="shared" si="112"/>
        <v>53.223383884239738</v>
      </c>
      <c r="P314" s="227">
        <f t="shared" si="113"/>
        <v>5.5511104754798861</v>
      </c>
      <c r="Q314" s="227">
        <f t="shared" si="121"/>
        <v>10532.658015040912</v>
      </c>
      <c r="R314" s="227" t="str">
        <f t="shared" si="100"/>
        <v>0.0945666666666667+0.311039617802566i</v>
      </c>
      <c r="S314" s="227" t="str">
        <f t="shared" si="101"/>
        <v>0.0085-0.578704414799841i</v>
      </c>
      <c r="T314" s="227" t="str">
        <f t="shared" si="102"/>
        <v>0.033977528729787-0.576827846686339i</v>
      </c>
      <c r="U314" s="227" t="str">
        <f t="shared" si="103"/>
        <v>-10.3819547586218+0.975424655769207i</v>
      </c>
      <c r="V314" s="227">
        <f t="shared" si="115"/>
        <v>20.363751017104757</v>
      </c>
      <c r="W314" s="227">
        <f t="shared" si="116"/>
        <v>-185.36740300352051</v>
      </c>
      <c r="X314" s="227" t="str">
        <f t="shared" si="104"/>
        <v>0.999211115485427-0.00827110817025586i</v>
      </c>
      <c r="Y314" s="227" t="str">
        <f t="shared" si="105"/>
        <v>22.945397807812-77.833583871168i</v>
      </c>
      <c r="Z314" s="227" t="str">
        <f t="shared" si="106"/>
        <v>11.6042888283817-40.5991919417481i</v>
      </c>
      <c r="AA314" s="227" t="str">
        <f t="shared" si="107"/>
        <v>-0.736796586094732-1.76876037958646i</v>
      </c>
      <c r="AB314" s="227">
        <f t="shared" si="117"/>
        <v>5.6482963225726586</v>
      </c>
      <c r="AC314" s="227">
        <f t="shared" si="118"/>
        <v>-112.61470592391525</v>
      </c>
      <c r="AD314" s="229">
        <f t="shared" si="119"/>
        <v>-11.199406798052545</v>
      </c>
      <c r="AE314" s="229">
        <f t="shared" si="120"/>
        <v>165.83808980815499</v>
      </c>
      <c r="AF314" s="227">
        <f t="shared" si="108"/>
        <v>-5.5511104754798861</v>
      </c>
      <c r="AG314" s="227">
        <f t="shared" si="109"/>
        <v>53.223383884239738</v>
      </c>
      <c r="AH314" s="229" t="str">
        <f t="shared" si="110"/>
        <v>0.267070516381317-0.0673903471279847i</v>
      </c>
    </row>
    <row r="315" spans="9:34" x14ac:dyDescent="0.2">
      <c r="I315" s="227">
        <v>311</v>
      </c>
      <c r="J315" s="227">
        <f t="shared" si="98"/>
        <v>4.0322881058296378</v>
      </c>
      <c r="K315" s="227">
        <f t="shared" si="97"/>
        <v>10771.795648578058</v>
      </c>
      <c r="L315" s="227">
        <f t="shared" si="111"/>
        <v>67681.188151086651</v>
      </c>
      <c r="M315" s="227">
        <f t="shared" si="99"/>
        <v>5196.201939677464</v>
      </c>
      <c r="N315" s="227">
        <f>SQRT((ABS(AC315)-171.5+'Small Signal'!C$59)^2)</f>
        <v>11.763791347803462</v>
      </c>
      <c r="O315" s="227">
        <f t="shared" si="112"/>
        <v>52.423441755190041</v>
      </c>
      <c r="P315" s="227">
        <f t="shared" si="113"/>
        <v>5.7088131842168579</v>
      </c>
      <c r="Q315" s="227">
        <f t="shared" si="121"/>
        <v>10771.795648578058</v>
      </c>
      <c r="R315" s="227" t="str">
        <f t="shared" si="100"/>
        <v>0.0945666666666667+0.318101584310107i</v>
      </c>
      <c r="S315" s="227" t="str">
        <f t="shared" si="101"/>
        <v>0.0085-0.565856974244189i</v>
      </c>
      <c r="T315" s="227" t="str">
        <f t="shared" si="102"/>
        <v>0.0328607071674917-0.564070310094076i</v>
      </c>
      <c r="U315" s="227" t="str">
        <f t="shared" si="103"/>
        <v>-9.93821314042948+1.11829968638116i</v>
      </c>
      <c r="V315" s="227">
        <f t="shared" si="115"/>
        <v>20.000810952426185</v>
      </c>
      <c r="W315" s="227">
        <f t="shared" si="116"/>
        <v>-186.42021404381583</v>
      </c>
      <c r="X315" s="227" t="str">
        <f t="shared" si="104"/>
        <v>0.999174886531593-0.00845889868161018i</v>
      </c>
      <c r="Y315" s="227" t="str">
        <f t="shared" si="105"/>
        <v>21.8234995566283-76.1194937851608i</v>
      </c>
      <c r="Z315" s="227" t="str">
        <f t="shared" si="106"/>
        <v>11.0200413305898-39.7031385601765i</v>
      </c>
      <c r="AA315" s="227" t="str">
        <f t="shared" si="107"/>
        <v>-0.743801807635905-1.73009726450561i</v>
      </c>
      <c r="AB315" s="227">
        <f t="shared" si="117"/>
        <v>5.4979723015866959</v>
      </c>
      <c r="AC315" s="227">
        <f t="shared" si="118"/>
        <v>-113.26379134780346</v>
      </c>
      <c r="AD315" s="229">
        <f t="shared" si="119"/>
        <v>-11.206785485803554</v>
      </c>
      <c r="AE315" s="229">
        <f t="shared" si="120"/>
        <v>165.6872331029935</v>
      </c>
      <c r="AF315" s="227">
        <f t="shared" si="108"/>
        <v>-5.7088131842168579</v>
      </c>
      <c r="AG315" s="227">
        <f t="shared" si="109"/>
        <v>52.423441755190041</v>
      </c>
      <c r="AH315" s="229" t="str">
        <f t="shared" si="110"/>
        <v>0.266665526343209-0.0680354741460519i</v>
      </c>
    </row>
    <row r="316" spans="9:34" x14ac:dyDescent="0.2">
      <c r="I316" s="227">
        <v>312</v>
      </c>
      <c r="J316" s="227">
        <f t="shared" si="98"/>
        <v>4.0420382283564207</v>
      </c>
      <c r="K316" s="227">
        <f t="shared" si="97"/>
        <v>11016.362757532679</v>
      </c>
      <c r="L316" s="227">
        <f t="shared" si="111"/>
        <v>69217.84861668972</v>
      </c>
      <c r="M316" s="227">
        <f t="shared" si="99"/>
        <v>5446.3217970070082</v>
      </c>
      <c r="N316" s="227">
        <f>SQRT((ABS(AC316)-171.5+'Small Signal'!C$59)^2)</f>
        <v>12.417089894863139</v>
      </c>
      <c r="O316" s="227">
        <f t="shared" si="112"/>
        <v>51.612580593500908</v>
      </c>
      <c r="P316" s="227">
        <f t="shared" si="113"/>
        <v>5.8653075018943053</v>
      </c>
      <c r="Q316" s="227">
        <f t="shared" si="121"/>
        <v>11016.362757532679</v>
      </c>
      <c r="R316" s="227" t="str">
        <f t="shared" si="100"/>
        <v>0.0945666666666667+0.325323888498442i</v>
      </c>
      <c r="S316" s="227" t="str">
        <f t="shared" si="101"/>
        <v>0.0085-0.553294751365492i</v>
      </c>
      <c r="T316" s="227" t="str">
        <f t="shared" si="102"/>
        <v>0.0317927441628924-0.551592860561966i</v>
      </c>
      <c r="U316" s="227" t="str">
        <f t="shared" si="103"/>
        <v>-9.51265533375063+1.24613684511537i</v>
      </c>
      <c r="V316" s="227">
        <f t="shared" si="115"/>
        <v>19.639929761139442</v>
      </c>
      <c r="W316" s="227">
        <f t="shared" si="116"/>
        <v>-187.46312410872619</v>
      </c>
      <c r="X316" s="227" t="str">
        <f t="shared" si="104"/>
        <v>0.999136993789116-0.00865095286301071i</v>
      </c>
      <c r="Y316" s="227" t="str">
        <f t="shared" si="105"/>
        <v>20.76042394045-74.4388601006941i</v>
      </c>
      <c r="Z316" s="227" t="str">
        <f t="shared" si="106"/>
        <v>10.4664433812216-38.8245845231717i</v>
      </c>
      <c r="AA316" s="227" t="str">
        <f t="shared" si="107"/>
        <v>-0.75050698202721-1.69225236204426i</v>
      </c>
      <c r="AB316" s="227">
        <f t="shared" si="117"/>
        <v>5.3491141614452911</v>
      </c>
      <c r="AC316" s="227">
        <f t="shared" si="118"/>
        <v>-113.91708989486314</v>
      </c>
      <c r="AD316" s="229">
        <f t="shared" si="119"/>
        <v>-11.214421663339596</v>
      </c>
      <c r="AE316" s="229">
        <f t="shared" si="120"/>
        <v>165.52967048836405</v>
      </c>
      <c r="AF316" s="227">
        <f t="shared" si="108"/>
        <v>-5.8653075018943053</v>
      </c>
      <c r="AG316" s="227">
        <f t="shared" si="109"/>
        <v>51.612580593500908</v>
      </c>
      <c r="AH316" s="229" t="str">
        <f t="shared" si="110"/>
        <v>0.266243251641946-0.0687081114175342i</v>
      </c>
    </row>
    <row r="317" spans="9:34" x14ac:dyDescent="0.2">
      <c r="I317" s="227">
        <v>313</v>
      </c>
      <c r="J317" s="227">
        <f t="shared" si="98"/>
        <v>4.0517883508832035</v>
      </c>
      <c r="K317" s="227">
        <f t="shared" si="97"/>
        <v>11266.482614862223</v>
      </c>
      <c r="L317" s="227">
        <f t="shared" si="111"/>
        <v>70789.398029296572</v>
      </c>
      <c r="M317" s="227">
        <f t="shared" si="99"/>
        <v>5702.120474506849</v>
      </c>
      <c r="N317" s="227">
        <f>SQRT((ABS(AC317)-171.5+'Small Signal'!C$59)^2)</f>
        <v>13.074545671899074</v>
      </c>
      <c r="O317" s="227">
        <f t="shared" si="112"/>
        <v>50.790808231698435</v>
      </c>
      <c r="P317" s="227">
        <f t="shared" si="113"/>
        <v>6.0205661708615663</v>
      </c>
      <c r="Q317" s="227">
        <f t="shared" si="121"/>
        <v>11266.482614862223</v>
      </c>
      <c r="R317" s="227" t="str">
        <f t="shared" si="100"/>
        <v>0.0945666666666667+0.332710170737694i</v>
      </c>
      <c r="S317" s="227" t="str">
        <f t="shared" si="101"/>
        <v>0.0085-0.54101141423149i</v>
      </c>
      <c r="T317" s="227" t="str">
        <f t="shared" si="102"/>
        <v>0.0307715097474844-0.539389483434456i</v>
      </c>
      <c r="U317" s="227" t="str">
        <f t="shared" si="103"/>
        <v>-9.104663385758+1.36015593773153i</v>
      </c>
      <c r="V317" s="227">
        <f t="shared" si="115"/>
        <v>19.281136717056064</v>
      </c>
      <c r="W317" s="227">
        <f t="shared" si="116"/>
        <v>-188.49664445601005</v>
      </c>
      <c r="X317" s="227" t="str">
        <f t="shared" si="104"/>
        <v>0.9990973608497-0.00884736751850863i</v>
      </c>
      <c r="Y317" s="227" t="str">
        <f t="shared" si="105"/>
        <v>19.752815897011-72.7916653370635i</v>
      </c>
      <c r="Z317" s="227" t="str">
        <f t="shared" si="106"/>
        <v>9.94174544959031-37.9635163333404i</v>
      </c>
      <c r="AA317" s="227" t="str">
        <f t="shared" si="107"/>
        <v>-0.756925021139393-1.65521004476032i</v>
      </c>
      <c r="AB317" s="227">
        <f t="shared" si="117"/>
        <v>5.2017631041994425</v>
      </c>
      <c r="AC317" s="227">
        <f t="shared" si="118"/>
        <v>-114.57454567189907</v>
      </c>
      <c r="AD317" s="229">
        <f t="shared" si="119"/>
        <v>-11.222329275061009</v>
      </c>
      <c r="AE317" s="229">
        <f t="shared" si="120"/>
        <v>165.36535390359751</v>
      </c>
      <c r="AF317" s="227">
        <f t="shared" si="108"/>
        <v>-6.0205661708615663</v>
      </c>
      <c r="AG317" s="227">
        <f t="shared" si="109"/>
        <v>50.790808231698435</v>
      </c>
      <c r="AH317" s="229" t="str">
        <f t="shared" si="110"/>
        <v>0.265803014846421-0.0694081598519808i</v>
      </c>
    </row>
    <row r="318" spans="9:34" x14ac:dyDescent="0.2">
      <c r="I318" s="227">
        <v>314</v>
      </c>
      <c r="J318" s="227">
        <f t="shared" si="98"/>
        <v>4.0615384734099873</v>
      </c>
      <c r="K318" s="227">
        <f t="shared" si="97"/>
        <v>11522.281292362064</v>
      </c>
      <c r="L318" s="227">
        <f t="shared" si="111"/>
        <v>72396.62852135954</v>
      </c>
      <c r="M318" s="227">
        <f t="shared" si="99"/>
        <v>5963.7269063562444</v>
      </c>
      <c r="N318" s="227">
        <f>SQRT((ABS(AC318)-171.5+'Small Signal'!C$59)^2)</f>
        <v>13.736091044343269</v>
      </c>
      <c r="O318" s="227">
        <f t="shared" si="112"/>
        <v>49.958143021578067</v>
      </c>
      <c r="P318" s="227">
        <f t="shared" si="113"/>
        <v>6.1745626604203681</v>
      </c>
      <c r="Q318" s="227">
        <f t="shared" si="121"/>
        <v>11522.281292362064</v>
      </c>
      <c r="R318" s="227" t="str">
        <f t="shared" si="100"/>
        <v>0.0945666666666667+0.34026415405039i</v>
      </c>
      <c r="S318" s="227" t="str">
        <f t="shared" si="101"/>
        <v>0.0085-0.529000771481042i</v>
      </c>
      <c r="T318" s="227" t="str">
        <f t="shared" si="102"/>
        <v>0.0297949661655805-0.5274542844216i</v>
      </c>
      <c r="U318" s="227" t="str">
        <f t="shared" si="103"/>
        <v>-8.71362175015694+1.46148163263819i</v>
      </c>
      <c r="V318" s="227">
        <f t="shared" si="115"/>
        <v>18.924459749418471</v>
      </c>
      <c r="W318" s="227">
        <f t="shared" si="116"/>
        <v>-189.52124359580563</v>
      </c>
      <c r="X318" s="227" t="str">
        <f t="shared" si="104"/>
        <v>0.999055907796051-0.00904824165003253i</v>
      </c>
      <c r="Y318" s="227" t="str">
        <f t="shared" si="105"/>
        <v>18.7975251196144-71.1777954587192i</v>
      </c>
      <c r="Z318" s="227" t="str">
        <f t="shared" si="106"/>
        <v>9.44430489262387-37.1198703890377i</v>
      </c>
      <c r="AA318" s="227" t="str">
        <f t="shared" si="107"/>
        <v>-0.763068309427497-1.61895487009154i</v>
      </c>
      <c r="AB318" s="227">
        <f t="shared" si="117"/>
        <v>5.055960025627436</v>
      </c>
      <c r="AC318" s="227">
        <f t="shared" si="118"/>
        <v>-115.23609104434327</v>
      </c>
      <c r="AD318" s="229">
        <f t="shared" si="119"/>
        <v>-11.230522686047804</v>
      </c>
      <c r="AE318" s="229">
        <f t="shared" si="120"/>
        <v>165.19423406592134</v>
      </c>
      <c r="AF318" s="227">
        <f t="shared" si="108"/>
        <v>-6.1745626604203681</v>
      </c>
      <c r="AG318" s="227">
        <f t="shared" si="109"/>
        <v>49.958143021578067</v>
      </c>
      <c r="AH318" s="229" t="str">
        <f t="shared" si="110"/>
        <v>0.265344117429447-0.0701355074915536i</v>
      </c>
    </row>
    <row r="319" spans="9:34" x14ac:dyDescent="0.2">
      <c r="I319" s="227">
        <v>315</v>
      </c>
      <c r="J319" s="227">
        <f t="shared" si="98"/>
        <v>4.0712885959367711</v>
      </c>
      <c r="K319" s="227">
        <f t="shared" ref="K319:K382" si="122">10^(J319)</f>
        <v>11783.887724211459</v>
      </c>
      <c r="L319" s="227">
        <f t="shared" si="111"/>
        <v>74040.350210219331</v>
      </c>
      <c r="M319" s="227">
        <f t="shared" si="99"/>
        <v>6231.2729541070594</v>
      </c>
      <c r="N319" s="227">
        <f>SQRT((ABS(AC319)-171.5+'Small Signal'!C$59)^2)</f>
        <v>14.401646517903472</v>
      </c>
      <c r="O319" s="227">
        <f t="shared" si="112"/>
        <v>49.114614050163297</v>
      </c>
      <c r="P319" s="227">
        <f t="shared" si="113"/>
        <v>6.3272712655571608</v>
      </c>
      <c r="Q319" s="227">
        <f t="shared" si="121"/>
        <v>11783.887724211459</v>
      </c>
      <c r="R319" s="227" t="str">
        <f t="shared" si="100"/>
        <v>0.0945666666666667+0.347989645988031i</v>
      </c>
      <c r="S319" s="227" t="str">
        <f t="shared" si="101"/>
        <v>0.0085-0.517256769203388i</v>
      </c>
      <c r="T319" s="227" t="str">
        <f t="shared" si="102"/>
        <v>0.0288611639372821-0.515781487775213i</v>
      </c>
      <c r="U319" s="227" t="str">
        <f t="shared" si="103"/>
        <v>-8.33892054529304+1.55115079785071i</v>
      </c>
      <c r="V319" s="227">
        <f t="shared" si="115"/>
        <v>18.5699255608992</v>
      </c>
      <c r="W319" s="227">
        <f t="shared" si="116"/>
        <v>-190.5373489346249</v>
      </c>
      <c r="X319" s="227" t="str">
        <f t="shared" si="104"/>
        <v>0.999012551040734-0.00925367650728993i</v>
      </c>
      <c r="Y319" s="227" t="str">
        <f t="shared" si="105"/>
        <v>17.8915937223767-69.5970541782056i</v>
      </c>
      <c r="Z319" s="227" t="str">
        <f t="shared" si="106"/>
        <v>8.97257950464847-36.293540427166i</v>
      </c>
      <c r="AA319" s="227" t="str">
        <f t="shared" si="107"/>
        <v>-0.768948724570196-1.58347158628016i</v>
      </c>
      <c r="AB319" s="227">
        <f t="shared" si="117"/>
        <v>4.9117454342251419</v>
      </c>
      <c r="AC319" s="227">
        <f t="shared" si="118"/>
        <v>-115.90164651790347</v>
      </c>
      <c r="AD319" s="229">
        <f t="shared" si="119"/>
        <v>-11.239016699782303</v>
      </c>
      <c r="AE319" s="229">
        <f t="shared" si="120"/>
        <v>165.01626056806677</v>
      </c>
      <c r="AF319" s="227">
        <f t="shared" si="108"/>
        <v>-6.3272712655571608</v>
      </c>
      <c r="AG319" s="227">
        <f t="shared" si="109"/>
        <v>49.114614050163297</v>
      </c>
      <c r="AH319" s="229" t="str">
        <f t="shared" si="110"/>
        <v>0.264865839614339-0.0708900280118542i</v>
      </c>
    </row>
    <row r="320" spans="9:34" x14ac:dyDescent="0.2">
      <c r="I320" s="227">
        <v>316</v>
      </c>
      <c r="J320" s="227">
        <f t="shared" si="98"/>
        <v>4.0810387184635548</v>
      </c>
      <c r="K320" s="227">
        <f t="shared" si="122"/>
        <v>12051.433771962274</v>
      </c>
      <c r="L320" s="227">
        <f t="shared" si="111"/>
        <v>75721.391606441219</v>
      </c>
      <c r="M320" s="227">
        <f t="shared" si="99"/>
        <v>6504.8934731480467</v>
      </c>
      <c r="N320" s="227">
        <f>SQRT((ABS(AC320)-171.5+'Small Signal'!C$59)^2)</f>
        <v>15.071120654863535</v>
      </c>
      <c r="O320" s="227">
        <f t="shared" si="112"/>
        <v>48.260261327627092</v>
      </c>
      <c r="P320" s="227">
        <f t="shared" si="113"/>
        <v>6.4786672089116841</v>
      </c>
      <c r="Q320" s="227">
        <f t="shared" si="121"/>
        <v>12051.433771962274</v>
      </c>
      <c r="R320" s="227" t="str">
        <f t="shared" si="100"/>
        <v>0.0945666666666667+0.355890540550274i</v>
      </c>
      <c r="S320" s="227" t="str">
        <f t="shared" si="101"/>
        <v>0.0085-0.505773487886715i</v>
      </c>
      <c r="T320" s="227" t="str">
        <f t="shared" si="102"/>
        <v>0.0279682380847913-0.504365434451234i</v>
      </c>
      <c r="U320" s="227" t="str">
        <f t="shared" si="103"/>
        <v>-7.97995821461454+1.6301193077973i</v>
      </c>
      <c r="V320" s="227">
        <f t="shared" si="115"/>
        <v>18.217559717068379</v>
      </c>
      <c r="W320" s="227">
        <f t="shared" si="116"/>
        <v>-191.54534836348503</v>
      </c>
      <c r="X320" s="227" t="str">
        <f t="shared" si="104"/>
        <v>0.998967203157618-0.00946377563880178i</v>
      </c>
      <c r="Y320" s="227" t="str">
        <f t="shared" si="105"/>
        <v>17.0322444529638-68.0491754654906i</v>
      </c>
      <c r="Z320" s="227" t="str">
        <f t="shared" si="106"/>
        <v>8.52512135495833-35.4843840313268i</v>
      </c>
      <c r="AA320" s="227" t="str">
        <f t="shared" si="107"/>
        <v>-0.774577657448171-1.54874513755713i</v>
      </c>
      <c r="AB320" s="227">
        <f t="shared" si="117"/>
        <v>4.7691593669357033</v>
      </c>
      <c r="AC320" s="227">
        <f t="shared" si="118"/>
        <v>-116.57112065486353</v>
      </c>
      <c r="AD320" s="229">
        <f t="shared" si="119"/>
        <v>-11.247826575847387</v>
      </c>
      <c r="AE320" s="229">
        <f t="shared" si="120"/>
        <v>164.83138198249063</v>
      </c>
      <c r="AF320" s="227">
        <f t="shared" si="108"/>
        <v>-6.4786672089116841</v>
      </c>
      <c r="AG320" s="227">
        <f t="shared" si="109"/>
        <v>48.260261327627092</v>
      </c>
      <c r="AH320" s="229" t="str">
        <f t="shared" si="110"/>
        <v>0.264367440274791-0.0716715791581582i</v>
      </c>
    </row>
    <row r="321" spans="9:34" x14ac:dyDescent="0.2">
      <c r="I321" s="227">
        <v>317</v>
      </c>
      <c r="J321" s="227">
        <f t="shared" si="98"/>
        <v>4.0907888409903386</v>
      </c>
      <c r="K321" s="227">
        <f t="shared" si="122"/>
        <v>12325.054291003262</v>
      </c>
      <c r="L321" s="227">
        <f t="shared" si="111"/>
        <v>77440.600031422407</v>
      </c>
      <c r="M321" s="227">
        <f t="shared" si="99"/>
        <v>6784.7263806779583</v>
      </c>
      <c r="N321" s="227">
        <f>SQRT((ABS(AC321)-171.5+'Small Signal'!C$59)^2)</f>
        <v>15.744410027456595</v>
      </c>
      <c r="O321" s="227">
        <f t="shared" si="112"/>
        <v>47.395135945054179</v>
      </c>
      <c r="P321" s="227">
        <f t="shared" si="113"/>
        <v>6.6287267456102263</v>
      </c>
      <c r="Q321" s="227">
        <f t="shared" si="121"/>
        <v>12325.054291003262</v>
      </c>
      <c r="R321" s="227" t="str">
        <f t="shared" si="100"/>
        <v>0.0945666666666667+0.363970820147685i</v>
      </c>
      <c r="S321" s="227" t="str">
        <f t="shared" si="101"/>
        <v>0.0085-0.494545139434426i</v>
      </c>
      <c r="T321" s="227" t="str">
        <f t="shared" si="102"/>
        <v>0.0271144045156977-0.493200580261959i</v>
      </c>
      <c r="U321" s="227" t="str">
        <f t="shared" si="103"/>
        <v>-7.63614367642694+1.69926834787808i</v>
      </c>
      <c r="V321" s="227">
        <f t="shared" si="115"/>
        <v>17.867386710520574</v>
      </c>
      <c r="W321" s="227">
        <f t="shared" si="116"/>
        <v>-192.54559179399135</v>
      </c>
      <c r="X321" s="227" t="str">
        <f t="shared" si="104"/>
        <v>0.998919772705592-0.00967864494409564i</v>
      </c>
      <c r="Y321" s="227" t="str">
        <f t="shared" si="105"/>
        <v>16.2168694776475-66.5338344772225i</v>
      </c>
      <c r="Z321" s="227" t="str">
        <f t="shared" si="106"/>
        <v>8.10057092584814-34.6922283167183i</v>
      </c>
      <c r="AA321" s="227" t="str">
        <f t="shared" si="107"/>
        <v>-0.779966031472379-1.51476066863676i</v>
      </c>
      <c r="AB321" s="227">
        <f t="shared" si="117"/>
        <v>4.6282413019551836</v>
      </c>
      <c r="AC321" s="227">
        <f t="shared" si="118"/>
        <v>-117.2444100274566</v>
      </c>
      <c r="AD321" s="229">
        <f t="shared" si="119"/>
        <v>-11.25696804756541</v>
      </c>
      <c r="AE321" s="229">
        <f t="shared" si="120"/>
        <v>164.63954597251077</v>
      </c>
      <c r="AF321" s="227">
        <f t="shared" si="108"/>
        <v>-6.6287267456102263</v>
      </c>
      <c r="AG321" s="227">
        <f t="shared" si="109"/>
        <v>47.395135945054179</v>
      </c>
      <c r="AH321" s="229" t="str">
        <f t="shared" si="110"/>
        <v>0.263848156894121-0.0724800011164347i</v>
      </c>
    </row>
    <row r="322" spans="9:34" x14ac:dyDescent="0.2">
      <c r="I322" s="227">
        <v>318</v>
      </c>
      <c r="J322" s="227">
        <f t="shared" si="98"/>
        <v>4.1005389635171214</v>
      </c>
      <c r="K322" s="227">
        <f t="shared" si="122"/>
        <v>12604.887198533173</v>
      </c>
      <c r="L322" s="227">
        <f t="shared" si="111"/>
        <v>79198.842044479694</v>
      </c>
      <c r="M322" s="227">
        <f t="shared" si="99"/>
        <v>7070.9127252222233</v>
      </c>
      <c r="N322" s="227">
        <f>SQRT((ABS(AC322)-171.5+'Small Signal'!C$59)^2)</f>
        <v>16.421399210597201</v>
      </c>
      <c r="O322" s="227">
        <f t="shared" si="112"/>
        <v>46.519300200061735</v>
      </c>
      <c r="P322" s="227">
        <f t="shared" si="113"/>
        <v>6.7774272705399978</v>
      </c>
      <c r="Q322" s="227">
        <f t="shared" si="121"/>
        <v>12604.887198533173</v>
      </c>
      <c r="R322" s="227" t="str">
        <f t="shared" si="100"/>
        <v>0.0945666666666667+0.372234557609055i</v>
      </c>
      <c r="S322" s="227" t="str">
        <f t="shared" si="101"/>
        <v>0.0085-0.483566064247715i</v>
      </c>
      <c r="T322" s="227" t="str">
        <f t="shared" si="102"/>
        <v>0.0262979565570935-0.48228149402173i</v>
      </c>
      <c r="U322" s="227" t="str">
        <f t="shared" si="103"/>
        <v>-7.3068980381743+1.75941024581802i</v>
      </c>
      <c r="V322" s="227">
        <f t="shared" si="115"/>
        <v>17.519430002589679</v>
      </c>
      <c r="W322" s="227">
        <f t="shared" si="116"/>
        <v>-193.53839264678058</v>
      </c>
      <c r="X322" s="227" t="str">
        <f t="shared" si="104"/>
        <v>0.998870164044176-0.00989839272708374i</v>
      </c>
      <c r="Y322" s="227" t="str">
        <f t="shared" si="105"/>
        <v>15.4430197496435-65.0506570954152i</v>
      </c>
      <c r="Z322" s="227" t="str">
        <f t="shared" si="106"/>
        <v>7.69765155658362-33.9168748906111i</v>
      </c>
      <c r="AA322" s="227" t="str">
        <f t="shared" si="107"/>
        <v>-0.785124321274009-1.48150352857021i</v>
      </c>
      <c r="AB322" s="227">
        <f t="shared" si="117"/>
        <v>4.4890300689957821</v>
      </c>
      <c r="AC322" s="227">
        <f t="shared" si="118"/>
        <v>-117.9213992105972</v>
      </c>
      <c r="AD322" s="229">
        <f t="shared" si="119"/>
        <v>-11.26645733953578</v>
      </c>
      <c r="AE322" s="229">
        <f t="shared" si="120"/>
        <v>164.44069941065894</v>
      </c>
      <c r="AF322" s="227">
        <f t="shared" si="108"/>
        <v>-6.7774272705399978</v>
      </c>
      <c r="AG322" s="227">
        <f t="shared" si="109"/>
        <v>46.519300200061735</v>
      </c>
      <c r="AH322" s="229" t="str">
        <f t="shared" si="110"/>
        <v>0.263307205590415-0.0733151148188675i</v>
      </c>
    </row>
    <row r="323" spans="9:34" x14ac:dyDescent="0.2">
      <c r="I323" s="227">
        <v>319</v>
      </c>
      <c r="J323" s="227">
        <f t="shared" si="98"/>
        <v>4.1102890860439043</v>
      </c>
      <c r="K323" s="227">
        <f t="shared" si="122"/>
        <v>12891.073543077438</v>
      </c>
      <c r="L323" s="227">
        <f t="shared" si="111"/>
        <v>80997.003879635653</v>
      </c>
      <c r="M323" s="227">
        <f t="shared" si="99"/>
        <v>7363.5967577278489</v>
      </c>
      <c r="N323" s="227">
        <f>SQRT((ABS(AC323)-171.5+'Small Signal'!C$59)^2)</f>
        <v>17.101960816109383</v>
      </c>
      <c r="O323" s="227">
        <f t="shared" si="112"/>
        <v>45.632827688440571</v>
      </c>
      <c r="P323" s="227">
        <f t="shared" si="113"/>
        <v>6.9247474276028296</v>
      </c>
      <c r="Q323" s="227">
        <f t="shared" si="121"/>
        <v>12891.073543077438</v>
      </c>
      <c r="R323" s="227" t="str">
        <f t="shared" si="100"/>
        <v>0.0945666666666667+0.380685918234288i</v>
      </c>
      <c r="S323" s="227" t="str">
        <f t="shared" si="101"/>
        <v>0.0085-0.472830728372837i</v>
      </c>
      <c r="T323" s="227" t="str">
        <f t="shared" si="102"/>
        <v>0.0255172616345638-0.471602855689092i</v>
      </c>
      <c r="U323" s="227" t="str">
        <f t="shared" si="103"/>
        <v>-6.9916559402509+1.81129385918634i</v>
      </c>
      <c r="V323" s="227">
        <f t="shared" si="115"/>
        <v>17.173712045342381</v>
      </c>
      <c r="W323" s="227">
        <f t="shared" si="116"/>
        <v>-194.52402929709933</v>
      </c>
      <c r="X323" s="227" t="str">
        <f t="shared" si="104"/>
        <v>0.998818277140672-0.0101231297506532i</v>
      </c>
      <c r="Y323" s="227" t="str">
        <f t="shared" si="105"/>
        <v>14.7083949610148-63.5992282433912i</v>
      </c>
      <c r="Z323" s="227" t="str">
        <f t="shared" si="106"/>
        <v>7.31516419324557-33.1581041759263i</v>
      </c>
      <c r="AA323" s="227" t="str">
        <f t="shared" si="107"/>
        <v>-0.790062570768681-1.44895927400246i</v>
      </c>
      <c r="AB323" s="227">
        <f t="shared" si="117"/>
        <v>4.3515637574258452</v>
      </c>
      <c r="AC323" s="227">
        <f t="shared" si="118"/>
        <v>-118.60196081610938</v>
      </c>
      <c r="AD323" s="229">
        <f t="shared" si="119"/>
        <v>-11.276311185028675</v>
      </c>
      <c r="AE323" s="229">
        <f t="shared" si="120"/>
        <v>164.23478850454995</v>
      </c>
      <c r="AF323" s="227">
        <f t="shared" si="108"/>
        <v>-6.9247474276028296</v>
      </c>
      <c r="AG323" s="227">
        <f t="shared" si="109"/>
        <v>45.632827688440571</v>
      </c>
      <c r="AH323" s="229" t="str">
        <f t="shared" si="110"/>
        <v>0.262743781214348-0.0741767201839666i</v>
      </c>
    </row>
    <row r="324" spans="9:34" x14ac:dyDescent="0.2">
      <c r="I324" s="227">
        <v>320</v>
      </c>
      <c r="J324" s="227">
        <f t="shared" ref="J324:J387" si="123">1+I324*(LOG(fsw)-1)/500</f>
        <v>4.1200392085706881</v>
      </c>
      <c r="K324" s="227">
        <f t="shared" si="122"/>
        <v>13183.757575583064</v>
      </c>
      <c r="L324" s="227">
        <f t="shared" si="111"/>
        <v>82835.991892321064</v>
      </c>
      <c r="M324" s="227">
        <f t="shared" ref="M324:M387" si="124">SQRT((Fco_target-K325)^2)</f>
        <v>7662.926004272279</v>
      </c>
      <c r="N324" s="227">
        <f>SQRT((ABS(AC324)-171.5+'Small Signal'!C$59)^2)</f>
        <v>17.785955570387827</v>
      </c>
      <c r="O324" s="227">
        <f t="shared" si="112"/>
        <v>44.735803360186296</v>
      </c>
      <c r="P324" s="227">
        <f t="shared" si="113"/>
        <v>7.0706672204318846</v>
      </c>
      <c r="Q324" s="227">
        <f t="shared" si="121"/>
        <v>13183.757575583064</v>
      </c>
      <c r="R324" s="227" t="str">
        <f t="shared" ref="R324:R387" si="125">IMSUM(COMPLEX(DCRss,Lss*L324),COMPLEX(Rdsonss,0),COMPLEX(40/3*Risense,0))</f>
        <v>0.0945666666666667+0.389329161893909i</v>
      </c>
      <c r="S324" s="227" t="str">
        <f t="shared" ref="S324:S387" si="126">IMSUM(COMPLEX(ESRss,0),IMDIV(COMPLEX(1,0),COMPLEX(0,L324*Cbulkss)))</f>
        <v>0.0085-0.462333720711756i</v>
      </c>
      <c r="T324" s="227" t="str">
        <f t="shared" ref="T324:T387" si="127">IMDIV(IMPRODUCT(S324,COMPLEX(Ross,0)),IMSUM(S324,COMPLEX(Ross,0)))</f>
        <v>0.0247707580903179-0.461159454508445i</v>
      </c>
      <c r="U324" s="227" t="str">
        <f t="shared" ref="U324:U387" si="128">IMPRODUCT(COMPLEX(Vinss,0),COMPLEX(M^2,0),IMDIV(IMSUB(COMPLEX(1,0),IMDIV(IMPRODUCT(R324,COMPLEX(M^2,0)),COMPLEX(Ross,0))),IMSUM(COMPLEX(1,0),IMDIV(IMPRODUCT(R324,COMPLEX(M^2,0)),T324))))</f>
        <v>-6.68986658543348+1.85560954819233i</v>
      </c>
      <c r="V324" s="227">
        <f t="shared" si="115"/>
        <v>16.83025428633615</v>
      </c>
      <c r="W324" s="227">
        <f t="shared" si="116"/>
        <v>-195.5027464824858</v>
      </c>
      <c r="X324" s="227" t="str">
        <f t="shared" ref="X324:X387" si="129">IMSUM(COMPLEX(1,L324/(wn*q0)),IMPOWER(COMPLEX(0,L324/wn),2))</f>
        <v>0.99876400736845-0.0103529692924957i</v>
      </c>
      <c r="Y324" s="227" t="str">
        <f t="shared" ref="Y324:Y387" si="130">IMPRODUCT(COMPLEX(2*Ioutss*M^2,0),IMDIV(IMSUM(COMPLEX(1,0),IMDIV(COMPLEX(Ross,0),IMPRODUCT(COMPLEX(2,0),S324))),IMSUM(COMPLEX(1,0),IMDIV(IMPRODUCT(R324,COMPLEX(M^2,0)),T324))))</f>
        <v>14.0108340702849-62.1790991273818i</v>
      </c>
      <c r="Z324" s="227" t="str">
        <f t="shared" ref="Z324:Z387" si="131">IMPRODUCT(COMPLEX(Fm*40/3*Risense,0),Y324,X324)</f>
        <v>6.95198244016213-32.4156791752923i</v>
      </c>
      <c r="AA324" s="227" t="str">
        <f t="shared" ref="AA324:AA387" si="132">IMDIV(IMPRODUCT(COMPLEX(Fm,0),U324),IMSUM(COMPLEX(1,0),Z324))</f>
        <v>-0.794790410608525-1.41711367187582i</v>
      </c>
      <c r="AB324" s="227">
        <f t="shared" si="117"/>
        <v>4.2158796227524284</v>
      </c>
      <c r="AC324" s="227">
        <f t="shared" si="118"/>
        <v>-119.28595557038783</v>
      </c>
      <c r="AD324" s="229">
        <f t="shared" si="119"/>
        <v>-11.286546843184313</v>
      </c>
      <c r="AE324" s="229">
        <f t="shared" si="120"/>
        <v>164.02175893057412</v>
      </c>
      <c r="AF324" s="227">
        <f t="shared" ref="AF324:AF387" si="133">AD324+AB324</f>
        <v>-7.0706672204318846</v>
      </c>
      <c r="AG324" s="227">
        <f t="shared" ref="AG324:AG387" si="134">AE324+AC324</f>
        <v>44.735803360186296</v>
      </c>
      <c r="AH324" s="229" t="str">
        <f t="shared" ref="AH324:AH387" si="135">IMDIV(IMPRODUCT(COMPLEX(gea*Rea*Rslss/(Rslss+Rshss),0),COMPLEX(1,L324*Ccompss*Rcompss),COMPLEX(1,k_3*L324*Cffss*Rshss)),IMPRODUCT(COMPLEX(1,L324*Rea*Ccompss),COMPLEX(1,L324*Rcompss*Chfss),COMPLEX(1,k_3*L324*Rffss*Cffss)))</f>
        <v>0.262157057526941-0.0750645942917761i</v>
      </c>
    </row>
    <row r="325" spans="9:34" x14ac:dyDescent="0.2">
      <c r="I325" s="227">
        <v>321</v>
      </c>
      <c r="J325" s="227">
        <f t="shared" si="123"/>
        <v>4.1297893310974718</v>
      </c>
      <c r="K325" s="227">
        <f t="shared" si="122"/>
        <v>13483.086822127494</v>
      </c>
      <c r="L325" s="227">
        <f t="shared" ref="L325:L388" si="136">2*PI()*K325</f>
        <v>84716.733016218175</v>
      </c>
      <c r="M325" s="227">
        <f t="shared" si="124"/>
        <v>7969.0513404233761</v>
      </c>
      <c r="N325" s="227">
        <f>SQRT((ABS(AC325)-171.5+'Small Signal'!C$59)^2)</f>
        <v>18.473232437199243</v>
      </c>
      <c r="O325" s="227">
        <f t="shared" ref="O325:O388" si="137">ABS(AG325)</f>
        <v>43.828323538511683</v>
      </c>
      <c r="P325" s="227">
        <f t="shared" ref="P325:P388" si="138">ABS(AF325)</f>
        <v>7.2151681240145757</v>
      </c>
      <c r="Q325" s="227">
        <f t="shared" si="121"/>
        <v>13483.086822127494</v>
      </c>
      <c r="R325" s="227" t="str">
        <f t="shared" si="125"/>
        <v>0.0945666666666667+0.398168645176225i</v>
      </c>
      <c r="S325" s="227" t="str">
        <f t="shared" si="126"/>
        <v>0.0085-0.452069750294712i</v>
      </c>
      <c r="T325" s="227" t="str">
        <f t="shared" si="127"/>
        <v>0.0240569521349178-0.450946187153822i</v>
      </c>
      <c r="U325" s="227" t="str">
        <f t="shared" si="128"/>
        <v>-6.40099450226689+1.89299376216635i</v>
      </c>
      <c r="V325" s="227">
        <f t="shared" ref="V325:V388" si="139">20*LOG(IMABS(U325))</f>
        <v>16.489077158442541</v>
      </c>
      <c r="W325" s="227">
        <f t="shared" ref="W325:W388" si="140">IF(DEGREES(IMARGUMENT(U325))&gt;0,DEGREES(IMARGUMENT(U325))-360, DEGREES(IMARGUMENT(U325)))</f>
        <v>-196.47475667754125</v>
      </c>
      <c r="X325" s="227" t="str">
        <f t="shared" si="129"/>
        <v>0.998707245295978-0.0105880272022043i</v>
      </c>
      <c r="Y325" s="227" t="str">
        <f t="shared" si="130"/>
        <v>13.3483063918716-60.7897935348446i</v>
      </c>
      <c r="Z325" s="227" t="str">
        <f t="shared" si="131"/>
        <v>6.60704790551985-31.6893487439104i</v>
      </c>
      <c r="AA325" s="227" t="str">
        <f t="shared" si="132"/>
        <v>-0.799317075036017-1.38595270161981i</v>
      </c>
      <c r="AB325" s="227">
        <f t="shared" ref="AB325:AB388" si="141">20*LOG(IMABS(AA325))</f>
        <v>4.0820139919470213</v>
      </c>
      <c r="AC325" s="227">
        <f t="shared" ref="AC325:AC388" si="142">IF(DEGREES(IMARGUMENT(AA325))&gt;0,DEGREES(IMARGUMENT(AA325))-360, DEGREES(IMARGUMENT(AA325)))</f>
        <v>-119.97323243719924</v>
      </c>
      <c r="AD325" s="229">
        <f t="shared" ref="AD325:AD388" si="143">20*LOG(IMABS(AH325))</f>
        <v>-11.297182115961597</v>
      </c>
      <c r="AE325" s="229">
        <f t="shared" ref="AE325:AE388" si="144">180+DEGREES(IMARGUMENT(AH325))</f>
        <v>163.80155597571093</v>
      </c>
      <c r="AF325" s="227">
        <f t="shared" si="133"/>
        <v>-7.2151681240145757</v>
      </c>
      <c r="AG325" s="227">
        <f t="shared" si="134"/>
        <v>43.828323538511683</v>
      </c>
      <c r="AH325" s="229" t="str">
        <f t="shared" si="135"/>
        <v>0.261546187464894-0.0759784894951937i</v>
      </c>
    </row>
    <row r="326" spans="9:34" x14ac:dyDescent="0.2">
      <c r="I326" s="227">
        <v>322</v>
      </c>
      <c r="J326" s="227">
        <f t="shared" si="123"/>
        <v>4.1395394536242547</v>
      </c>
      <c r="K326" s="227">
        <f t="shared" si="122"/>
        <v>13789.212158278591</v>
      </c>
      <c r="L326" s="227">
        <f t="shared" si="136"/>
        <v>86640.175230478155</v>
      </c>
      <c r="M326" s="227">
        <f t="shared" si="124"/>
        <v>8282.1270672876853</v>
      </c>
      <c r="N326" s="227">
        <f>SQRT((ABS(AC326)-171.5+'Small Signal'!C$59)^2)</f>
        <v>19.163628787073065</v>
      </c>
      <c r="O326" s="227">
        <f t="shared" si="137"/>
        <v>42.910495900685106</v>
      </c>
      <c r="P326" s="227">
        <f t="shared" si="138"/>
        <v>7.3582331966223826</v>
      </c>
      <c r="Q326" s="227">
        <f t="shared" si="121"/>
        <v>13789.212158278591</v>
      </c>
      <c r="R326" s="227" t="str">
        <f t="shared" si="125"/>
        <v>0.0945666666666667+0.407208823583247i</v>
      </c>
      <c r="S326" s="227" t="str">
        <f t="shared" si="126"/>
        <v>0.0085-0.442033643613329i</v>
      </c>
      <c r="T326" s="227" t="str">
        <f t="shared" si="127"/>
        <v>0.0233744149272567-0.440958055877229i</v>
      </c>
      <c r="U326" s="227" t="str">
        <f t="shared" si="128"/>
        <v>-6.12452008399854+1.92403326712867i</v>
      </c>
      <c r="V326" s="227">
        <f t="shared" si="139"/>
        <v>16.150200056872169</v>
      </c>
      <c r="W326" s="227">
        <f t="shared" si="140"/>
        <v>-197.44024144068578</v>
      </c>
      <c r="X326" s="227" t="str">
        <f t="shared" si="129"/>
        <v>0.998647876466162-0.0108284219596668i</v>
      </c>
      <c r="Y326" s="227" t="str">
        <f t="shared" si="130"/>
        <v>12.7189032290402-59.4308133050787i</v>
      </c>
      <c r="Z326" s="227" t="str">
        <f t="shared" si="131"/>
        <v>6.27936583146267-30.9788504314784i</v>
      </c>
      <c r="AA326" s="227" t="str">
        <f t="shared" si="132"/>
        <v>-0.803651418154339-1.35546255686527i</v>
      </c>
      <c r="AB326" s="227">
        <f t="shared" si="141"/>
        <v>3.9500021681542208</v>
      </c>
      <c r="AC326" s="227">
        <f t="shared" si="142"/>
        <v>-120.66362878707307</v>
      </c>
      <c r="AD326" s="229">
        <f t="shared" si="143"/>
        <v>-11.308235364776603</v>
      </c>
      <c r="AE326" s="229">
        <f t="shared" si="144"/>
        <v>163.57412468775817</v>
      </c>
      <c r="AF326" s="227">
        <f t="shared" si="133"/>
        <v>-7.3582331966223826</v>
      </c>
      <c r="AG326" s="227">
        <f t="shared" si="134"/>
        <v>42.910495900685106</v>
      </c>
      <c r="AH326" s="229" t="str">
        <f t="shared" si="135"/>
        <v>0.260910303501431-0.0769181314689318i</v>
      </c>
    </row>
    <row r="327" spans="9:34" x14ac:dyDescent="0.2">
      <c r="I327" s="227">
        <v>323</v>
      </c>
      <c r="J327" s="227">
        <f t="shared" si="123"/>
        <v>4.1492895761510376</v>
      </c>
      <c r="K327" s="227">
        <f t="shared" si="122"/>
        <v>14102.2878851429</v>
      </c>
      <c r="L327" s="227">
        <f t="shared" si="136"/>
        <v>88607.288037546547</v>
      </c>
      <c r="M327" s="227">
        <f t="shared" si="124"/>
        <v>8602.3109892850371</v>
      </c>
      <c r="N327" s="227">
        <f>SQRT((ABS(AC327)-171.5+'Small Signal'!C$59)^2)</f>
        <v>19.856970614429329</v>
      </c>
      <c r="O327" s="227">
        <f t="shared" si="137"/>
        <v>41.982439419835416</v>
      </c>
      <c r="P327" s="227">
        <f t="shared" si="138"/>
        <v>7.4998471914104723</v>
      </c>
      <c r="Q327" s="227">
        <f t="shared" si="121"/>
        <v>14102.2878851429</v>
      </c>
      <c r="R327" s="227" t="str">
        <f t="shared" si="125"/>
        <v>0.0945666666666667+0.416454253776469i</v>
      </c>
      <c r="S327" s="227" t="str">
        <f t="shared" si="126"/>
        <v>0.0085-0.432220342012919i</v>
      </c>
      <c r="T327" s="227" t="str">
        <f t="shared" si="127"/>
        <v>0.0227217797776325-0.43119016666378i</v>
      </c>
      <c r="U327" s="227" t="str">
        <f t="shared" si="128"/>
        <v>-5.85993993881734+1.94926904063151i</v>
      </c>
      <c r="V327" s="227">
        <f t="shared" si="139"/>
        <v>15.813641305392974</v>
      </c>
      <c r="W327" s="227">
        <f t="shared" si="140"/>
        <v>-198.39935273756794</v>
      </c>
      <c r="X327" s="227" t="str">
        <f t="shared" si="129"/>
        <v>0.998585781165544-0.0110742747347857i</v>
      </c>
      <c r="Y327" s="227" t="str">
        <f t="shared" si="130"/>
        <v>12.1208300290183-58.1016430739968i</v>
      </c>
      <c r="Z327" s="227" t="str">
        <f t="shared" si="131"/>
        <v>5.96800099741135-30.2839129462636i</v>
      </c>
      <c r="AA327" s="227" t="str">
        <f t="shared" si="132"/>
        <v>-0.80780192962903-1.32562964671789i</v>
      </c>
      <c r="AB327" s="227">
        <f t="shared" si="141"/>
        <v>3.8198783353530081</v>
      </c>
      <c r="AC327" s="227">
        <f t="shared" si="142"/>
        <v>-121.35697061442933</v>
      </c>
      <c r="AD327" s="229">
        <f t="shared" si="143"/>
        <v>-11.319725526763481</v>
      </c>
      <c r="AE327" s="229">
        <f t="shared" si="144"/>
        <v>163.33941003426474</v>
      </c>
      <c r="AF327" s="227">
        <f t="shared" si="133"/>
        <v>-7.4998471914104723</v>
      </c>
      <c r="AG327" s="227">
        <f t="shared" si="134"/>
        <v>41.982439419835416</v>
      </c>
      <c r="AH327" s="229" t="str">
        <f t="shared" si="135"/>
        <v>0.260248518111013-0.0778832171982642i</v>
      </c>
    </row>
    <row r="328" spans="9:34" x14ac:dyDescent="0.2">
      <c r="I328" s="227">
        <v>324</v>
      </c>
      <c r="J328" s="227">
        <f t="shared" si="123"/>
        <v>4.1590396986778213</v>
      </c>
      <c r="K328" s="227">
        <f t="shared" si="122"/>
        <v>14422.471807140251</v>
      </c>
      <c r="L328" s="227">
        <f t="shared" si="136"/>
        <v>90619.06295183544</v>
      </c>
      <c r="M328" s="227">
        <f t="shared" si="124"/>
        <v>8929.7644936891993</v>
      </c>
      <c r="N328" s="227">
        <f>SQRT((ABS(AC328)-171.5+'Small Signal'!C$59)^2)</f>
        <v>20.553072803270538</v>
      </c>
      <c r="O328" s="227">
        <f t="shared" si="137"/>
        <v>41.044284267171832</v>
      </c>
      <c r="P328" s="227">
        <f t="shared" si="138"/>
        <v>7.6399966670133415</v>
      </c>
      <c r="Q328" s="227">
        <f t="shared" si="121"/>
        <v>14422.471807140251</v>
      </c>
      <c r="R328" s="227" t="str">
        <f t="shared" si="125"/>
        <v>0.0945666666666667+0.425909595873627i</v>
      </c>
      <c r="S328" s="227" t="str">
        <f t="shared" si="126"/>
        <v>0.0085-0.422624899142701i</v>
      </c>
      <c r="T328" s="227" t="str">
        <f t="shared" si="127"/>
        <v>0.0220977394689488-0.421637727395692i</v>
      </c>
      <c r="U328" s="227" t="str">
        <f t="shared" si="128"/>
        <v>-5.60676708209477+1.96919985871337i</v>
      </c>
      <c r="V328" s="227">
        <f t="shared" si="139"/>
        <v>15.479418113603177</v>
      </c>
      <c r="W328" s="227">
        <f t="shared" si="140"/>
        <v>-199.35221424550195</v>
      </c>
      <c r="X328" s="227" t="str">
        <f t="shared" si="129"/>
        <v>0.998520834182914-0.0113257094485526i</v>
      </c>
      <c r="Y328" s="227" t="str">
        <f t="shared" si="130"/>
        <v>11.552399036886-56.8017543827229i</v>
      </c>
      <c r="Z328" s="227" t="str">
        <f t="shared" si="131"/>
        <v>5.67207388429389-29.604258288057i</v>
      </c>
      <c r="AA328" s="227" t="str">
        <f t="shared" si="132"/>
        <v>-0.811776749836409-1.2964405966246i</v>
      </c>
      <c r="AB328" s="227">
        <f t="shared" si="141"/>
        <v>3.6916754635719498</v>
      </c>
      <c r="AC328" s="227">
        <f t="shared" si="142"/>
        <v>-122.05307280327054</v>
      </c>
      <c r="AD328" s="229">
        <f t="shared" si="143"/>
        <v>-11.331672130585291</v>
      </c>
      <c r="AE328" s="229">
        <f t="shared" si="144"/>
        <v>163.09735707044237</v>
      </c>
      <c r="AF328" s="227">
        <f t="shared" si="133"/>
        <v>-7.6399966670133415</v>
      </c>
      <c r="AG328" s="227">
        <f t="shared" si="134"/>
        <v>41.044284267171832</v>
      </c>
      <c r="AH328" s="229" t="str">
        <f t="shared" si="135"/>
        <v>0.259559924346569-0.0788734129103612i</v>
      </c>
    </row>
    <row r="329" spans="9:34" x14ac:dyDescent="0.2">
      <c r="I329" s="227">
        <v>325</v>
      </c>
      <c r="J329" s="227">
        <f t="shared" si="123"/>
        <v>4.1687898212046051</v>
      </c>
      <c r="K329" s="227">
        <f t="shared" si="122"/>
        <v>14749.925311544413</v>
      </c>
      <c r="L329" s="227">
        <f t="shared" si="136"/>
        <v>92676.513999492134</v>
      </c>
      <c r="M329" s="227">
        <f t="shared" si="124"/>
        <v>9264.6526319744335</v>
      </c>
      <c r="N329" s="227">
        <f>SQRT((ABS(AC329)-171.5+'Small Signal'!C$59)^2)</f>
        <v>21.251739441904263</v>
      </c>
      <c r="O329" s="227">
        <f t="shared" si="137"/>
        <v>40.096171674414776</v>
      </c>
      <c r="P329" s="227">
        <f t="shared" si="138"/>
        <v>7.778670096433097</v>
      </c>
      <c r="Q329" s="227">
        <f t="shared" si="121"/>
        <v>14749.925311544413</v>
      </c>
      <c r="R329" s="227" t="str">
        <f t="shared" si="125"/>
        <v>0.0945666666666667+0.435579615797613i</v>
      </c>
      <c r="S329" s="227" t="str">
        <f t="shared" si="126"/>
        <v>0.0085-0.413242478462617i</v>
      </c>
      <c r="T329" s="227" t="str">
        <f t="shared" si="127"/>
        <v>0.0215010436912542-0.41229604602697i</v>
      </c>
      <c r="U329" s="227" t="str">
        <f t="shared" si="128"/>
        <v>-5.36453099695053+1.98428559838374i</v>
      </c>
      <c r="V329" s="227">
        <f t="shared" si="139"/>
        <v>15.147546527001392</v>
      </c>
      <c r="W329" s="227">
        <f t="shared" si="140"/>
        <v>-200.298922642919</v>
      </c>
      <c r="X329" s="227" t="str">
        <f t="shared" si="129"/>
        <v>0.998452904556827-0.0115828528355105i</v>
      </c>
      <c r="Y329" s="227" t="str">
        <f t="shared" si="130"/>
        <v>11.0120224236571-55.5306092289131i</v>
      </c>
      <c r="Z329" s="227" t="str">
        <f t="shared" si="131"/>
        <v>5.39075708676564-28.9396035911205i</v>
      </c>
      <c r="AA329" s="227" t="str">
        <f t="shared" si="132"/>
        <v>-0.815583684474186-1.26788224886395i</v>
      </c>
      <c r="AB329" s="227">
        <f t="shared" si="141"/>
        <v>3.5654252152814356</v>
      </c>
      <c r="AC329" s="227">
        <f t="shared" si="142"/>
        <v>-122.75173944190426</v>
      </c>
      <c r="AD329" s="229">
        <f t="shared" si="143"/>
        <v>-11.344095311714533</v>
      </c>
      <c r="AE329" s="229">
        <f t="shared" si="144"/>
        <v>162.84791111631904</v>
      </c>
      <c r="AF329" s="227">
        <f t="shared" si="133"/>
        <v>-7.778670096433097</v>
      </c>
      <c r="AG329" s="227">
        <f t="shared" si="134"/>
        <v>40.096171674414776</v>
      </c>
      <c r="AH329" s="229" t="str">
        <f t="shared" si="135"/>
        <v>0.258843596538245-0.0798883519517592i</v>
      </c>
    </row>
    <row r="330" spans="9:34" x14ac:dyDescent="0.2">
      <c r="I330" s="227">
        <v>326</v>
      </c>
      <c r="J330" s="227">
        <f t="shared" si="123"/>
        <v>4.1785399437313888</v>
      </c>
      <c r="K330" s="227">
        <f t="shared" si="122"/>
        <v>15084.813449829649</v>
      </c>
      <c r="L330" s="227">
        <f t="shared" si="136"/>
        <v>94780.678229514655</v>
      </c>
      <c r="M330" s="227">
        <f t="shared" si="124"/>
        <v>9607.1442030090402</v>
      </c>
      <c r="N330" s="227">
        <f>SQRT((ABS(AC330)-171.5+'Small Signal'!C$59)^2)</f>
        <v>21.952764186786851</v>
      </c>
      <c r="O330" s="227">
        <f t="shared" si="137"/>
        <v>39.138253756589449</v>
      </c>
      <c r="P330" s="227">
        <f t="shared" si="138"/>
        <v>7.9158579734938268</v>
      </c>
      <c r="Q330" s="227">
        <f t="shared" si="121"/>
        <v>15084.813449829649</v>
      </c>
      <c r="R330" s="227" t="str">
        <f t="shared" si="125"/>
        <v>0.0945666666666667+0.445469187678719i</v>
      </c>
      <c r="S330" s="227" t="str">
        <f t="shared" si="126"/>
        <v>0.0085-0.404068350805487i</v>
      </c>
      <c r="T330" s="227" t="str">
        <f t="shared" si="127"/>
        <v>0.0209304965850066-0.403160528770466i</v>
      </c>
      <c r="U330" s="227" t="str">
        <f t="shared" si="128"/>
        <v>-5.13277758568557+1.99495027760827i</v>
      </c>
      <c r="V330" s="227">
        <f t="shared" si="139"/>
        <v>14.818041371488357</v>
      </c>
      <c r="W330" s="227">
        <f t="shared" si="140"/>
        <v>-201.23954888738032</v>
      </c>
      <c r="X330" s="227" t="str">
        <f t="shared" si="129"/>
        <v>0.99838185531153-0.0118458345076332i</v>
      </c>
      <c r="Y330" s="227" t="str">
        <f t="shared" si="130"/>
        <v>10.49820586341-54.2876631301633i</v>
      </c>
      <c r="Z330" s="227" t="str">
        <f t="shared" si="131"/>
        <v>5.12327196022002-28.2896627132678i</v>
      </c>
      <c r="AA330" s="227" t="str">
        <f t="shared" si="132"/>
        <v>-0.819230218649929-1.23994166268973i</v>
      </c>
      <c r="AB330" s="227">
        <f t="shared" si="141"/>
        <v>3.4411578536050507</v>
      </c>
      <c r="AC330" s="227">
        <f t="shared" si="142"/>
        <v>-123.45276418678685</v>
      </c>
      <c r="AD330" s="229">
        <f t="shared" si="143"/>
        <v>-11.357015827098877</v>
      </c>
      <c r="AE330" s="229">
        <f t="shared" si="144"/>
        <v>162.5910179433763</v>
      </c>
      <c r="AF330" s="227">
        <f t="shared" si="133"/>
        <v>-7.9158579734938268</v>
      </c>
      <c r="AG330" s="227">
        <f t="shared" si="134"/>
        <v>39.138253756589449</v>
      </c>
      <c r="AH330" s="229" t="str">
        <f t="shared" si="135"/>
        <v>0.258098591122866-0.0809276326162972i</v>
      </c>
    </row>
    <row r="331" spans="9:34" x14ac:dyDescent="0.2">
      <c r="I331" s="227">
        <v>327</v>
      </c>
      <c r="J331" s="227">
        <f t="shared" si="123"/>
        <v>4.1882900662581726</v>
      </c>
      <c r="K331" s="227">
        <f t="shared" si="122"/>
        <v>15427.305020864254</v>
      </c>
      <c r="L331" s="227">
        <f t="shared" si="136"/>
        <v>96932.616236472139</v>
      </c>
      <c r="M331" s="227">
        <f t="shared" si="124"/>
        <v>9957.4118381374719</v>
      </c>
      <c r="N331" s="227">
        <f>SQRT((ABS(AC331)-171.5+'Small Signal'!C$59)^2)</f>
        <v>22.655930675180457</v>
      </c>
      <c r="O331" s="227">
        <f t="shared" si="137"/>
        <v>38.170693295714358</v>
      </c>
      <c r="P331" s="227">
        <f t="shared" si="138"/>
        <v>8.0515529161152308</v>
      </c>
      <c r="Q331" s="227">
        <f t="shared" si="121"/>
        <v>15427.305020864254</v>
      </c>
      <c r="R331" s="227" t="str">
        <f t="shared" si="125"/>
        <v>0.0945666666666667+0.455583296311419i</v>
      </c>
      <c r="S331" s="227" t="str">
        <f t="shared" si="126"/>
        <v>0.0085-0.395097891993298i</v>
      </c>
      <c r="T331" s="227" t="str">
        <f t="shared" si="127"/>
        <v>0.0203849543886249-0.394226678298843i</v>
      </c>
      <c r="U331" s="227" t="str">
        <f t="shared" si="128"/>
        <v>-4.91106903136216+2.00158485332136i</v>
      </c>
      <c r="V331" s="227">
        <f t="shared" si="139"/>
        <v>14.490916193834023</v>
      </c>
      <c r="W331" s="227">
        <f t="shared" si="140"/>
        <v>-202.17413948520883</v>
      </c>
      <c r="X331" s="227" t="str">
        <f t="shared" si="129"/>
        <v>0.998307543180752-0.0121147870196566i</v>
      </c>
      <c r="Y331" s="227" t="str">
        <f t="shared" si="130"/>
        <v>10.0095425342618-53.0723677604633i</v>
      </c>
      <c r="Z331" s="227" t="str">
        <f t="shared" si="131"/>
        <v>4.86888548936707-27.6541476028355i</v>
      </c>
      <c r="AA331" s="227" t="str">
        <f t="shared" si="132"/>
        <v>-0.822723530463177-1.21260611415511i</v>
      </c>
      <c r="AB331" s="227">
        <f t="shared" si="141"/>
        <v>3.3189021530038572</v>
      </c>
      <c r="AC331" s="227">
        <f t="shared" si="142"/>
        <v>-124.15593067518046</v>
      </c>
      <c r="AD331" s="229">
        <f t="shared" si="143"/>
        <v>-11.370455069119087</v>
      </c>
      <c r="AE331" s="229">
        <f t="shared" si="144"/>
        <v>162.32662397089481</v>
      </c>
      <c r="AF331" s="227">
        <f t="shared" si="133"/>
        <v>-8.0515529161152308</v>
      </c>
      <c r="AG331" s="227">
        <f t="shared" si="134"/>
        <v>38.170693295714358</v>
      </c>
      <c r="AH331" s="229" t="str">
        <f t="shared" si="135"/>
        <v>0.257323947613588-0.081990815928729i</v>
      </c>
    </row>
    <row r="332" spans="9:34" x14ac:dyDescent="0.2">
      <c r="I332" s="227">
        <v>328</v>
      </c>
      <c r="J332" s="227">
        <f t="shared" si="123"/>
        <v>4.1980401887849554</v>
      </c>
      <c r="K332" s="227">
        <f t="shared" si="122"/>
        <v>15777.572655992688</v>
      </c>
      <c r="L332" s="227">
        <f t="shared" si="136"/>
        <v>99133.412695091654</v>
      </c>
      <c r="M332" s="227">
        <f t="shared" si="124"/>
        <v>10315.632088194572</v>
      </c>
      <c r="N332" s="227">
        <f>SQRT((ABS(AC332)-171.5+'Small Signal'!C$59)^2)</f>
        <v>23.361012985893126</v>
      </c>
      <c r="O332" s="227">
        <f t="shared" si="137"/>
        <v>37.193663486310413</v>
      </c>
      <c r="P332" s="227">
        <f t="shared" si="138"/>
        <v>8.1857497656443137</v>
      </c>
      <c r="Q332" s="227">
        <f t="shared" si="121"/>
        <v>15777.572655992688</v>
      </c>
      <c r="R332" s="227" t="str">
        <f t="shared" si="125"/>
        <v>0.0945666666666667+0.465927039666931i</v>
      </c>
      <c r="S332" s="227" t="str">
        <f t="shared" si="126"/>
        <v>0.0085-0.386326580506411i</v>
      </c>
      <c r="T332" s="227" t="str">
        <f t="shared" si="127"/>
        <v>0.019863323186054-0.385490091960842i</v>
      </c>
      <c r="U332" s="227" t="str">
        <f t="shared" si="128"/>
        <v>-4.69898358599796+2.00454979657964i</v>
      </c>
      <c r="V332" s="227">
        <f t="shared" si="139"/>
        <v>14.166183199551202</v>
      </c>
      <c r="W332" s="227">
        <f t="shared" si="140"/>
        <v>-203.1027177552678</v>
      </c>
      <c r="X332" s="227" t="str">
        <f t="shared" si="129"/>
        <v>0.998229818318826-0.0123898459358912i</v>
      </c>
      <c r="Y332" s="227" t="str">
        <f t="shared" si="130"/>
        <v>9.54470751828808-51.8841732132412i</v>
      </c>
      <c r="Z332" s="227" t="str">
        <f t="shared" si="131"/>
        <v>4.626907365328-27.032769471437i</v>
      </c>
      <c r="AA332" s="227" t="str">
        <f t="shared" si="132"/>
        <v>-0.826070504096976-1.18586309564313i</v>
      </c>
      <c r="AB332" s="227">
        <f t="shared" si="141"/>
        <v>3.1986853130944874</v>
      </c>
      <c r="AC332" s="227">
        <f t="shared" si="142"/>
        <v>-124.86101298589313</v>
      </c>
      <c r="AD332" s="229">
        <f t="shared" si="143"/>
        <v>-11.384435078738802</v>
      </c>
      <c r="AE332" s="229">
        <f t="shared" si="144"/>
        <v>162.05467647220354</v>
      </c>
      <c r="AF332" s="227">
        <f t="shared" si="133"/>
        <v>-8.1857497656443137</v>
      </c>
      <c r="AG332" s="227">
        <f t="shared" si="134"/>
        <v>37.193663486310413</v>
      </c>
      <c r="AH332" s="229" t="str">
        <f t="shared" si="135"/>
        <v>0.256518689719403-0.0830774233901765i</v>
      </c>
    </row>
    <row r="333" spans="9:34" x14ac:dyDescent="0.2">
      <c r="I333" s="227">
        <v>329</v>
      </c>
      <c r="J333" s="227">
        <f t="shared" si="123"/>
        <v>4.2077903113117383</v>
      </c>
      <c r="K333" s="227">
        <f t="shared" si="122"/>
        <v>16135.792906049788</v>
      </c>
      <c r="L333" s="227">
        <f t="shared" si="136"/>
        <v>101384.17690698462</v>
      </c>
      <c r="M333" s="227">
        <f t="shared" si="124"/>
        <v>10681.985512495248</v>
      </c>
      <c r="N333" s="227">
        <f>SQRT((ABS(AC333)-171.5+'Small Signal'!C$59)^2)</f>
        <v>24.06777614694731</v>
      </c>
      <c r="O333" s="227">
        <f t="shared" si="137"/>
        <v>36.207347644050927</v>
      </c>
      <c r="P333" s="227">
        <f t="shared" si="138"/>
        <v>8.3184456814830234</v>
      </c>
      <c r="Q333" s="227">
        <f t="shared" si="121"/>
        <v>16135.792906049788</v>
      </c>
      <c r="R333" s="227" t="str">
        <f t="shared" si="125"/>
        <v>0.0945666666666667+0.476505631462828i</v>
      </c>
      <c r="S333" s="227" t="str">
        <f t="shared" si="126"/>
        <v>0.0085-0.377749995204499i</v>
      </c>
      <c r="T333" s="227" t="str">
        <f t="shared" si="127"/>
        <v>0.0193645567502296-0.376946460014039i</v>
      </c>
      <c r="U333" s="227" t="str">
        <f t="shared" si="128"/>
        <v>-4.49611529941332+2.00417746260225i</v>
      </c>
      <c r="V333" s="227">
        <f t="shared" si="139"/>
        <v>13.843853189522481</v>
      </c>
      <c r="W333" s="227">
        <f t="shared" si="140"/>
        <v>-204.02528508886732</v>
      </c>
      <c r="X333" s="227" t="str">
        <f t="shared" si="129"/>
        <v>0.998148523998528-0.0126711498985536i</v>
      </c>
      <c r="Y333" s="227" t="str">
        <f t="shared" si="130"/>
        <v>9.10245257607894-50.7225299380114i</v>
      </c>
      <c r="Z333" s="227" t="str">
        <f t="shared" si="131"/>
        <v>4.39668725850825-26.4252397969818i</v>
      </c>
      <c r="AA333" s="227" t="str">
        <f t="shared" si="132"/>
        <v>-0.829277742434535-1.15970031512738i</v>
      </c>
      <c r="AB333" s="227">
        <f t="shared" si="141"/>
        <v>3.0805328762587569</v>
      </c>
      <c r="AC333" s="227">
        <f t="shared" si="142"/>
        <v>-125.56777614694731</v>
      </c>
      <c r="AD333" s="229">
        <f t="shared" si="143"/>
        <v>-11.398978557741779</v>
      </c>
      <c r="AE333" s="229">
        <f t="shared" si="144"/>
        <v>161.77512379099824</v>
      </c>
      <c r="AF333" s="227">
        <f t="shared" si="133"/>
        <v>-8.3184456814830234</v>
      </c>
      <c r="AG333" s="227">
        <f t="shared" si="134"/>
        <v>36.207347644050927</v>
      </c>
      <c r="AH333" s="229" t="str">
        <f t="shared" si="135"/>
        <v>0.255681826624176-0.0841869346925794i</v>
      </c>
    </row>
    <row r="334" spans="9:34" x14ac:dyDescent="0.2">
      <c r="I334" s="227">
        <v>330</v>
      </c>
      <c r="J334" s="227">
        <f t="shared" si="123"/>
        <v>4.2175404338385221</v>
      </c>
      <c r="K334" s="227">
        <f t="shared" si="122"/>
        <v>16502.146330350464</v>
      </c>
      <c r="L334" s="227">
        <f t="shared" si="136"/>
        <v>103686.04335978556</v>
      </c>
      <c r="M334" s="227">
        <f t="shared" si="124"/>
        <v>11056.656769844376</v>
      </c>
      <c r="N334" s="227">
        <f>SQRT((ABS(AC334)-171.5+'Small Signal'!C$59)^2)</f>
        <v>24.775976688592479</v>
      </c>
      <c r="O334" s="227">
        <f t="shared" si="137"/>
        <v>35.211938879266896</v>
      </c>
      <c r="P334" s="227">
        <f t="shared" si="138"/>
        <v>8.4496402302467075</v>
      </c>
      <c r="Q334" s="227">
        <f t="shared" si="121"/>
        <v>16502.146330350464</v>
      </c>
      <c r="R334" s="227" t="str">
        <f t="shared" si="125"/>
        <v>0.0945666666666667+0.487324403790992i</v>
      </c>
      <c r="S334" s="227" t="str">
        <f t="shared" si="126"/>
        <v>0.0085-0.369363813098101i</v>
      </c>
      <c r="T334" s="227" t="str">
        <f t="shared" si="127"/>
        <v>0.0188876544784906-0.368591563875271i</v>
      </c>
      <c r="U334" s="227" t="str">
        <f t="shared" si="128"/>
        <v>-4.30207370068574+2.00077427213612i</v>
      </c>
      <c r="V334" s="227">
        <f t="shared" si="139"/>
        <v>13.523935496643977</v>
      </c>
      <c r="W334" s="227">
        <f t="shared" si="140"/>
        <v>-204.94182220720754</v>
      </c>
      <c r="X334" s="227" t="str">
        <f t="shared" si="129"/>
        <v>0.998063496295052-0.0129588406976479i</v>
      </c>
      <c r="Y334" s="227" t="str">
        <f t="shared" si="130"/>
        <v>8.68160127241134-49.5868903918948i</v>
      </c>
      <c r="Z334" s="227" t="str">
        <f t="shared" si="131"/>
        <v>4.17761227493131-25.8312711784538i</v>
      </c>
      <c r="AA334" s="227" t="str">
        <f t="shared" si="132"/>
        <v>-0.832351579216752-1.13410569518526i</v>
      </c>
      <c r="AB334" s="227">
        <f t="shared" si="141"/>
        <v>2.9644686496948083</v>
      </c>
      <c r="AC334" s="227">
        <f t="shared" si="142"/>
        <v>-126.27597668859248</v>
      </c>
      <c r="AD334" s="229">
        <f t="shared" si="143"/>
        <v>-11.414108879941516</v>
      </c>
      <c r="AE334" s="229">
        <f t="shared" si="144"/>
        <v>161.48791556785937</v>
      </c>
      <c r="AF334" s="227">
        <f t="shared" si="133"/>
        <v>-8.4496402302467075</v>
      </c>
      <c r="AG334" s="227">
        <f t="shared" si="134"/>
        <v>35.211938879266896</v>
      </c>
      <c r="AH334" s="229" t="str">
        <f t="shared" si="135"/>
        <v>0.254812354435047-0.085318785410415i</v>
      </c>
    </row>
    <row r="335" spans="9:34" x14ac:dyDescent="0.2">
      <c r="I335" s="227">
        <v>331</v>
      </c>
      <c r="J335" s="227">
        <f t="shared" si="123"/>
        <v>4.2272905563653058</v>
      </c>
      <c r="K335" s="227">
        <f t="shared" si="122"/>
        <v>16876.817587699592</v>
      </c>
      <c r="L335" s="227">
        <f t="shared" si="136"/>
        <v>106040.17229898411</v>
      </c>
      <c r="M335" s="227">
        <f t="shared" si="124"/>
        <v>11439.834711613417</v>
      </c>
      <c r="N335" s="227">
        <f>SQRT((ABS(AC335)-171.5+'Small Signal'!C$59)^2)</f>
        <v>25.485363239637593</v>
      </c>
      <c r="O335" s="227">
        <f t="shared" si="137"/>
        <v>34.207639737421573</v>
      </c>
      <c r="P335" s="227">
        <f t="shared" si="138"/>
        <v>8.5793354686994014</v>
      </c>
      <c r="Q335" s="227">
        <f t="shared" si="121"/>
        <v>16876.817587699592</v>
      </c>
      <c r="R335" s="227" t="str">
        <f t="shared" si="125"/>
        <v>0.0945666666666667+0.498388809805225i</v>
      </c>
      <c r="S335" s="227" t="str">
        <f t="shared" si="126"/>
        <v>0.0085-0.361163807169639i</v>
      </c>
      <c r="T335" s="227" t="str">
        <f t="shared" si="127"/>
        <v>0.0184316594161332-0.360421274389678i</v>
      </c>
      <c r="U335" s="227" t="str">
        <f t="shared" si="128"/>
        <v>-4.11648344236586+1.99462271934144i</v>
      </c>
      <c r="V335" s="227">
        <f t="shared" si="139"/>
        <v>13.206437923659099</v>
      </c>
      <c r="W335" s="227">
        <f t="shared" si="140"/>
        <v>-205.85229041720225</v>
      </c>
      <c r="X335" s="227" t="str">
        <f t="shared" si="129"/>
        <v>0.99797456375546-0.0132530633424347i</v>
      </c>
      <c r="Y335" s="227" t="str">
        <f t="shared" si="130"/>
        <v>8.28104443045087-48.4767104422173i</v>
      </c>
      <c r="Z335" s="227" t="str">
        <f t="shared" si="131"/>
        <v>3.96910458420788-25.2505780612987i</v>
      </c>
      <c r="AA335" s="227" t="str">
        <f t="shared" si="132"/>
        <v>-0.835298090756188-1.10906737178491i</v>
      </c>
      <c r="AB335" s="227">
        <f t="shared" si="141"/>
        <v>2.850514632544352</v>
      </c>
      <c r="AC335" s="227">
        <f t="shared" si="142"/>
        <v>-126.98536323963759</v>
      </c>
      <c r="AD335" s="229">
        <f t="shared" si="143"/>
        <v>-11.429850101243753</v>
      </c>
      <c r="AE335" s="229">
        <f t="shared" si="144"/>
        <v>161.19300297705917</v>
      </c>
      <c r="AF335" s="227">
        <f t="shared" si="133"/>
        <v>-8.5793354686994014</v>
      </c>
      <c r="AG335" s="227">
        <f t="shared" si="134"/>
        <v>34.207639737421573</v>
      </c>
      <c r="AH335" s="229" t="str">
        <f t="shared" si="135"/>
        <v>0.253909257809894-0.0864723646791004i</v>
      </c>
    </row>
    <row r="336" spans="9:34" x14ac:dyDescent="0.2">
      <c r="I336" s="227">
        <v>332</v>
      </c>
      <c r="J336" s="227">
        <f t="shared" si="123"/>
        <v>4.2370406788920896</v>
      </c>
      <c r="K336" s="227">
        <f t="shared" si="122"/>
        <v>17259.995529468633</v>
      </c>
      <c r="L336" s="227">
        <f t="shared" si="136"/>
        <v>108447.75031274266</v>
      </c>
      <c r="M336" s="227">
        <f t="shared" si="124"/>
        <v>11831.712476930014</v>
      </c>
      <c r="N336" s="227">
        <f>SQRT((ABS(AC336)-171.5+'Small Signal'!C$59)^2)</f>
        <v>26.195677164659372</v>
      </c>
      <c r="O336" s="227">
        <f t="shared" si="137"/>
        <v>33.194661809040781</v>
      </c>
      <c r="P336" s="227">
        <f t="shared" si="138"/>
        <v>8.7075360197305223</v>
      </c>
      <c r="Q336" s="227">
        <f t="shared" si="121"/>
        <v>17259.995529468633</v>
      </c>
      <c r="R336" s="227" t="str">
        <f t="shared" si="125"/>
        <v>0.0945666666666667+0.50970442646989i</v>
      </c>
      <c r="S336" s="227" t="str">
        <f t="shared" si="126"/>
        <v>0.0085-0.353145844242797i</v>
      </c>
      <c r="T336" s="227" t="str">
        <f t="shared" si="127"/>
        <v>0.0179956563644526-0.352431550119249i</v>
      </c>
      <c r="U336" s="227" t="str">
        <f t="shared" si="128"/>
        <v>-3.93898391606507+1.9859832202205i</v>
      </c>
      <c r="V336" s="227">
        <f t="shared" si="139"/>
        <v>12.891366683270189</v>
      </c>
      <c r="W336" s="227">
        <f t="shared" si="140"/>
        <v>-206.75663286595199</v>
      </c>
      <c r="X336" s="227" t="str">
        <f t="shared" si="129"/>
        <v>0.997881547052962-0.0135539661345221i</v>
      </c>
      <c r="Y336" s="227" t="str">
        <f t="shared" si="130"/>
        <v>7.8997358929159-47.3914505519508i</v>
      </c>
      <c r="Z336" s="227" t="str">
        <f t="shared" si="131"/>
        <v>3.77061920785303-24.6828773499582i</v>
      </c>
      <c r="AA336" s="227" t="str">
        <f t="shared" si="132"/>
        <v>-0.838123107222779-1.08457369286507i</v>
      </c>
      <c r="AB336" s="227">
        <f t="shared" si="141"/>
        <v>2.7386909487040123</v>
      </c>
      <c r="AC336" s="227">
        <f t="shared" si="142"/>
        <v>-127.69567716465937</v>
      </c>
      <c r="AD336" s="229">
        <f t="shared" si="143"/>
        <v>-11.446226968434534</v>
      </c>
      <c r="AE336" s="229">
        <f t="shared" si="144"/>
        <v>160.89033897370015</v>
      </c>
      <c r="AF336" s="227">
        <f t="shared" si="133"/>
        <v>-8.7075360197305223</v>
      </c>
      <c r="AG336" s="227">
        <f t="shared" si="134"/>
        <v>33.194661809040781</v>
      </c>
      <c r="AH336" s="229" t="str">
        <f t="shared" si="135"/>
        <v>0.252971511773439-0.087647012870722i</v>
      </c>
    </row>
    <row r="337" spans="9:34" x14ac:dyDescent="0.2">
      <c r="I337" s="227">
        <v>333</v>
      </c>
      <c r="J337" s="227">
        <f t="shared" si="123"/>
        <v>4.2467908014188724</v>
      </c>
      <c r="K337" s="227">
        <f t="shared" si="122"/>
        <v>17651.87329478523</v>
      </c>
      <c r="L337" s="227">
        <f t="shared" si="136"/>
        <v>110909.99092999026</v>
      </c>
      <c r="M337" s="227">
        <f t="shared" si="124"/>
        <v>12232.487590029115</v>
      </c>
      <c r="N337" s="227">
        <f>SQRT((ABS(AC337)-171.5+'Small Signal'!C$59)^2)</f>
        <v>26.906653239232043</v>
      </c>
      <c r="O337" s="227">
        <f t="shared" si="137"/>
        <v>32.173225311944805</v>
      </c>
      <c r="P337" s="227">
        <f t="shared" si="138"/>
        <v>8.8342491406579988</v>
      </c>
      <c r="Q337" s="227">
        <f t="shared" si="121"/>
        <v>17651.87329478523</v>
      </c>
      <c r="R337" s="227" t="str">
        <f t="shared" si="125"/>
        <v>0.0945666666666667+0.521276957370954i</v>
      </c>
      <c r="S337" s="227" t="str">
        <f t="shared" si="126"/>
        <v>0.0085-0.345305882899227i</v>
      </c>
      <c r="T337" s="227" t="str">
        <f t="shared" si="127"/>
        <v>0.0175787700697577-0.344618435651693i</v>
      </c>
      <c r="U337" s="227" t="str">
        <f t="shared" si="128"/>
        <v>-3.76922884669737+1.9750958145142i</v>
      </c>
      <c r="V337" s="227">
        <f t="shared" si="139"/>
        <v>12.578726341530512</v>
      </c>
      <c r="W337" s="227">
        <f t="shared" si="140"/>
        <v>-207.65477579358986</v>
      </c>
      <c r="X337" s="227" t="str">
        <f t="shared" si="129"/>
        <v>0.997784258625315-0.0138617007426166i</v>
      </c>
      <c r="Y337" s="227" t="str">
        <f t="shared" si="130"/>
        <v>7.53668856972169-46.3305767758531i</v>
      </c>
      <c r="Z337" s="227" t="str">
        <f t="shared" si="131"/>
        <v>3.58164195723417-24.1278889220511i</v>
      </c>
      <c r="AA337" s="227" t="str">
        <f t="shared" si="132"/>
        <v>-0.840832223516819-1.06061321672633i</v>
      </c>
      <c r="AB337" s="227">
        <f t="shared" si="141"/>
        <v>2.6290157859014762</v>
      </c>
      <c r="AC337" s="227">
        <f t="shared" si="142"/>
        <v>-128.40665323923204</v>
      </c>
      <c r="AD337" s="229">
        <f t="shared" si="143"/>
        <v>-11.463264926559475</v>
      </c>
      <c r="AE337" s="229">
        <f t="shared" si="144"/>
        <v>160.57987855117685</v>
      </c>
      <c r="AF337" s="227">
        <f t="shared" si="133"/>
        <v>-8.8342491406579988</v>
      </c>
      <c r="AG337" s="227">
        <f t="shared" si="134"/>
        <v>32.173225311944805</v>
      </c>
      <c r="AH337" s="229" t="str">
        <f t="shared" si="135"/>
        <v>0.251998083731327-0.0888420192790294i</v>
      </c>
    </row>
    <row r="338" spans="9:34" x14ac:dyDescent="0.2">
      <c r="I338" s="227">
        <v>334</v>
      </c>
      <c r="J338" s="227">
        <f t="shared" si="123"/>
        <v>4.2565409239456553</v>
      </c>
      <c r="K338" s="227">
        <f t="shared" si="122"/>
        <v>18052.648407884331</v>
      </c>
      <c r="L338" s="227">
        <f t="shared" si="136"/>
        <v>113428.13523209777</v>
      </c>
      <c r="M338" s="227">
        <f t="shared" si="124"/>
        <v>12642.36205981392</v>
      </c>
      <c r="N338" s="227">
        <f>SQRT((ABS(AC338)-171.5+'Small Signal'!C$59)^2)</f>
        <v>27.618020359927044</v>
      </c>
      <c r="O338" s="227">
        <f t="shared" si="137"/>
        <v>31.143558648963932</v>
      </c>
      <c r="P338" s="227">
        <f t="shared" si="138"/>
        <v>8.9594847831808853</v>
      </c>
      <c r="Q338" s="227">
        <f t="shared" si="121"/>
        <v>18052.648407884331</v>
      </c>
      <c r="R338" s="227" t="str">
        <f t="shared" si="125"/>
        <v>0.0945666666666667+0.53311223559086i</v>
      </c>
      <c r="S338" s="227" t="str">
        <f t="shared" si="126"/>
        <v>0.0085-0.337639971441478i</v>
      </c>
      <c r="T338" s="227" t="str">
        <f t="shared" si="127"/>
        <v>0.0171801634899829-0.336978059930264i</v>
      </c>
      <c r="U338" s="227" t="str">
        <f t="shared" si="128"/>
        <v>-3.60688587151626+1.96218173296206i</v>
      </c>
      <c r="V338" s="227">
        <f t="shared" si="139"/>
        <v>12.268519765426991</v>
      </c>
      <c r="W338" s="227">
        <f t="shared" si="140"/>
        <v>-208.54662978368319</v>
      </c>
      <c r="X338" s="227" t="str">
        <f t="shared" si="129"/>
        <v>0.997682502296614-0.014176422278971i</v>
      </c>
      <c r="Y338" s="227" t="str">
        <f t="shared" si="130"/>
        <v>7.19097075272587-45.2935615917305i</v>
      </c>
      <c r="Z338" s="227" t="str">
        <f t="shared" si="131"/>
        <v>3.40168751101289-23.5853360569129i</v>
      </c>
      <c r="AA338" s="227" t="str">
        <f t="shared" si="132"/>
        <v>-0.843430809743952-1.0371747102504i</v>
      </c>
      <c r="AB338" s="227">
        <f t="shared" si="141"/>
        <v>2.5215053415732811</v>
      </c>
      <c r="AC338" s="227">
        <f t="shared" si="142"/>
        <v>-129.11802035992704</v>
      </c>
      <c r="AD338" s="229">
        <f t="shared" si="143"/>
        <v>-11.480990124754166</v>
      </c>
      <c r="AE338" s="229">
        <f t="shared" si="144"/>
        <v>160.26157900889098</v>
      </c>
      <c r="AF338" s="227">
        <f t="shared" si="133"/>
        <v>-8.9594847831808853</v>
      </c>
      <c r="AG338" s="227">
        <f t="shared" si="134"/>
        <v>31.143558648963932</v>
      </c>
      <c r="AH338" s="229" t="str">
        <f t="shared" si="135"/>
        <v>0.250987935691094-0.0900566198269759i</v>
      </c>
    </row>
    <row r="339" spans="9:34" x14ac:dyDescent="0.2">
      <c r="I339" s="227">
        <v>335</v>
      </c>
      <c r="J339" s="227">
        <f t="shared" si="123"/>
        <v>4.2662910464724391</v>
      </c>
      <c r="K339" s="227">
        <f t="shared" si="122"/>
        <v>18462.522877669137</v>
      </c>
      <c r="L339" s="227">
        <f t="shared" si="136"/>
        <v>116003.4524784377</v>
      </c>
      <c r="M339" s="227">
        <f t="shared" si="124"/>
        <v>13061.542481677618</v>
      </c>
      <c r="N339" s="227">
        <f>SQRT((ABS(AC339)-171.5+'Small Signal'!C$59)^2)</f>
        <v>28.329502285468237</v>
      </c>
      <c r="O339" s="227">
        <f t="shared" si="137"/>
        <v>30.105897944620864</v>
      </c>
      <c r="P339" s="227">
        <f t="shared" si="138"/>
        <v>9.0832556443381058</v>
      </c>
      <c r="Q339" s="227">
        <f t="shared" si="121"/>
        <v>18462.522877669137</v>
      </c>
      <c r="R339" s="227" t="str">
        <f t="shared" si="125"/>
        <v>0.0945666666666667+0.545216226648657i</v>
      </c>
      <c r="S339" s="227" t="str">
        <f t="shared" si="126"/>
        <v>0.0085-0.330144245901166i</v>
      </c>
      <c r="T339" s="227" t="str">
        <f t="shared" si="127"/>
        <v>0.0167990361356533-0.329506634605185i</v>
      </c>
      <c r="U339" s="227" t="str">
        <f t="shared" si="128"/>
        <v>-3.45163610911074+1.94744484086675i</v>
      </c>
      <c r="V339" s="227">
        <f t="shared" si="139"/>
        <v>11.960748075478154</v>
      </c>
      <c r="W339" s="227">
        <f t="shared" si="140"/>
        <v>-209.43209100987841</v>
      </c>
      <c r="X339" s="227" t="str">
        <f t="shared" si="129"/>
        <v>0.997576072881718-0.0144982893775681i</v>
      </c>
      <c r="Y339" s="227" t="str">
        <f t="shared" si="130"/>
        <v>6.86170267930345-44.279884588228i</v>
      </c>
      <c r="Z339" s="227" t="str">
        <f t="shared" si="131"/>
        <v>3.23029762252469-23.0549457896326i</v>
      </c>
      <c r="AA339" s="227" t="str">
        <f t="shared" si="132"/>
        <v>-0.845924021307262-1.0142471469635i</v>
      </c>
      <c r="AB339" s="227">
        <f t="shared" si="141"/>
        <v>2.416173776040516</v>
      </c>
      <c r="AC339" s="227">
        <f t="shared" si="142"/>
        <v>-129.82950228546824</v>
      </c>
      <c r="AD339" s="229">
        <f t="shared" si="143"/>
        <v>-11.499429420378622</v>
      </c>
      <c r="AE339" s="229">
        <f t="shared" si="144"/>
        <v>159.9354002300891</v>
      </c>
      <c r="AF339" s="227">
        <f t="shared" si="133"/>
        <v>-9.0832556443381058</v>
      </c>
      <c r="AG339" s="227">
        <f t="shared" si="134"/>
        <v>30.105897944620864</v>
      </c>
      <c r="AH339" s="229" t="str">
        <f t="shared" si="135"/>
        <v>0.249940026698456-0.0912899948114826i</v>
      </c>
    </row>
    <row r="340" spans="9:34" x14ac:dyDescent="0.2">
      <c r="I340" s="227">
        <v>336</v>
      </c>
      <c r="J340" s="227">
        <f t="shared" si="123"/>
        <v>4.2760411689992228</v>
      </c>
      <c r="K340" s="227">
        <f t="shared" si="122"/>
        <v>18881.703299532834</v>
      </c>
      <c r="L340" s="227">
        <f t="shared" si="136"/>
        <v>118637.24074614901</v>
      </c>
      <c r="M340" s="227">
        <f t="shared" si="124"/>
        <v>13490.240141636998</v>
      </c>
      <c r="N340" s="227">
        <f>SQRT((ABS(AC340)-171.5+'Small Signal'!C$59)^2)</f>
        <v>29.040818405099373</v>
      </c>
      <c r="O340" s="227">
        <f t="shared" si="137"/>
        <v>29.060486564518271</v>
      </c>
      <c r="P340" s="227">
        <f t="shared" si="138"/>
        <v>9.2055772078813387</v>
      </c>
      <c r="Q340" s="227">
        <f t="shared" si="121"/>
        <v>18881.703299532834</v>
      </c>
      <c r="R340" s="227" t="str">
        <f t="shared" si="125"/>
        <v>0.0945666666666667+0.5575950315069i</v>
      </c>
      <c r="S340" s="227" t="str">
        <f t="shared" si="126"/>
        <v>0.0085-0.32281492809136i</v>
      </c>
      <c r="T340" s="227" t="str">
        <f t="shared" si="127"/>
        <v>0.0164346224820903-0.322200452407176i</v>
      </c>
      <c r="U340" s="227" t="str">
        <f t="shared" si="128"/>
        <v>-3.30317372268488+1.93107296801605i</v>
      </c>
      <c r="V340" s="227">
        <f t="shared" si="139"/>
        <v>11.65541060407798</v>
      </c>
      <c r="W340" s="227">
        <f t="shared" si="140"/>
        <v>-210.31104247699918</v>
      </c>
      <c r="X340" s="227" t="str">
        <f t="shared" si="129"/>
        <v>0.997464755772504-0.0148274642740792i</v>
      </c>
      <c r="Y340" s="227" t="str">
        <f t="shared" si="130"/>
        <v>6.54805332758357-43.289033027915i</v>
      </c>
      <c r="Z340" s="227" t="str">
        <f t="shared" si="131"/>
        <v>3.06703944811963-22.5364492003513i</v>
      </c>
      <c r="AA340" s="227" t="str">
        <f t="shared" si="132"/>
        <v>-0.848316808630928-0.991819704958217i</v>
      </c>
      <c r="AB340" s="227">
        <f t="shared" si="141"/>
        <v>2.3130331734216152</v>
      </c>
      <c r="AC340" s="227">
        <f t="shared" si="142"/>
        <v>-130.54081840509937</v>
      </c>
      <c r="AD340" s="229">
        <f t="shared" si="143"/>
        <v>-11.518610381302954</v>
      </c>
      <c r="AE340" s="229">
        <f t="shared" si="144"/>
        <v>159.60130496961764</v>
      </c>
      <c r="AF340" s="227">
        <f t="shared" si="133"/>
        <v>-9.2055772078813387</v>
      </c>
      <c r="AG340" s="227">
        <f t="shared" si="134"/>
        <v>29.060486564518271</v>
      </c>
      <c r="AH340" s="229" t="str">
        <f t="shared" si="135"/>
        <v>0.248853315496665-0.0925412667015439i</v>
      </c>
    </row>
    <row r="341" spans="9:34" x14ac:dyDescent="0.2">
      <c r="I341" s="227">
        <v>337</v>
      </c>
      <c r="J341" s="227">
        <f t="shared" si="123"/>
        <v>4.2857912915260057</v>
      </c>
      <c r="K341" s="227">
        <f t="shared" si="122"/>
        <v>19310.400959492214</v>
      </c>
      <c r="L341" s="227">
        <f t="shared" si="136"/>
        <v>121330.82758442806</v>
      </c>
      <c r="M341" s="227">
        <f t="shared" si="124"/>
        <v>13928.671122830125</v>
      </c>
      <c r="N341" s="227">
        <f>SQRT((ABS(AC341)-171.5+'Small Signal'!C$59)^2)</f>
        <v>29.751684529926962</v>
      </c>
      <c r="O341" s="227">
        <f t="shared" si="137"/>
        <v>28.007574621386055</v>
      </c>
      <c r="P341" s="227">
        <f t="shared" si="138"/>
        <v>9.326467775520598</v>
      </c>
      <c r="Q341" s="227">
        <f t="shared" si="121"/>
        <v>19310.400959492214</v>
      </c>
      <c r="R341" s="227" t="str">
        <f t="shared" si="125"/>
        <v>0.0945666666666667+0.570254889646812i</v>
      </c>
      <c r="S341" s="227" t="str">
        <f t="shared" si="126"/>
        <v>0.0085-0.315648323702201i</v>
      </c>
      <c r="T341" s="227" t="str">
        <f t="shared" si="127"/>
        <v>0.0160861904498644-0.315055885543513i</v>
      </c>
      <c r="U341" s="227" t="str">
        <f t="shared" si="128"/>
        <v>-3.16120548122656+1.91323913419512i</v>
      </c>
      <c r="V341" s="227">
        <f t="shared" si="139"/>
        <v>11.35250486022337</v>
      </c>
      <c r="W341" s="227">
        <f t="shared" si="140"/>
        <v>-211.18335525440114</v>
      </c>
      <c r="X341" s="227" t="str">
        <f t="shared" si="129"/>
        <v>0.997348326505128-0.0151641128876387i</v>
      </c>
      <c r="Y341" s="227" t="str">
        <f t="shared" si="130"/>
        <v>6.24923742724152-42.3205023020943i</v>
      </c>
      <c r="Z341" s="227" t="str">
        <f t="shared" si="131"/>
        <v>2.91150398804367-22.0295816473698i</v>
      </c>
      <c r="AA341" s="227" t="str">
        <f t="shared" si="132"/>
        <v>-0.850613926529954-0.969881764687514i</v>
      </c>
      <c r="AB341" s="227">
        <f t="shared" si="141"/>
        <v>2.2120935106661439</v>
      </c>
      <c r="AC341" s="227">
        <f t="shared" si="142"/>
        <v>-131.25168452992696</v>
      </c>
      <c r="AD341" s="229">
        <f t="shared" si="143"/>
        <v>-11.538561286186741</v>
      </c>
      <c r="AE341" s="229">
        <f t="shared" si="144"/>
        <v>159.25925915131302</v>
      </c>
      <c r="AF341" s="227">
        <f t="shared" si="133"/>
        <v>-9.326467775520598</v>
      </c>
      <c r="AG341" s="227">
        <f t="shared" si="134"/>
        <v>28.007574621386055</v>
      </c>
      <c r="AH341" s="229" t="str">
        <f t="shared" si="135"/>
        <v>0.247726763415834-0.093809498007252i</v>
      </c>
    </row>
    <row r="342" spans="9:34" x14ac:dyDescent="0.2">
      <c r="I342" s="227">
        <v>338</v>
      </c>
      <c r="J342" s="227">
        <f t="shared" si="123"/>
        <v>4.2955414140527886</v>
      </c>
      <c r="K342" s="227">
        <f t="shared" si="122"/>
        <v>19748.831940685341</v>
      </c>
      <c r="L342" s="227">
        <f t="shared" si="136"/>
        <v>124085.57068367305</v>
      </c>
      <c r="M342" s="227">
        <f t="shared" si="124"/>
        <v>14377.056414432092</v>
      </c>
      <c r="N342" s="227">
        <f>SQRT((ABS(AC342)-171.5+'Small Signal'!C$59)^2)</f>
        <v>30.461813702741523</v>
      </c>
      <c r="O342" s="227">
        <f t="shared" si="137"/>
        <v>26.947418471916876</v>
      </c>
      <c r="P342" s="227">
        <f t="shared" si="138"/>
        <v>9.4459484875619921</v>
      </c>
      <c r="Q342" s="227">
        <f t="shared" si="121"/>
        <v>19748.831940685341</v>
      </c>
      <c r="R342" s="227" t="str">
        <f t="shared" si="125"/>
        <v>0.0945666666666667+0.583202182213263i</v>
      </c>
      <c r="S342" s="227" t="str">
        <f t="shared" si="126"/>
        <v>0.0085-0.3086408204388i</v>
      </c>
      <c r="T342" s="227" t="str">
        <f t="shared" si="127"/>
        <v>0.0157530399506255-0.308069384117013i</v>
      </c>
      <c r="U342" s="227" t="str">
        <f t="shared" si="128"/>
        <v>-3.02545032155694+1.89410267876259i</v>
      </c>
      <c r="V342" s="227">
        <f t="shared" si="139"/>
        <v>11.052026501168648</v>
      </c>
      <c r="W342" s="227">
        <f t="shared" si="140"/>
        <v>-212.04888969898889</v>
      </c>
      <c r="X342" s="227" t="str">
        <f t="shared" si="129"/>
        <v>0.997226550307403-0.0155084049044744i</v>
      </c>
      <c r="Y342" s="227" t="str">
        <f t="shared" si="130"/>
        <v>5.9645126707827-41.37379629174i</v>
      </c>
      <c r="Z342" s="227" t="str">
        <f t="shared" si="131"/>
        <v>2.76330463198658-21.5340829515557i</v>
      </c>
      <c r="AA342" s="227" t="str">
        <f t="shared" si="132"/>
        <v>-0.852819943239858-0.948422906643464i</v>
      </c>
      <c r="AB342" s="227">
        <f t="shared" si="141"/>
        <v>2.1133626350276371</v>
      </c>
      <c r="AC342" s="227">
        <f t="shared" si="142"/>
        <v>-131.96181370274152</v>
      </c>
      <c r="AD342" s="229">
        <f t="shared" si="143"/>
        <v>-11.55931112258963</v>
      </c>
      <c r="AE342" s="229">
        <f t="shared" si="144"/>
        <v>158.9092321746584</v>
      </c>
      <c r="AF342" s="227">
        <f t="shared" si="133"/>
        <v>-9.4459484875619921</v>
      </c>
      <c r="AG342" s="227">
        <f t="shared" si="134"/>
        <v>26.947418471916876</v>
      </c>
      <c r="AH342" s="229" t="str">
        <f t="shared" si="135"/>
        <v>0.246559337498117-0.0950936892387962i</v>
      </c>
    </row>
    <row r="343" spans="9:34" x14ac:dyDescent="0.2">
      <c r="I343" s="227">
        <v>339</v>
      </c>
      <c r="J343" s="227">
        <f t="shared" si="123"/>
        <v>4.3052915365795723</v>
      </c>
      <c r="K343" s="227">
        <f t="shared" si="122"/>
        <v>20197.217232287308</v>
      </c>
      <c r="L343" s="227">
        <f t="shared" si="136"/>
        <v>126902.85855982197</v>
      </c>
      <c r="M343" s="227">
        <f t="shared" si="124"/>
        <v>14835.62202304367</v>
      </c>
      <c r="N343" s="227">
        <f>SQRT((ABS(AC343)-171.5+'Small Signal'!C$59)^2)</f>
        <v>31.170917021631681</v>
      </c>
      <c r="O343" s="227">
        <f t="shared" si="137"/>
        <v>25.880280208616455</v>
      </c>
      <c r="P343" s="227">
        <f t="shared" si="138"/>
        <v>9.5640433325193737</v>
      </c>
      <c r="Q343" s="227">
        <f t="shared" si="121"/>
        <v>20197.217232287308</v>
      </c>
      <c r="R343" s="227" t="str">
        <f t="shared" si="125"/>
        <v>0.0945666666666667+0.596443435231163i</v>
      </c>
      <c r="S343" s="227" t="str">
        <f t="shared" si="126"/>
        <v>0.0085-0.301788886200478i</v>
      </c>
      <c r="T343" s="227" t="str">
        <f t="shared" si="127"/>
        <v>0.0154345014955549-0.301237474568245i</v>
      </c>
      <c r="U343" s="227" t="str">
        <f t="shared" si="128"/>
        <v>-2.89563891372615+1.87381030206646i</v>
      </c>
      <c r="V343" s="227">
        <f t="shared" si="139"/>
        <v>10.753969311455778</v>
      </c>
      <c r="W343" s="227">
        <f t="shared" si="140"/>
        <v>-212.90749666500011</v>
      </c>
      <c r="X343" s="227" t="str">
        <f t="shared" si="129"/>
        <v>0.997099181625399-0.0158605138634376i</v>
      </c>
      <c r="Y343" s="227" t="str">
        <f t="shared" si="130"/>
        <v>5.69317711124475-40.4484276471674i</v>
      </c>
      <c r="Z343" s="227" t="str">
        <f t="shared" si="131"/>
        <v>2.62207580194121-21.0496975386061i</v>
      </c>
      <c r="AA343" s="227" t="str">
        <f t="shared" si="132"/>
        <v>-0.854939249120345-0.927432908932342i</v>
      </c>
      <c r="AB343" s="227">
        <f t="shared" si="141"/>
        <v>2.016846250227244</v>
      </c>
      <c r="AC343" s="227">
        <f t="shared" si="142"/>
        <v>-132.67091702163168</v>
      </c>
      <c r="AD343" s="229">
        <f t="shared" si="143"/>
        <v>-11.580889582746618</v>
      </c>
      <c r="AE343" s="229">
        <f t="shared" si="144"/>
        <v>158.55119723024814</v>
      </c>
      <c r="AF343" s="227">
        <f t="shared" si="133"/>
        <v>-9.5640433325193737</v>
      </c>
      <c r="AG343" s="227">
        <f t="shared" si="134"/>
        <v>25.880280208616455</v>
      </c>
      <c r="AH343" s="229" t="str">
        <f t="shared" si="135"/>
        <v>0.245350013863439-0.0963927769759657i</v>
      </c>
    </row>
    <row r="344" spans="9:34" x14ac:dyDescent="0.2">
      <c r="I344" s="227">
        <v>340</v>
      </c>
      <c r="J344" s="227">
        <f t="shared" si="123"/>
        <v>4.3150416591063561</v>
      </c>
      <c r="K344" s="227">
        <f t="shared" si="122"/>
        <v>20655.782840898886</v>
      </c>
      <c r="L344" s="227">
        <f t="shared" si="136"/>
        <v>129784.11125422809</v>
      </c>
      <c r="M344" s="227">
        <f t="shared" si="124"/>
        <v>15304.599086608814</v>
      </c>
      <c r="N344" s="227">
        <f>SQRT((ABS(AC344)-171.5+'Small Signal'!C$59)^2)</f>
        <v>31.8787044725496</v>
      </c>
      <c r="O344" s="227">
        <f t="shared" si="137"/>
        <v>24.806427150951436</v>
      </c>
      <c r="P344" s="227">
        <f t="shared" si="138"/>
        <v>9.6807791453505629</v>
      </c>
      <c r="Q344" s="227">
        <f t="shared" si="121"/>
        <v>20655.782840898886</v>
      </c>
      <c r="R344" s="227" t="str">
        <f t="shared" si="125"/>
        <v>0.0945666666666667+0.609985322894872i</v>
      </c>
      <c r="S344" s="227" t="str">
        <f t="shared" si="126"/>
        <v>0.0085-0.295089067300431i</v>
      </c>
      <c r="T344" s="227" t="str">
        <f t="shared" si="127"/>
        <v>0.015129934863795-0.294556758141221i</v>
      </c>
      <c r="U344" s="227" t="str">
        <f t="shared" si="128"/>
        <v>-2.77151323177168+1.85249702583151i</v>
      </c>
      <c r="V344" s="227">
        <f t="shared" si="139"/>
        <v>10.458325189671339</v>
      </c>
      <c r="W344" s="227">
        <f t="shared" si="140"/>
        <v>-213.75901869738584</v>
      </c>
      <c r="X344" s="227" t="str">
        <f t="shared" si="129"/>
        <v>0.9969659636283-0.0162206172434742i</v>
      </c>
      <c r="Y344" s="227" t="str">
        <f t="shared" si="130"/>
        <v>5.43456673319311-39.5439179974649i</v>
      </c>
      <c r="Z344" s="227" t="str">
        <f t="shared" si="131"/>
        <v>2.48747168551541-20.5761745448997i</v>
      </c>
      <c r="AA344" s="227" t="str">
        <f t="shared" si="132"/>
        <v>-0.856976065046565-0.906901744756883i</v>
      </c>
      <c r="AB344" s="227">
        <f t="shared" si="141"/>
        <v>1.9225479114881663</v>
      </c>
      <c r="AC344" s="227">
        <f t="shared" si="142"/>
        <v>-133.3787044725496</v>
      </c>
      <c r="AD344" s="229">
        <f t="shared" si="143"/>
        <v>-11.603327056838729</v>
      </c>
      <c r="AE344" s="229">
        <f t="shared" si="144"/>
        <v>158.18513162350104</v>
      </c>
      <c r="AF344" s="227">
        <f t="shared" si="133"/>
        <v>-9.6807791453505629</v>
      </c>
      <c r="AG344" s="227">
        <f t="shared" si="134"/>
        <v>24.806427150951436</v>
      </c>
      <c r="AH344" s="229" t="str">
        <f t="shared" si="135"/>
        <v>0.244097781319043-0.0977056320701375i</v>
      </c>
    </row>
    <row r="345" spans="9:34" x14ac:dyDescent="0.2">
      <c r="I345" s="227">
        <v>341</v>
      </c>
      <c r="J345" s="227">
        <f t="shared" si="123"/>
        <v>4.3247917816331398</v>
      </c>
      <c r="K345" s="227">
        <f t="shared" si="122"/>
        <v>21124.75990446403</v>
      </c>
      <c r="L345" s="227">
        <f t="shared" si="136"/>
        <v>132730.78104942484</v>
      </c>
      <c r="M345" s="227">
        <f t="shared" si="124"/>
        <v>15784.223990918814</v>
      </c>
      <c r="N345" s="227">
        <f>SQRT((ABS(AC345)-171.5+'Small Signal'!C$59)^2)</f>
        <v>32.584885765885815</v>
      </c>
      <c r="O345" s="227">
        <f t="shared" si="137"/>
        <v>23.726131340071561</v>
      </c>
      <c r="P345" s="227">
        <f t="shared" si="138"/>
        <v>9.7961855940444025</v>
      </c>
      <c r="Q345" s="227">
        <f t="shared" si="121"/>
        <v>21124.75990446403</v>
      </c>
      <c r="R345" s="227" t="str">
        <f t="shared" si="125"/>
        <v>0.0945666666666667+0.623834670932297i</v>
      </c>
      <c r="S345" s="227" t="str">
        <f t="shared" si="126"/>
        <v>0.0085-0.288537986724908i</v>
      </c>
      <c r="T345" s="227" t="str">
        <f t="shared" si="127"/>
        <v>0.0148387278283167-0.288023909372749i</v>
      </c>
      <c r="U345" s="227" t="str">
        <f t="shared" si="128"/>
        <v>-2.65282613147383+1.83028707905876i</v>
      </c>
      <c r="V345" s="227">
        <f t="shared" si="139"/>
        <v>10.16508414318703</v>
      </c>
      <c r="W345" s="227">
        <f t="shared" si="140"/>
        <v>-214.60329120540831</v>
      </c>
      <c r="X345" s="227" t="str">
        <f t="shared" si="129"/>
        <v>0.996826627690516-0.0165888965530822i</v>
      </c>
      <c r="Y345" s="227" t="str">
        <f t="shared" si="130"/>
        <v>5.18805318478812-38.6597980993568i</v>
      </c>
      <c r="Z345" s="227" t="str">
        <f t="shared" si="131"/>
        <v>2.35916505331058-20.1132678919645i</v>
      </c>
      <c r="AA345" s="227" t="str">
        <f t="shared" si="132"/>
        <v>-0.858934450500964-0.886819579815415i</v>
      </c>
      <c r="AB345" s="227">
        <f t="shared" si="141"/>
        <v>1.8304690295440997</v>
      </c>
      <c r="AC345" s="227">
        <f t="shared" si="142"/>
        <v>-134.08488576588582</v>
      </c>
      <c r="AD345" s="229">
        <f t="shared" si="143"/>
        <v>-11.626654623588502</v>
      </c>
      <c r="AE345" s="229">
        <f t="shared" si="144"/>
        <v>157.81101710595738</v>
      </c>
      <c r="AF345" s="227">
        <f t="shared" si="133"/>
        <v>-9.7961855940444025</v>
      </c>
      <c r="AG345" s="227">
        <f t="shared" si="134"/>
        <v>23.726131340071561</v>
      </c>
      <c r="AH345" s="229" t="str">
        <f t="shared" si="135"/>
        <v>0.242801645214485-0.0990310580021273i</v>
      </c>
    </row>
    <row r="346" spans="9:34" x14ac:dyDescent="0.2">
      <c r="I346" s="227">
        <v>342</v>
      </c>
      <c r="J346" s="227">
        <f t="shared" si="123"/>
        <v>4.3345419041599236</v>
      </c>
      <c r="K346" s="227">
        <f t="shared" si="122"/>
        <v>21604.38480877403</v>
      </c>
      <c r="L346" s="227">
        <f t="shared" si="136"/>
        <v>135744.35320114283</v>
      </c>
      <c r="M346" s="227">
        <f t="shared" si="124"/>
        <v>16274.738488761377</v>
      </c>
      <c r="N346" s="227">
        <f>SQRT((ABS(AC346)-171.5+'Small Signal'!C$59)^2)</f>
        <v>33.28917117208394</v>
      </c>
      <c r="O346" s="227">
        <f t="shared" si="137"/>
        <v>22.639669041300323</v>
      </c>
      <c r="P346" s="227">
        <f t="shared" si="138"/>
        <v>9.9102951543529212</v>
      </c>
      <c r="Q346" s="227">
        <f t="shared" si="121"/>
        <v>21604.38480877403</v>
      </c>
      <c r="R346" s="227" t="str">
        <f t="shared" si="125"/>
        <v>0.0945666666666667+0.637998460045371i</v>
      </c>
      <c r="S346" s="227" t="str">
        <f t="shared" si="126"/>
        <v>0.0085-0.282132342431045i</v>
      </c>
      <c r="T346" s="227" t="str">
        <f t="shared" si="127"/>
        <v>0.0145602949367939-0.28163567460561i</v>
      </c>
      <c r="U346" s="227" t="str">
        <f t="shared" si="128"/>
        <v>-2.539340936416+1.80729471543522i</v>
      </c>
      <c r="V346" s="227">
        <f t="shared" si="139"/>
        <v>9.8742342910451235</v>
      </c>
      <c r="W346" s="227">
        <f t="shared" si="140"/>
        <v>-215.44014361295223</v>
      </c>
      <c r="X346" s="227" t="str">
        <f t="shared" si="129"/>
        <v>0.996680892850022-0.0169655374218004i</v>
      </c>
      <c r="Y346" s="227" t="str">
        <f t="shared" si="130"/>
        <v>4.95304165954638-37.7956079339273i</v>
      </c>
      <c r="Z346" s="227" t="str">
        <f t="shared" si="131"/>
        <v>2.2368461544231-19.6607363339423i</v>
      </c>
      <c r="AA346" s="227" t="str">
        <f t="shared" si="132"/>
        <v>-0.860818311379182-0.867176769627261i</v>
      </c>
      <c r="AB346" s="227">
        <f t="shared" si="141"/>
        <v>1.740608883655439</v>
      </c>
      <c r="AC346" s="227">
        <f t="shared" si="142"/>
        <v>-134.78917117208394</v>
      </c>
      <c r="AD346" s="229">
        <f t="shared" si="143"/>
        <v>-11.65090403800836</v>
      </c>
      <c r="AE346" s="229">
        <f t="shared" si="144"/>
        <v>157.42884021338426</v>
      </c>
      <c r="AF346" s="227">
        <f t="shared" si="133"/>
        <v>-9.9102951543529212</v>
      </c>
      <c r="AG346" s="227">
        <f t="shared" si="134"/>
        <v>22.639669041300323</v>
      </c>
      <c r="AH346" s="229" t="str">
        <f t="shared" si="135"/>
        <v>0.241460631541871-0.10036778942062i</v>
      </c>
    </row>
    <row r="347" spans="9:34" x14ac:dyDescent="0.2">
      <c r="I347" s="227">
        <v>343</v>
      </c>
      <c r="J347" s="227">
        <f t="shared" si="123"/>
        <v>4.3442920266867064</v>
      </c>
      <c r="K347" s="227">
        <f t="shared" si="122"/>
        <v>22094.899306616593</v>
      </c>
      <c r="L347" s="227">
        <f t="shared" si="136"/>
        <v>138826.34668694579</v>
      </c>
      <c r="M347" s="227">
        <f t="shared" si="124"/>
        <v>16776.389821775334</v>
      </c>
      <c r="N347" s="227">
        <f>SQRT((ABS(AC347)-171.5+'Small Signal'!C$59)^2)</f>
        <v>33.991272351330252</v>
      </c>
      <c r="O347" s="227">
        <f t="shared" si="137"/>
        <v>21.547320258464566</v>
      </c>
      <c r="P347" s="227">
        <f t="shared" si="138"/>
        <v>10.023143072545736</v>
      </c>
      <c r="Q347" s="227">
        <f t="shared" si="121"/>
        <v>22094.899306616593</v>
      </c>
      <c r="R347" s="227" t="str">
        <f t="shared" si="125"/>
        <v>0.0945666666666667+0.652483829428645i</v>
      </c>
      <c r="S347" s="227" t="str">
        <f t="shared" si="126"/>
        <v>0.0085-0.275868905682489i</v>
      </c>
      <c r="T347" s="227" t="str">
        <f t="shared" si="127"/>
        <v>0.0142940763451477-0.275388870525656i</v>
      </c>
      <c r="U347" s="227" t="str">
        <f t="shared" si="128"/>
        <v>-2.43083103338168+1.78362496775293i</v>
      </c>
      <c r="V347" s="227">
        <f t="shared" si="139"/>
        <v>9.585761875058294</v>
      </c>
      <c r="W347" s="227">
        <f t="shared" si="140"/>
        <v>-216.26940048194024</v>
      </c>
      <c r="X347" s="227" t="str">
        <f t="shared" si="129"/>
        <v>0.996528465241817-0.017350729693774i</v>
      </c>
      <c r="Y347" s="227" t="str">
        <f t="shared" si="130"/>
        <v>4.72896891722818-36.9508967586056i</v>
      </c>
      <c r="Z347" s="227" t="str">
        <f t="shared" si="131"/>
        <v>2.1202216845477-19.2183434818958i</v>
      </c>
      <c r="AA347" s="227" t="str">
        <f t="shared" si="132"/>
        <v>-0.862631407522352-0.847963856792541i</v>
      </c>
      <c r="AB347" s="227">
        <f t="shared" si="141"/>
        <v>1.6529646435850185</v>
      </c>
      <c r="AC347" s="227">
        <f t="shared" si="142"/>
        <v>-135.49127235133025</v>
      </c>
      <c r="AD347" s="229">
        <f t="shared" si="143"/>
        <v>-11.676107716130755</v>
      </c>
      <c r="AE347" s="229">
        <f t="shared" si="144"/>
        <v>157.03859260979482</v>
      </c>
      <c r="AF347" s="227">
        <f t="shared" si="133"/>
        <v>-10.023143072545736</v>
      </c>
      <c r="AG347" s="227">
        <f t="shared" si="134"/>
        <v>21.547320258464566</v>
      </c>
      <c r="AH347" s="229" t="str">
        <f t="shared" si="135"/>
        <v>0.240073791279051-0.101714490887132i</v>
      </c>
    </row>
    <row r="348" spans="9:34" x14ac:dyDescent="0.2">
      <c r="I348" s="227">
        <v>344</v>
      </c>
      <c r="J348" s="227">
        <f t="shared" si="123"/>
        <v>4.3540421492134893</v>
      </c>
      <c r="K348" s="227">
        <f t="shared" si="122"/>
        <v>22596.55063963055</v>
      </c>
      <c r="L348" s="227">
        <f t="shared" si="136"/>
        <v>141978.31497186614</v>
      </c>
      <c r="M348" s="227">
        <f t="shared" si="124"/>
        <v>17289.430845071347</v>
      </c>
      <c r="N348" s="227">
        <f>SQRT((ABS(AC348)-171.5+'Small Signal'!C$59)^2)</f>
        <v>34.690903172440869</v>
      </c>
      <c r="O348" s="227">
        <f t="shared" si="137"/>
        <v>20.449368263922167</v>
      </c>
      <c r="P348" s="227">
        <f t="shared" si="138"/>
        <v>10.13476731613672</v>
      </c>
      <c r="Q348" s="227">
        <f t="shared" si="121"/>
        <v>22596.55063963055</v>
      </c>
      <c r="R348" s="227" t="str">
        <f t="shared" si="125"/>
        <v>0.0945666666666667+0.667298080367771i</v>
      </c>
      <c r="S348" s="227" t="str">
        <f t="shared" si="126"/>
        <v>0.0085-0.269744519421959i</v>
      </c>
      <c r="T348" s="227" t="str">
        <f t="shared" si="127"/>
        <v>0.0140395367015218-0.269280382722864i</v>
      </c>
      <c r="U348" s="227" t="str">
        <f t="shared" si="128"/>
        <v>-2.32707947788391+1.75937434438043i</v>
      </c>
      <c r="V348" s="227">
        <f t="shared" si="139"/>
        <v>9.2996512791019814</v>
      </c>
      <c r="W348" s="227">
        <f t="shared" si="140"/>
        <v>-217.09088260525107</v>
      </c>
      <c r="X348" s="227" t="str">
        <f t="shared" si="129"/>
        <v>0.996369037505355-0.0177446675234449i</v>
      </c>
      <c r="Y348" s="227" t="str">
        <f t="shared" si="130"/>
        <v>4.51530143402738-36.1252231208548i</v>
      </c>
      <c r="Z348" s="227" t="str">
        <f t="shared" si="131"/>
        <v>2.00901382155185-18.7858578083038i</v>
      </c>
      <c r="AA348" s="227" t="str">
        <f t="shared" si="132"/>
        <v>-0.864377359988576-0.82917156819415i</v>
      </c>
      <c r="AB348" s="227">
        <f t="shared" si="141"/>
        <v>1.5675314004156184</v>
      </c>
      <c r="AC348" s="227">
        <f t="shared" si="142"/>
        <v>-136.19090317244087</v>
      </c>
      <c r="AD348" s="229">
        <f t="shared" si="143"/>
        <v>-11.702298716552338</v>
      </c>
      <c r="AE348" s="229">
        <f t="shared" si="144"/>
        <v>156.64027143636304</v>
      </c>
      <c r="AF348" s="227">
        <f t="shared" si="133"/>
        <v>-10.13476731613672</v>
      </c>
      <c r="AG348" s="227">
        <f t="shared" si="134"/>
        <v>20.449368263922167</v>
      </c>
      <c r="AH348" s="229" t="str">
        <f t="shared" si="135"/>
        <v>0.238640204971131-0.10306975585455i</v>
      </c>
    </row>
    <row r="349" spans="9:34" x14ac:dyDescent="0.2">
      <c r="I349" s="227">
        <v>345</v>
      </c>
      <c r="J349" s="227">
        <f t="shared" si="123"/>
        <v>4.3637922717402731</v>
      </c>
      <c r="K349" s="227">
        <f t="shared" si="122"/>
        <v>23109.591662926563</v>
      </c>
      <c r="L349" s="227">
        <f t="shared" si="136"/>
        <v>145201.84679142004</v>
      </c>
      <c r="M349" s="227">
        <f t="shared" si="124"/>
        <v>17814.120154682445</v>
      </c>
      <c r="N349" s="227">
        <f>SQRT((ABS(AC349)-171.5+'Small Signal'!C$59)^2)</f>
        <v>35.387780516189849</v>
      </c>
      <c r="O349" s="227">
        <f t="shared" si="137"/>
        <v>19.346099147898855</v>
      </c>
      <c r="P349" s="227">
        <f t="shared" si="138"/>
        <v>10.245208512611702</v>
      </c>
      <c r="Q349" s="227">
        <f t="shared" si="121"/>
        <v>23109.591662926563</v>
      </c>
      <c r="R349" s="227" t="str">
        <f t="shared" si="125"/>
        <v>0.0945666666666667+0.682448679919674i</v>
      </c>
      <c r="S349" s="227" t="str">
        <f t="shared" si="126"/>
        <v>0.0085-0.263756096679953i</v>
      </c>
      <c r="T349" s="227" t="str">
        <f t="shared" si="127"/>
        <v>0.0137961640785428-0.263307164276401i</v>
      </c>
      <c r="U349" s="227" t="str">
        <f t="shared" si="128"/>
        <v>-2.2278786104253+1.73463147241085i</v>
      </c>
      <c r="V349" s="227">
        <f t="shared" si="139"/>
        <v>9.0158850564927953</v>
      </c>
      <c r="W349" s="227">
        <f t="shared" si="140"/>
        <v>-217.90440806556245</v>
      </c>
      <c r="X349" s="227" t="str">
        <f t="shared" si="129"/>
        <v>0.996202288164784-0.0181475494734143i</v>
      </c>
      <c r="Y349" s="227" t="str">
        <f t="shared" si="130"/>
        <v>4.3115336729497-35.3181548392095i</v>
      </c>
      <c r="Z349" s="227" t="str">
        <f t="shared" si="131"/>
        <v>1.90295932376098-18.3630526346775i</v>
      </c>
      <c r="AA349" s="227" t="str">
        <f t="shared" si="132"/>
        <v>-0.866059658075621-0.810790812148843i</v>
      </c>
      <c r="AB349" s="227">
        <f t="shared" si="141"/>
        <v>1.484302206015665</v>
      </c>
      <c r="AC349" s="227">
        <f t="shared" si="142"/>
        <v>-136.88778051618985</v>
      </c>
      <c r="AD349" s="229">
        <f t="shared" si="143"/>
        <v>-11.729510718627367</v>
      </c>
      <c r="AE349" s="229">
        <f t="shared" si="144"/>
        <v>156.2338796640887</v>
      </c>
      <c r="AF349" s="227">
        <f t="shared" si="133"/>
        <v>-10.245208512611702</v>
      </c>
      <c r="AG349" s="227">
        <f t="shared" si="134"/>
        <v>19.346099147898855</v>
      </c>
      <c r="AH349" s="229" t="str">
        <f t="shared" si="135"/>
        <v>0.237158987543148-0.104432105907243i</v>
      </c>
    </row>
    <row r="350" spans="9:34" x14ac:dyDescent="0.2">
      <c r="I350" s="227">
        <v>346</v>
      </c>
      <c r="J350" s="227">
        <f t="shared" si="123"/>
        <v>4.3735423942670568</v>
      </c>
      <c r="K350" s="227">
        <f t="shared" si="122"/>
        <v>23634.280972537661</v>
      </c>
      <c r="L350" s="227">
        <f t="shared" si="136"/>
        <v>148498.5669524027</v>
      </c>
      <c r="M350" s="227">
        <f t="shared" si="124"/>
        <v>18350.722217908387</v>
      </c>
      <c r="N350" s="227">
        <f>SQRT((ABS(AC350)-171.5+'Small Signal'!C$59)^2)</f>
        <v>36.081625058508536</v>
      </c>
      <c r="O350" s="227">
        <f t="shared" si="137"/>
        <v>18.237801390427393</v>
      </c>
      <c r="P350" s="227">
        <f t="shared" si="138"/>
        <v>10.354509876259694</v>
      </c>
      <c r="Q350" s="227">
        <f t="shared" si="121"/>
        <v>23634.280972537661</v>
      </c>
      <c r="R350" s="227" t="str">
        <f t="shared" si="125"/>
        <v>0.0945666666666667+0.697943264676293i</v>
      </c>
      <c r="S350" s="227" t="str">
        <f t="shared" si="126"/>
        <v>0.0085-0.257900619018774i</v>
      </c>
      <c r="T350" s="227" t="str">
        <f t="shared" si="127"/>
        <v>0.0135634689518054-0.257466234363643i</v>
      </c>
      <c r="U350" s="227" t="str">
        <f t="shared" si="128"/>
        <v>-2.13302968391805+1.70947769172746i</v>
      </c>
      <c r="V350" s="227">
        <f t="shared" si="139"/>
        <v>8.7344439652627734</v>
      </c>
      <c r="W350" s="227">
        <f t="shared" si="140"/>
        <v>-218.70979325665198</v>
      </c>
      <c r="X350" s="227" t="str">
        <f t="shared" si="129"/>
        <v>0.996027880980701-0.0185595786145269i</v>
      </c>
      <c r="Y350" s="227" t="str">
        <f t="shared" si="130"/>
        <v>4.11718646592083-34.5292689565744i</v>
      </c>
      <c r="Z350" s="227" t="str">
        <f t="shared" si="131"/>
        <v>1.8018086865372-17.9497061048476i</v>
      </c>
      <c r="AA350" s="227" t="str">
        <f t="shared" si="132"/>
        <v>-0.867681666106855-0.79281267551383i</v>
      </c>
      <c r="AB350" s="227">
        <f t="shared" si="141"/>
        <v>1.4032681208916287</v>
      </c>
      <c r="AC350" s="227">
        <f t="shared" si="142"/>
        <v>-137.58162505850854</v>
      </c>
      <c r="AD350" s="229">
        <f t="shared" si="143"/>
        <v>-11.757777997151322</v>
      </c>
      <c r="AE350" s="229">
        <f t="shared" si="144"/>
        <v>155.81942644893593</v>
      </c>
      <c r="AF350" s="227">
        <f t="shared" si="133"/>
        <v>-10.354509876259694</v>
      </c>
      <c r="AG350" s="227">
        <f t="shared" si="134"/>
        <v>18.237801390427393</v>
      </c>
      <c r="AH350" s="229" t="str">
        <f t="shared" si="135"/>
        <v>0.235629293333969-0.105799990291481i</v>
      </c>
    </row>
    <row r="351" spans="9:34" x14ac:dyDescent="0.2">
      <c r="I351" s="227">
        <v>347</v>
      </c>
      <c r="J351" s="227">
        <f t="shared" si="123"/>
        <v>4.3832925167938397</v>
      </c>
      <c r="K351" s="227">
        <f t="shared" si="122"/>
        <v>24170.883035763603</v>
      </c>
      <c r="L351" s="227">
        <f t="shared" si="136"/>
        <v>151870.13715186619</v>
      </c>
      <c r="M351" s="227">
        <f t="shared" si="124"/>
        <v>18899.50750661912</v>
      </c>
      <c r="N351" s="227">
        <f>SQRT((ABS(AC351)-171.5+'Small Signal'!C$59)^2)</f>
        <v>36.772162029229349</v>
      </c>
      <c r="O351" s="227">
        <f t="shared" si="137"/>
        <v>17.124765458798578</v>
      </c>
      <c r="P351" s="227">
        <f t="shared" si="138"/>
        <v>10.462717123286982</v>
      </c>
      <c r="Q351" s="227">
        <f t="shared" si="121"/>
        <v>24170.883035763603</v>
      </c>
      <c r="R351" s="227" t="str">
        <f t="shared" si="125"/>
        <v>0.0945666666666667+0.713789644613771i</v>
      </c>
      <c r="S351" s="227" t="str">
        <f t="shared" si="126"/>
        <v>0.0085-0.252175135011096i</v>
      </c>
      <c r="T351" s="227" t="str">
        <f t="shared" si="127"/>
        <v>0.0133409832226101-0.251754676893122i</v>
      </c>
      <c r="U351" s="227" t="str">
        <f t="shared" si="128"/>
        <v>-2.04234250255249+1.68398760387687i</v>
      </c>
      <c r="V351" s="227">
        <f t="shared" si="139"/>
        <v>8.4553070110636916</v>
      </c>
      <c r="W351" s="227">
        <f t="shared" si="140"/>
        <v>-219.50685386384586</v>
      </c>
      <c r="X351" s="227" t="str">
        <f t="shared" si="129"/>
        <v>0.995845464272152-0.0189809626282285i</v>
      </c>
      <c r="Y351" s="227" t="str">
        <f t="shared" si="130"/>
        <v>3.93180549978076-33.7581516700822i</v>
      </c>
      <c r="Z351" s="227" t="str">
        <f t="shared" si="131"/>
        <v>1.70532535305577-17.5456011461527i</v>
      </c>
      <c r="AA351" s="227" t="str">
        <f t="shared" si="132"/>
        <v>-0.869246629992203-0.775228420754477i</v>
      </c>
      <c r="AB351" s="227">
        <f t="shared" si="141"/>
        <v>1.3244182700990146</v>
      </c>
      <c r="AC351" s="227">
        <f t="shared" si="142"/>
        <v>-138.27216202922935</v>
      </c>
      <c r="AD351" s="229">
        <f t="shared" si="143"/>
        <v>-11.787135393385997</v>
      </c>
      <c r="AE351" s="229">
        <f t="shared" si="144"/>
        <v>155.39692748802793</v>
      </c>
      <c r="AF351" s="227">
        <f t="shared" si="133"/>
        <v>-10.462717123286982</v>
      </c>
      <c r="AG351" s="227">
        <f t="shared" si="134"/>
        <v>17.124765458798578</v>
      </c>
      <c r="AH351" s="229" t="str">
        <f t="shared" si="135"/>
        <v>0.234050321338398-0.107171785765397i</v>
      </c>
    </row>
    <row r="352" spans="9:34" x14ac:dyDescent="0.2">
      <c r="I352" s="227">
        <v>348</v>
      </c>
      <c r="J352" s="227">
        <f t="shared" si="123"/>
        <v>4.3930426393206234</v>
      </c>
      <c r="K352" s="227">
        <f t="shared" si="122"/>
        <v>24719.668324474336</v>
      </c>
      <c r="L352" s="227">
        <f t="shared" si="136"/>
        <v>155318.25681468978</v>
      </c>
      <c r="M352" s="227">
        <f t="shared" si="124"/>
        <v>19460.752633584732</v>
      </c>
      <c r="N352" s="227">
        <f>SQRT((ABS(AC352)-171.5+'Small Signal'!C$59)^2)</f>
        <v>37.459121942308343</v>
      </c>
      <c r="O352" s="227">
        <f t="shared" si="137"/>
        <v>16.00728343304425</v>
      </c>
      <c r="P352" s="227">
        <f t="shared" si="138"/>
        <v>10.569878375459909</v>
      </c>
      <c r="Q352" s="227">
        <f t="shared" si="121"/>
        <v>24719.668324474336</v>
      </c>
      <c r="R352" s="227" t="str">
        <f t="shared" si="125"/>
        <v>0.0945666666666667+0.729995807029042i</v>
      </c>
      <c r="S352" s="227" t="str">
        <f t="shared" si="126"/>
        <v>0.0085-0.246576758752313i</v>
      </c>
      <c r="T352" s="227" t="str">
        <f t="shared" si="127"/>
        <v>0.0131282592830616-0.24616963916131i</v>
      </c>
      <c r="U352" s="227" t="str">
        <f t="shared" si="128"/>
        <v>-1.95563507228472+1.65822957931865i</v>
      </c>
      <c r="V352" s="227">
        <f t="shared" si="139"/>
        <v>8.1784514973661278</v>
      </c>
      <c r="W352" s="227">
        <f t="shared" si="140"/>
        <v>-220.29540580050289</v>
      </c>
      <c r="X352" s="227" t="str">
        <f t="shared" si="129"/>
        <v>0.995654670207488-0.0194119139112465i</v>
      </c>
      <c r="Y352" s="227" t="str">
        <f t="shared" si="130"/>
        <v>3.754959898892-33.0043982412467i</v>
      </c>
      <c r="Z352" s="227" t="str">
        <f t="shared" si="131"/>
        <v>1.61328497548203-17.1505254204688i</v>
      </c>
      <c r="AA352" s="227" t="str">
        <f t="shared" si="132"/>
        <v>-0.870757683575517-0.758029482978505i</v>
      </c>
      <c r="AB352" s="227">
        <f t="shared" si="141"/>
        <v>1.2477399068242545</v>
      </c>
      <c r="AC352" s="227">
        <f t="shared" si="142"/>
        <v>-138.95912194230834</v>
      </c>
      <c r="AD352" s="229">
        <f t="shared" si="143"/>
        <v>-11.817618282284164</v>
      </c>
      <c r="AE352" s="229">
        <f t="shared" si="144"/>
        <v>154.96640537535259</v>
      </c>
      <c r="AF352" s="227">
        <f t="shared" si="133"/>
        <v>-10.569878375459909</v>
      </c>
      <c r="AG352" s="227">
        <f t="shared" si="134"/>
        <v>16.00728343304425</v>
      </c>
      <c r="AH352" s="229" t="str">
        <f t="shared" si="135"/>
        <v>0.232421320641353-0.108545796797965i</v>
      </c>
    </row>
    <row r="353" spans="9:34" x14ac:dyDescent="0.2">
      <c r="I353" s="227">
        <v>349</v>
      </c>
      <c r="J353" s="227">
        <f t="shared" si="123"/>
        <v>4.4027927618474063</v>
      </c>
      <c r="K353" s="227">
        <f t="shared" si="122"/>
        <v>25280.913451439948</v>
      </c>
      <c r="L353" s="227">
        <f t="shared" si="136"/>
        <v>158844.66395016626</v>
      </c>
      <c r="M353" s="227">
        <f t="shared" si="124"/>
        <v>20034.740491901357</v>
      </c>
      <c r="N353" s="227">
        <f>SQRT((ABS(AC353)-171.5+'Small Signal'!C$59)^2)</f>
        <v>38.142241293800794</v>
      </c>
      <c r="O353" s="227">
        <f t="shared" si="137"/>
        <v>14.885648661488943</v>
      </c>
      <c r="P353" s="227">
        <f t="shared" si="138"/>
        <v>10.676044052594875</v>
      </c>
      <c r="Q353" s="227">
        <f t="shared" si="121"/>
        <v>25280.913451439948</v>
      </c>
      <c r="R353" s="227" t="str">
        <f t="shared" si="125"/>
        <v>0.0945666666666667+0.746569920565781i</v>
      </c>
      <c r="S353" s="227" t="str">
        <f t="shared" si="126"/>
        <v>0.0085-0.241102668405912i</v>
      </c>
      <c r="T353" s="227" t="str">
        <f t="shared" si="127"/>
        <v>0.0129248691217146-0.240708330533139i</v>
      </c>
      <c r="U353" s="227" t="str">
        <f t="shared" si="128"/>
        <v>-1.87273326301409+1.63226622632599i</v>
      </c>
      <c r="V353" s="227">
        <f t="shared" si="139"/>
        <v>7.9038530825513398</v>
      </c>
      <c r="W353" s="227">
        <f t="shared" si="140"/>
        <v>-221.07526609768419</v>
      </c>
      <c r="X353" s="227" t="str">
        <f t="shared" si="129"/>
        <v>0.995455114062655-0.0198526496826475i</v>
      </c>
      <c r="Y353" s="227" t="str">
        <f t="shared" si="130"/>
        <v>3.58624089762122-32.267612889671i</v>
      </c>
      <c r="Z353" s="227" t="str">
        <f t="shared" si="131"/>
        <v>1.52547472302974-16.7642712667704i</v>
      </c>
      <c r="AA353" s="227" t="str">
        <f t="shared" si="132"/>
        <v>-0.872217854779514-0.741207466941014i</v>
      </c>
      <c r="AB353" s="227">
        <f t="shared" si="141"/>
        <v>1.1732184831920018</v>
      </c>
      <c r="AC353" s="227">
        <f t="shared" si="142"/>
        <v>-139.64224129380079</v>
      </c>
      <c r="AD353" s="229">
        <f t="shared" si="143"/>
        <v>-11.849262535786877</v>
      </c>
      <c r="AE353" s="229">
        <f t="shared" si="144"/>
        <v>154.52788995528974</v>
      </c>
      <c r="AF353" s="227">
        <f t="shared" si="133"/>
        <v>-10.676044052594875</v>
      </c>
      <c r="AG353" s="227">
        <f t="shared" si="134"/>
        <v>14.885648661488943</v>
      </c>
      <c r="AH353" s="229" t="str">
        <f t="shared" si="135"/>
        <v>0.230741596024493-0.109920256146376i</v>
      </c>
    </row>
    <row r="354" spans="9:34" x14ac:dyDescent="0.2">
      <c r="I354" s="227">
        <v>350</v>
      </c>
      <c r="J354" s="227">
        <f t="shared" si="123"/>
        <v>4.4125428843741901</v>
      </c>
      <c r="K354" s="227">
        <f t="shared" si="122"/>
        <v>25854.901309756573</v>
      </c>
      <c r="L354" s="227">
        <f t="shared" si="136"/>
        <v>162451.13602804075</v>
      </c>
      <c r="M354" s="227">
        <f t="shared" si="124"/>
        <v>20621.760397581609</v>
      </c>
      <c r="N354" s="227">
        <f>SQRT((ABS(AC354)-171.5+'Small Signal'!C$59)^2)</f>
        <v>38.821263224212601</v>
      </c>
      <c r="O354" s="227">
        <f t="shared" si="137"/>
        <v>13.760155447922756</v>
      </c>
      <c r="P354" s="227">
        <f t="shared" si="138"/>
        <v>10.781266754272789</v>
      </c>
      <c r="Q354" s="227">
        <f t="shared" si="121"/>
        <v>25854.901309756573</v>
      </c>
      <c r="R354" s="227" t="str">
        <f t="shared" si="125"/>
        <v>0.0945666666666667+0.763520339331792i</v>
      </c>
      <c r="S354" s="227" t="str">
        <f t="shared" si="126"/>
        <v>0.0085-0.235750104781138i</v>
      </c>
      <c r="T354" s="227" t="str">
        <f t="shared" si="127"/>
        <v>0.0127304034680299-0.235368021146113i</v>
      </c>
      <c r="U354" s="227" t="str">
        <f t="shared" si="128"/>
        <v>-1.79347048244004+1.6061548245433i</v>
      </c>
      <c r="V354" s="227">
        <f t="shared" si="139"/>
        <v>7.6314858434403199</v>
      </c>
      <c r="W354" s="227">
        <f t="shared" si="140"/>
        <v>-221.84625374444235</v>
      </c>
      <c r="X354" s="227" t="str">
        <f t="shared" si="129"/>
        <v>0.995246393445424-0.0203033920933258i</v>
      </c>
      <c r="Y354" s="227" t="str">
        <f t="shared" si="130"/>
        <v>3.42526059644674-31.5474086731407i</v>
      </c>
      <c r="Z354" s="227" t="str">
        <f t="shared" si="131"/>
        <v>1.44169263363913-16.386635636689i</v>
      </c>
      <c r="AA354" s="227" t="str">
        <f t="shared" si="132"/>
        <v>-0.873630071559609-0.724754144024706i</v>
      </c>
      <c r="AB354" s="227">
        <f t="shared" si="141"/>
        <v>1.1008377278087551</v>
      </c>
      <c r="AC354" s="227">
        <f t="shared" si="142"/>
        <v>-140.3212632242126</v>
      </c>
      <c r="AD354" s="229">
        <f t="shared" si="143"/>
        <v>-11.882104482081544</v>
      </c>
      <c r="AE354" s="229">
        <f t="shared" si="144"/>
        <v>154.08141867213536</v>
      </c>
      <c r="AF354" s="227">
        <f t="shared" si="133"/>
        <v>-10.781266754272789</v>
      </c>
      <c r="AG354" s="227">
        <f t="shared" si="134"/>
        <v>13.760155447922756</v>
      </c>
      <c r="AH354" s="229" t="str">
        <f t="shared" si="135"/>
        <v>0.229010513722086-0.111293325840758i</v>
      </c>
    </row>
    <row r="355" spans="9:34" x14ac:dyDescent="0.2">
      <c r="I355" s="227">
        <v>351</v>
      </c>
      <c r="J355" s="227">
        <f t="shared" si="123"/>
        <v>4.4222930069009738</v>
      </c>
      <c r="K355" s="227">
        <f t="shared" si="122"/>
        <v>26441.921215436825</v>
      </c>
      <c r="L355" s="227">
        <f t="shared" si="136"/>
        <v>166139.49087443284</v>
      </c>
      <c r="M355" s="227">
        <f t="shared" si="124"/>
        <v>21222.108235383326</v>
      </c>
      <c r="N355" s="227">
        <f>SQRT((ABS(AC355)-171.5+'Small Signal'!C$59)^2)</f>
        <v>39.495938142231608</v>
      </c>
      <c r="O355" s="227">
        <f t="shared" si="137"/>
        <v>12.631098771438388</v>
      </c>
      <c r="P355" s="227">
        <f t="shared" si="138"/>
        <v>10.885601131219286</v>
      </c>
      <c r="Q355" s="227">
        <f t="shared" si="121"/>
        <v>26441.921215436825</v>
      </c>
      <c r="R355" s="227" t="str">
        <f t="shared" si="125"/>
        <v>0.0945666666666667+0.780855607109834i</v>
      </c>
      <c r="S355" s="227" t="str">
        <f t="shared" si="126"/>
        <v>0.0085-0.230516369942236i</v>
      </c>
      <c r="T355" s="227" t="str">
        <f t="shared" si="127"/>
        <v>0.012544470973976-0.230146040637867i</v>
      </c>
      <c r="U355" s="227" t="str">
        <f t="shared" si="128"/>
        <v>-1.71768736151967+1.57994772596023i</v>
      </c>
      <c r="V355" s="227">
        <f t="shared" si="139"/>
        <v>7.3613223447543152</v>
      </c>
      <c r="W355" s="227">
        <f t="shared" si="140"/>
        <v>-222.60819047649076</v>
      </c>
      <c r="X355" s="227" t="str">
        <f t="shared" si="129"/>
        <v>0.995028087483994-0.0207643683379776i</v>
      </c>
      <c r="Y355" s="227" t="str">
        <f t="shared" si="130"/>
        <v>3.27165079590391-30.8434073565681i</v>
      </c>
      <c r="Z355" s="227" t="str">
        <f t="shared" si="131"/>
        <v>1.36174700625325-16.01742002435i</v>
      </c>
      <c r="AA355" s="227" t="str">
        <f t="shared" si="132"/>
        <v>-0.874997167676993-0.70866144919869i</v>
      </c>
      <c r="AB355" s="227">
        <f t="shared" si="141"/>
        <v>1.0305797295051422</v>
      </c>
      <c r="AC355" s="227">
        <f t="shared" si="142"/>
        <v>-140.99593814223161</v>
      </c>
      <c r="AD355" s="229">
        <f t="shared" si="143"/>
        <v>-11.916180860724428</v>
      </c>
      <c r="AE355" s="229">
        <f t="shared" si="144"/>
        <v>153.62703691367</v>
      </c>
      <c r="AF355" s="227">
        <f t="shared" si="133"/>
        <v>-10.885601131219286</v>
      </c>
      <c r="AG355" s="227">
        <f t="shared" si="134"/>
        <v>12.631098771438388</v>
      </c>
      <c r="AH355" s="229" t="str">
        <f t="shared" si="135"/>
        <v>0.227227507299261-0.11266309860435i</v>
      </c>
    </row>
    <row r="356" spans="9:34" x14ac:dyDescent="0.2">
      <c r="I356" s="227">
        <v>352</v>
      </c>
      <c r="J356" s="227">
        <f t="shared" si="123"/>
        <v>4.4320431294277567</v>
      </c>
      <c r="K356" s="227">
        <f t="shared" si="122"/>
        <v>27042.269053238542</v>
      </c>
      <c r="L356" s="227">
        <f t="shared" si="136"/>
        <v>169911.58758810564</v>
      </c>
      <c r="M356" s="227">
        <f t="shared" si="124"/>
        <v>21836.086607948964</v>
      </c>
      <c r="N356" s="227">
        <f>SQRT((ABS(AC356)-171.5+'Small Signal'!C$59)^2)</f>
        <v>40.166024307272011</v>
      </c>
      <c r="O356" s="227">
        <f t="shared" si="137"/>
        <v>11.498774039411302</v>
      </c>
      <c r="P356" s="227">
        <f t="shared" si="138"/>
        <v>10.989103746842634</v>
      </c>
      <c r="Q356" s="227">
        <f t="shared" si="121"/>
        <v>27042.269053238542</v>
      </c>
      <c r="R356" s="227" t="str">
        <f t="shared" si="125"/>
        <v>0.0945666666666667+0.798584461664096i</v>
      </c>
      <c r="S356" s="227" t="str">
        <f t="shared" si="126"/>
        <v>0.0085-0.225398825848571i</v>
      </c>
      <c r="T356" s="227" t="str">
        <f t="shared" si="127"/>
        <v>0.012366697431181-0.225039776896998i</v>
      </c>
      <c r="U356" s="227" t="str">
        <f t="shared" si="128"/>
        <v>-1.6452314513915+1.5536927258364i</v>
      </c>
      <c r="V356" s="227">
        <f t="shared" si="139"/>
        <v>7.093333713959586</v>
      </c>
      <c r="W356" s="227">
        <f t="shared" si="140"/>
        <v>-223.36090151137185</v>
      </c>
      <c r="X356" s="227" t="str">
        <f t="shared" si="129"/>
        <v>0.994799755978327-0.021235810769617i</v>
      </c>
      <c r="Y356" s="227" t="str">
        <f t="shared" si="130"/>
        <v>3.1250619030033-30.1552392719181i</v>
      </c>
      <c r="Z356" s="227" t="str">
        <f t="shared" si="131"/>
        <v>1.28545583089222-15.6564303915891i</v>
      </c>
      <c r="AA356" s="227" t="str">
        <f t="shared" si="132"/>
        <v>-0.876321888302076-0.692921477959052i</v>
      </c>
      <c r="AB356" s="227">
        <f t="shared" si="141"/>
        <v>0.96242502671160057</v>
      </c>
      <c r="AC356" s="227">
        <f t="shared" si="142"/>
        <v>-141.66602430727201</v>
      </c>
      <c r="AD356" s="229">
        <f t="shared" si="143"/>
        <v>-11.951528773554234</v>
      </c>
      <c r="AE356" s="229">
        <f t="shared" si="144"/>
        <v>153.16479834668331</v>
      </c>
      <c r="AF356" s="227">
        <f t="shared" si="133"/>
        <v>-10.989103746842634</v>
      </c>
      <c r="AG356" s="227">
        <f t="shared" si="134"/>
        <v>11.498774039411302</v>
      </c>
      <c r="AH356" s="229" t="str">
        <f t="shared" si="135"/>
        <v>0.225392083621884-0.114027599735975i</v>
      </c>
    </row>
    <row r="357" spans="9:34" x14ac:dyDescent="0.2">
      <c r="I357" s="227">
        <v>353</v>
      </c>
      <c r="J357" s="227">
        <f t="shared" si="123"/>
        <v>4.4417932519545396</v>
      </c>
      <c r="K357" s="227">
        <f t="shared" si="122"/>
        <v>27656.24742580418</v>
      </c>
      <c r="L357" s="227">
        <f t="shared" si="136"/>
        <v>173769.32747753608</v>
      </c>
      <c r="M357" s="227">
        <f t="shared" si="124"/>
        <v>22464.004988331213</v>
      </c>
      <c r="N357" s="227">
        <f>SQRT((ABS(AC357)-171.5+'Small Signal'!C$59)^2)</f>
        <v>40.831288368665781</v>
      </c>
      <c r="O357" s="227">
        <f t="shared" si="137"/>
        <v>10.363476873585796</v>
      </c>
      <c r="P357" s="227">
        <f t="shared" si="138"/>
        <v>11.091832929475324</v>
      </c>
      <c r="Q357" s="227">
        <f t="shared" si="121"/>
        <v>27656.24742580418</v>
      </c>
      <c r="R357" s="227" t="str">
        <f t="shared" si="125"/>
        <v>0.0945666666666667+0.81671583914442i</v>
      </c>
      <c r="S357" s="227" t="str">
        <f t="shared" si="126"/>
        <v>0.0085-0.22039489302493i</v>
      </c>
      <c r="T357" s="227" t="str">
        <f t="shared" si="127"/>
        <v>0.0121967250221071-0.220046674836952i</v>
      </c>
      <c r="U357" s="227" t="str">
        <f t="shared" si="128"/>
        <v>-1.57595693158645+1.52743340590474i</v>
      </c>
      <c r="V357" s="227">
        <f t="shared" si="139"/>
        <v>6.8274897209178596</v>
      </c>
      <c r="W357" s="227">
        <f t="shared" si="140"/>
        <v>-224.10421622860079</v>
      </c>
      <c r="X357" s="227" t="str">
        <f t="shared" si="129"/>
        <v>0.994560938512517-0.0217179570166931i</v>
      </c>
      <c r="Y357" s="227" t="str">
        <f t="shared" si="130"/>
        <v>2.98516190515218-29.4825431709712i</v>
      </c>
      <c r="Z357" s="227" t="str">
        <f t="shared" si="131"/>
        <v>1.21264625393142-15.3034770895107i</v>
      </c>
      <c r="AA357" s="227" t="str">
        <f t="shared" si="132"/>
        <v>-0.877606895458241-0.677526483253823i</v>
      </c>
      <c r="AB357" s="227">
        <f t="shared" si="141"/>
        <v>0.89635270186911242</v>
      </c>
      <c r="AC357" s="227">
        <f t="shared" si="142"/>
        <v>-142.33128836866578</v>
      </c>
      <c r="AD357" s="229">
        <f t="shared" si="143"/>
        <v>-11.988185631344436</v>
      </c>
      <c r="AE357" s="229">
        <f t="shared" si="144"/>
        <v>152.69476524225158</v>
      </c>
      <c r="AF357" s="227">
        <f t="shared" si="133"/>
        <v>-11.091832929475324</v>
      </c>
      <c r="AG357" s="227">
        <f t="shared" si="134"/>
        <v>10.363476873585796</v>
      </c>
      <c r="AH357" s="229" t="str">
        <f t="shared" si="135"/>
        <v>0.223503828883497-0.115384789479921i</v>
      </c>
    </row>
    <row r="358" spans="9:34" x14ac:dyDescent="0.2">
      <c r="I358" s="227">
        <v>354</v>
      </c>
      <c r="J358" s="227">
        <f t="shared" si="123"/>
        <v>4.4515433744813233</v>
      </c>
      <c r="K358" s="227">
        <f t="shared" si="122"/>
        <v>28284.165806186429</v>
      </c>
      <c r="L358" s="227">
        <f t="shared" si="136"/>
        <v>177714.65501926182</v>
      </c>
      <c r="M358" s="227">
        <f t="shared" si="124"/>
        <v>23106.17987598111</v>
      </c>
      <c r="N358" s="227">
        <f>SQRT((ABS(AC358)-171.5+'Small Signal'!C$59)^2)</f>
        <v>41.491505859798451</v>
      </c>
      <c r="O358" s="227">
        <f t="shared" si="137"/>
        <v>9.2255029286513661</v>
      </c>
      <c r="P358" s="227">
        <f t="shared" si="138"/>
        <v>11.193848615905877</v>
      </c>
      <c r="Q358" s="227">
        <f t="shared" si="121"/>
        <v>28284.165806186429</v>
      </c>
      <c r="R358" s="227" t="str">
        <f t="shared" si="125"/>
        <v>0.0945666666666667+0.83525887859053i</v>
      </c>
      <c r="S358" s="227" t="str">
        <f t="shared" si="126"/>
        <v>0.0085-0.215502049261354i</v>
      </c>
      <c r="T358" s="227" t="str">
        <f t="shared" si="127"/>
        <v>0.0120342116037837-0.215164235192805i</v>
      </c>
      <c r="U358" s="227" t="str">
        <f t="shared" si="128"/>
        <v>-1.50972432931028+1.50120945199319i</v>
      </c>
      <c r="V358" s="227">
        <f t="shared" si="139"/>
        <v>6.5637588617396814</v>
      </c>
      <c r="W358" s="227">
        <f t="shared" si="140"/>
        <v>-224.83796879366616</v>
      </c>
      <c r="X358" s="227" t="str">
        <f t="shared" si="129"/>
        <v>0.994311153526387-0.0222110501028653i</v>
      </c>
      <c r="Y358" s="227" t="str">
        <f t="shared" si="130"/>
        <v>2.85163540697226-28.8249660725253i</v>
      </c>
      <c r="Z358" s="227" t="str">
        <f t="shared" si="131"/>
        <v>1.14315407617933-14.9583747772166i</v>
      </c>
      <c r="AA358" s="227" t="str">
        <f t="shared" si="132"/>
        <v>-0.878854773316565-0.662468872394556i</v>
      </c>
      <c r="AB358" s="227">
        <f t="shared" si="141"/>
        <v>0.83234048026270324</v>
      </c>
      <c r="AC358" s="227">
        <f t="shared" si="142"/>
        <v>-142.99150585979845</v>
      </c>
      <c r="AD358" s="229">
        <f t="shared" si="143"/>
        <v>-12.026189096168579</v>
      </c>
      <c r="AE358" s="229">
        <f t="shared" si="144"/>
        <v>152.21700878844982</v>
      </c>
      <c r="AF358" s="227">
        <f t="shared" si="133"/>
        <v>-11.193848615905877</v>
      </c>
      <c r="AG358" s="227">
        <f t="shared" si="134"/>
        <v>9.2255029286513661</v>
      </c>
      <c r="AH358" s="229" t="str">
        <f t="shared" si="135"/>
        <v>0.221562414650864-0.11673256590611i</v>
      </c>
    </row>
    <row r="359" spans="9:34" x14ac:dyDescent="0.2">
      <c r="I359" s="227">
        <v>355</v>
      </c>
      <c r="J359" s="227">
        <f t="shared" si="123"/>
        <v>4.4612934970081071</v>
      </c>
      <c r="K359" s="227">
        <f t="shared" si="122"/>
        <v>28926.340693836326</v>
      </c>
      <c r="L359" s="227">
        <f t="shared" si="136"/>
        <v>181749.55883798335</v>
      </c>
      <c r="M359" s="227">
        <f t="shared" si="124"/>
        <v>23762.934956278463</v>
      </c>
      <c r="N359" s="227">
        <f>SQRT((ABS(AC359)-171.5+'Small Signal'!C$59)^2)</f>
        <v>42.146461645907181</v>
      </c>
      <c r="O359" s="227">
        <f t="shared" si="137"/>
        <v>8.0851477421727793</v>
      </c>
      <c r="P359" s="227">
        <f t="shared" si="138"/>
        <v>11.295212186831739</v>
      </c>
      <c r="Q359" s="227">
        <f t="shared" si="121"/>
        <v>28926.340693836326</v>
      </c>
      <c r="R359" s="227" t="str">
        <f t="shared" si="125"/>
        <v>0.0945666666666667+0.854222926538522i</v>
      </c>
      <c r="S359" s="227" t="str">
        <f t="shared" si="126"/>
        <v>0.0085-0.21071782834183i</v>
      </c>
      <c r="T359" s="227" t="str">
        <f t="shared" si="127"/>
        <v>0.0118788300226968-0.210390013340655i</v>
      </c>
      <c r="U359" s="227" t="str">
        <f t="shared" si="128"/>
        <v>-1.44640024955303+1.4750569480306i</v>
      </c>
      <c r="V359" s="227">
        <f t="shared" si="139"/>
        <v>6.302108446218428</v>
      </c>
      <c r="W359" s="227">
        <f t="shared" si="140"/>
        <v>-225.56199872513969</v>
      </c>
      <c r="X359" s="227" t="str">
        <f t="shared" si="129"/>
        <v>0.994049897344456-0.0227153385694983i</v>
      </c>
      <c r="Y359" s="227" t="str">
        <f t="shared" si="130"/>
        <v>2.72418272574487-28.1821631054123i</v>
      </c>
      <c r="Z359" s="227" t="str">
        <f t="shared" si="131"/>
        <v>1.07682328152707-14.6209423384165i</v>
      </c>
      <c r="AA359" s="227" t="str">
        <f t="shared" si="132"/>
        <v>-0.880068033351278-0.647741203956264i</v>
      </c>
      <c r="AB359" s="227">
        <f t="shared" si="141"/>
        <v>0.77036483264927003</v>
      </c>
      <c r="AC359" s="227">
        <f t="shared" si="142"/>
        <v>-143.64646164590718</v>
      </c>
      <c r="AD359" s="229">
        <f t="shared" si="143"/>
        <v>-12.065577019481008</v>
      </c>
      <c r="AE359" s="229">
        <f t="shared" si="144"/>
        <v>151.73160938807996</v>
      </c>
      <c r="AF359" s="227">
        <f t="shared" si="133"/>
        <v>-11.295212186831739</v>
      </c>
      <c r="AG359" s="227">
        <f t="shared" si="134"/>
        <v>8.0851477421727793</v>
      </c>
      <c r="AH359" s="229" t="str">
        <f t="shared" si="135"/>
        <v>0.21956760388587-0.118068768320682i</v>
      </c>
    </row>
    <row r="360" spans="9:34" x14ac:dyDescent="0.2">
      <c r="I360" s="227">
        <v>356</v>
      </c>
      <c r="J360" s="227">
        <f t="shared" si="123"/>
        <v>4.4710436195348908</v>
      </c>
      <c r="K360" s="227">
        <f t="shared" si="122"/>
        <v>29583.095774133679</v>
      </c>
      <c r="L360" s="227">
        <f t="shared" si="136"/>
        <v>185876.07270892322</v>
      </c>
      <c r="M360" s="227">
        <f t="shared" si="124"/>
        <v>24434.601263684115</v>
      </c>
      <c r="N360" s="227">
        <f>SQRT((ABS(AC360)-171.5+'Small Signal'!C$59)^2)</f>
        <v>42.795950324721787</v>
      </c>
      <c r="O360" s="227">
        <f t="shared" si="137"/>
        <v>6.9427066141896319</v>
      </c>
      <c r="P360" s="227">
        <f t="shared" si="138"/>
        <v>11.395986294896479</v>
      </c>
      <c r="Q360" s="227">
        <f t="shared" si="121"/>
        <v>29583.095774133679</v>
      </c>
      <c r="R360" s="227" t="str">
        <f t="shared" si="125"/>
        <v>0.0945666666666667+0.873617541731939i</v>
      </c>
      <c r="S360" s="227" t="str">
        <f t="shared" si="126"/>
        <v>0.0085-0.206039818801202i</v>
      </c>
      <c r="T360" s="227" t="str">
        <f t="shared" si="127"/>
        <v>0.0117302674594919-0.205721618139422i</v>
      </c>
      <c r="U360" s="227" t="str">
        <f t="shared" si="128"/>
        <v>-1.38585711575913+1.44900864824602i</v>
      </c>
      <c r="V360" s="227">
        <f t="shared" si="139"/>
        <v>6.0425046882196511</v>
      </c>
      <c r="W360" s="227">
        <f t="shared" si="140"/>
        <v>-226.2761514045643</v>
      </c>
      <c r="X360" s="227" t="str">
        <f t="shared" si="129"/>
        <v>0.993776643160309-0.023231076600938i</v>
      </c>
      <c r="Y360" s="227" t="str">
        <f t="shared" si="130"/>
        <v>2.60251904152704-27.553797348528i</v>
      </c>
      <c r="Z360" s="227" t="str">
        <f t="shared" si="131"/>
        <v>1.01350559410504-14.2910027965407i</v>
      </c>
      <c r="AA360" s="227" t="str">
        <f t="shared" si="132"/>
        <v>-0.881249119366229-0.633336184666982i</v>
      </c>
      <c r="AB360" s="227">
        <f t="shared" si="141"/>
        <v>0.71040108105087185</v>
      </c>
      <c r="AC360" s="227">
        <f t="shared" si="142"/>
        <v>-144.29595032472179</v>
      </c>
      <c r="AD360" s="229">
        <f t="shared" si="143"/>
        <v>-12.106387375947351</v>
      </c>
      <c r="AE360" s="229">
        <f t="shared" si="144"/>
        <v>151.23865693891142</v>
      </c>
      <c r="AF360" s="227">
        <f t="shared" si="133"/>
        <v>-11.395986294896479</v>
      </c>
      <c r="AG360" s="227">
        <f t="shared" si="134"/>
        <v>6.9427066141896319</v>
      </c>
      <c r="AH360" s="229" t="str">
        <f t="shared" si="135"/>
        <v>0.217519256897824-0.11939118122381i</v>
      </c>
    </row>
    <row r="361" spans="9:34" x14ac:dyDescent="0.2">
      <c r="I361" s="227">
        <v>357</v>
      </c>
      <c r="J361" s="227">
        <f t="shared" si="123"/>
        <v>4.4807937420616746</v>
      </c>
      <c r="K361" s="227">
        <f t="shared" si="122"/>
        <v>30254.762081539331</v>
      </c>
      <c r="L361" s="227">
        <f t="shared" si="136"/>
        <v>190096.276582942</v>
      </c>
      <c r="M361" s="227">
        <f t="shared" si="124"/>
        <v>25121.517348596044</v>
      </c>
      <c r="N361" s="227">
        <f>SQRT((ABS(AC361)-171.5+'Small Signal'!C$59)^2)</f>
        <v>43.439776579535817</v>
      </c>
      <c r="O361" s="227">
        <f t="shared" si="137"/>
        <v>5.798474514323118</v>
      </c>
      <c r="P361" s="227">
        <f t="shared" si="138"/>
        <v>11.496234686005224</v>
      </c>
      <c r="Q361" s="227">
        <f t="shared" si="121"/>
        <v>30254.762081539331</v>
      </c>
      <c r="R361" s="227" t="str">
        <f t="shared" si="125"/>
        <v>0.0945666666666667+0.893452499939827i</v>
      </c>
      <c r="S361" s="227" t="str">
        <f t="shared" si="126"/>
        <v>0.0085-0.201465662709683i</v>
      </c>
      <c r="T361" s="227" t="str">
        <f t="shared" si="127"/>
        <v>0.011588224802205-0.201156710794803i</v>
      </c>
      <c r="U361" s="227" t="str">
        <f t="shared" si="128"/>
        <v>-1.32797292077471+1.42309422922416i</v>
      </c>
      <c r="V361" s="227">
        <f t="shared" si="139"/>
        <v>5.7849127983946289</v>
      </c>
      <c r="W361" s="227">
        <f t="shared" si="140"/>
        <v>-226.98027852915214</v>
      </c>
      <c r="X361" s="227" t="str">
        <f t="shared" si="129"/>
        <v>0.993490839974325-0.0237585241526324i</v>
      </c>
      <c r="Y361" s="227" t="str">
        <f t="shared" si="130"/>
        <v>2.48637359826905-26.9395396688938i</v>
      </c>
      <c r="Z361" s="227" t="str">
        <f t="shared" si="131"/>
        <v>0.953060062031921-13.9683832288797i</v>
      </c>
      <c r="AA361" s="227" t="str">
        <f t="shared" si="132"/>
        <v>-0.882400412401969-0.619246666287997i</v>
      </c>
      <c r="AB361" s="227">
        <f t="shared" si="141"/>
        <v>0.65242350708535213</v>
      </c>
      <c r="AC361" s="227">
        <f t="shared" si="142"/>
        <v>-144.93977657953582</v>
      </c>
      <c r="AD361" s="229">
        <f t="shared" si="143"/>
        <v>-12.148658193090576</v>
      </c>
      <c r="AE361" s="229">
        <f t="shared" si="144"/>
        <v>150.73825109385893</v>
      </c>
      <c r="AF361" s="227">
        <f t="shared" si="133"/>
        <v>-11.496234686005224</v>
      </c>
      <c r="AG361" s="227">
        <f t="shared" si="134"/>
        <v>5.798474514323118</v>
      </c>
      <c r="AH361" s="229" t="str">
        <f t="shared" si="135"/>
        <v>0.215417337176795-0.120697538827741i</v>
      </c>
    </row>
    <row r="362" spans="9:34" x14ac:dyDescent="0.2">
      <c r="I362" s="227">
        <v>358</v>
      </c>
      <c r="J362" s="227">
        <f t="shared" si="123"/>
        <v>4.4905438645884574</v>
      </c>
      <c r="K362" s="227">
        <f t="shared" si="122"/>
        <v>30941.67816645126</v>
      </c>
      <c r="L362" s="227">
        <f t="shared" si="136"/>
        <v>194412.29763492596</v>
      </c>
      <c r="M362" s="227">
        <f t="shared" si="124"/>
        <v>25824.02944799446</v>
      </c>
      <c r="N362" s="227">
        <f>SQRT((ABS(AC362)-171.5+'Small Signal'!C$59)^2)</f>
        <v>44.077755484732933</v>
      </c>
      <c r="O362" s="227">
        <f t="shared" si="137"/>
        <v>4.6527460137423873</v>
      </c>
      <c r="P362" s="227">
        <f t="shared" si="138"/>
        <v>11.596022014640196</v>
      </c>
      <c r="Q362" s="227">
        <f t="shared" si="121"/>
        <v>30941.67816645126</v>
      </c>
      <c r="R362" s="227" t="str">
        <f t="shared" si="125"/>
        <v>0.0945666666666667+0.913737798884152i</v>
      </c>
      <c r="S362" s="227" t="str">
        <f t="shared" si="126"/>
        <v>0.0085-0.196993054484354i</v>
      </c>
      <c r="T362" s="227" t="str">
        <f t="shared" si="127"/>
        <v>0.0114524160467888-0.196693003745109i</v>
      </c>
      <c r="U362" s="227" t="str">
        <f t="shared" si="128"/>
        <v>-1.27263098777657+1.39734052334822i</v>
      </c>
      <c r="V362" s="227">
        <f t="shared" si="139"/>
        <v>5.5292970785971471</v>
      </c>
      <c r="W362" s="227">
        <f t="shared" si="140"/>
        <v>-227.67423850771979</v>
      </c>
      <c r="X362" s="227" t="str">
        <f t="shared" si="129"/>
        <v>0.993191911482622-0.0242979470821609i</v>
      </c>
      <c r="Y362" s="227" t="str">
        <f t="shared" si="130"/>
        <v>2.37548895253225-26.3390685586295i</v>
      </c>
      <c r="Z362" s="227" t="str">
        <f t="shared" si="131"/>
        <v>0.895352665981283-13.6529146802056i</v>
      </c>
      <c r="AA362" s="227" t="str">
        <f t="shared" si="132"/>
        <v>-0.883524235533303-0.605465642485184i</v>
      </c>
      <c r="AB362" s="227">
        <f t="shared" si="141"/>
        <v>0.59640546221740132</v>
      </c>
      <c r="AC362" s="227">
        <f t="shared" si="142"/>
        <v>-145.57775548473293</v>
      </c>
      <c r="AD362" s="229">
        <f t="shared" si="143"/>
        <v>-12.192427476857597</v>
      </c>
      <c r="AE362" s="229">
        <f t="shared" si="144"/>
        <v>150.23050149847532</v>
      </c>
      <c r="AF362" s="227">
        <f t="shared" si="133"/>
        <v>-11.596022014640196</v>
      </c>
      <c r="AG362" s="227">
        <f t="shared" si="134"/>
        <v>4.6527460137423873</v>
      </c>
      <c r="AH362" s="229" t="str">
        <f t="shared" si="135"/>
        <v>0.213261917055336-0.121985530143599i</v>
      </c>
    </row>
    <row r="363" spans="9:34" x14ac:dyDescent="0.2">
      <c r="I363" s="227">
        <v>359</v>
      </c>
      <c r="J363" s="227">
        <f t="shared" si="123"/>
        <v>4.5002939871152403</v>
      </c>
      <c r="K363" s="227">
        <f t="shared" si="122"/>
        <v>31644.190265849677</v>
      </c>
      <c r="L363" s="227">
        <f t="shared" si="136"/>
        <v>198826.31133598197</v>
      </c>
      <c r="M363" s="227">
        <f t="shared" si="124"/>
        <v>26542.491659961106</v>
      </c>
      <c r="N363" s="227">
        <f>SQRT((ABS(AC363)-171.5+'Small Signal'!C$59)^2)</f>
        <v>44.709712764189476</v>
      </c>
      <c r="O363" s="227">
        <f t="shared" si="137"/>
        <v>3.5058152389140389</v>
      </c>
      <c r="P363" s="227">
        <f t="shared" si="138"/>
        <v>11.695413653917843</v>
      </c>
      <c r="Q363" s="227">
        <f t="shared" si="121"/>
        <v>31644.190265849677</v>
      </c>
      <c r="R363" s="227" t="str">
        <f t="shared" si="125"/>
        <v>0.0945666666666667+0.934483663279115i</v>
      </c>
      <c r="S363" s="227" t="str">
        <f t="shared" si="126"/>
        <v>0.0085-0.192619739727046i</v>
      </c>
      <c r="T363" s="227" t="str">
        <f t="shared" si="127"/>
        <v>0.0113225677237566-0.192328259568729i</v>
      </c>
      <c r="U363" s="227" t="str">
        <f t="shared" si="128"/>
        <v>-1.21971974087882+1.371771735039i</v>
      </c>
      <c r="V363" s="227">
        <f t="shared" si="139"/>
        <v>5.2756210173933074</v>
      </c>
      <c r="W363" s="227">
        <f t="shared" si="140"/>
        <v>-228.357896800638</v>
      </c>
      <c r="X363" s="227" t="str">
        <f t="shared" si="129"/>
        <v>0.992879254914977-0.0248496172832384i</v>
      </c>
      <c r="Y363" s="227" t="str">
        <f t="shared" si="130"/>
        <v>2.26962026665177-25.7520699715867i</v>
      </c>
      <c r="Z363" s="227" t="str">
        <f t="shared" si="131"/>
        <v>0.840255950919535-13.3444320762616i</v>
      </c>
      <c r="AA363" s="227" t="str">
        <f t="shared" si="132"/>
        <v>-0.884622858566932-0.591986245691499i</v>
      </c>
      <c r="AB363" s="227">
        <f t="shared" si="141"/>
        <v>0.54231947932873237</v>
      </c>
      <c r="AC363" s="227">
        <f t="shared" si="142"/>
        <v>-146.20971276418948</v>
      </c>
      <c r="AD363" s="229">
        <f t="shared" si="143"/>
        <v>-12.237733133246575</v>
      </c>
      <c r="AE363" s="229">
        <f t="shared" si="144"/>
        <v>149.71552800310351</v>
      </c>
      <c r="AF363" s="227">
        <f t="shared" si="133"/>
        <v>-11.695413653917843</v>
      </c>
      <c r="AG363" s="227">
        <f t="shared" si="134"/>
        <v>3.5058152389140389</v>
      </c>
      <c r="AH363" s="229" t="str">
        <f t="shared" si="135"/>
        <v>0.211053183143187-0.123252804640588i</v>
      </c>
    </row>
    <row r="364" spans="9:34" x14ac:dyDescent="0.2">
      <c r="I364" s="227">
        <v>360</v>
      </c>
      <c r="J364" s="227">
        <f t="shared" si="123"/>
        <v>4.5100441096420241</v>
      </c>
      <c r="K364" s="227">
        <f t="shared" si="122"/>
        <v>32362.652477816322</v>
      </c>
      <c r="L364" s="227">
        <f t="shared" si="136"/>
        <v>203340.54254997455</v>
      </c>
      <c r="M364" s="227">
        <f t="shared" si="124"/>
        <v>27277.26612216033</v>
      </c>
      <c r="N364" s="227">
        <f>SQRT((ABS(AC364)-171.5+'Small Signal'!C$59)^2)</f>
        <v>45.335485003348055</v>
      </c>
      <c r="O364" s="227">
        <f t="shared" si="137"/>
        <v>2.3579758436840734</v>
      </c>
      <c r="P364" s="227">
        <f t="shared" si="138"/>
        <v>11.794475501146973</v>
      </c>
      <c r="Q364" s="227">
        <f t="shared" si="121"/>
        <v>32362.652477816322</v>
      </c>
      <c r="R364" s="227" t="str">
        <f t="shared" si="125"/>
        <v>0.0945666666666667+0.95570054998488i</v>
      </c>
      <c r="S364" s="227" t="str">
        <f t="shared" si="126"/>
        <v>0.0085-0.188343514088014i</v>
      </c>
      <c r="T364" s="227" t="str">
        <f t="shared" si="127"/>
        <v>0.0111984183498125-0.188060289912921i</v>
      </c>
      <c r="U364" s="227" t="str">
        <f t="shared" si="128"/>
        <v>-1.1691324851081+1.34640964108785i</v>
      </c>
      <c r="V364" s="227">
        <f t="shared" si="139"/>
        <v>5.0238473860737169</v>
      </c>
      <c r="W364" s="227">
        <f t="shared" si="140"/>
        <v>-229.03112620491464</v>
      </c>
      <c r="X364" s="227" t="str">
        <f t="shared" si="129"/>
        <v>0.992552239819378-0.0254138128227624i</v>
      </c>
      <c r="Y364" s="227" t="str">
        <f t="shared" si="130"/>
        <v>2.16853464341612-25.1782371602753i</v>
      </c>
      <c r="Z364" s="227" t="str">
        <f t="shared" si="131"/>
        <v>0.787648679487673-13.0427741374441i</v>
      </c>
      <c r="AA364" s="227" t="str">
        <f t="shared" si="132"/>
        <v>-0.885698502648871-0.578801743960452i</v>
      </c>
      <c r="AB364" s="227">
        <f t="shared" si="141"/>
        <v>0.49013738502999549</v>
      </c>
      <c r="AC364" s="227">
        <f t="shared" si="142"/>
        <v>-146.83548500334805</v>
      </c>
      <c r="AD364" s="229">
        <f t="shared" si="143"/>
        <v>-12.284612886176969</v>
      </c>
      <c r="AE364" s="229">
        <f t="shared" si="144"/>
        <v>149.19346084703213</v>
      </c>
      <c r="AF364" s="227">
        <f t="shared" si="133"/>
        <v>-11.794475501146973</v>
      </c>
      <c r="AG364" s="227">
        <f t="shared" si="134"/>
        <v>2.3579758436840734</v>
      </c>
      <c r="AH364" s="229" t="str">
        <f t="shared" si="135"/>
        <v>0.208791441477121-0.124496978475708i</v>
      </c>
    </row>
    <row r="365" spans="9:34" x14ac:dyDescent="0.2">
      <c r="I365" s="227">
        <v>361</v>
      </c>
      <c r="J365" s="227">
        <f t="shared" si="123"/>
        <v>4.5197942321688078</v>
      </c>
      <c r="K365" s="227">
        <f t="shared" si="122"/>
        <v>33097.426940015546</v>
      </c>
      <c r="L365" s="227">
        <f t="shared" si="136"/>
        <v>207957.26665495549</v>
      </c>
      <c r="M365" s="227">
        <f t="shared" si="124"/>
        <v>28028.723194373317</v>
      </c>
      <c r="N365" s="227">
        <f>SQRT((ABS(AC365)-171.5+'Small Signal'!C$59)^2)</f>
        <v>45.954919816111698</v>
      </c>
      <c r="O365" s="227">
        <f t="shared" si="137"/>
        <v>1.2095209959067859</v>
      </c>
      <c r="P365" s="227">
        <f t="shared" si="138"/>
        <v>11.893273779663884</v>
      </c>
      <c r="Q365" s="227">
        <f t="shared" si="121"/>
        <v>33097.426940015546</v>
      </c>
      <c r="R365" s="227" t="str">
        <f t="shared" si="125"/>
        <v>0.0945666666666667+0.977399153278291i</v>
      </c>
      <c r="S365" s="227" t="str">
        <f t="shared" si="126"/>
        <v>0.0085-0.184162222154851i</v>
      </c>
      <c r="T365" s="227" t="str">
        <f t="shared" si="127"/>
        <v>0.0110797179033889-0.183886954443672i</v>
      </c>
      <c r="U365" s="227" t="str">
        <f t="shared" si="128"/>
        <v>-1.12076719543628+1.32127377627904i</v>
      </c>
      <c r="V365" s="227">
        <f t="shared" si="139"/>
        <v>4.7739383346038951</v>
      </c>
      <c r="W365" s="227">
        <f t="shared" si="140"/>
        <v>-229.69380708584137</v>
      </c>
      <c r="X365" s="227" t="str">
        <f t="shared" si="129"/>
        <v>0.992210206790758-0.0259908180809709i</v>
      </c>
      <c r="Y365" s="227" t="str">
        <f t="shared" si="130"/>
        <v>2.07201049954795-24.6172705136324i</v>
      </c>
      <c r="Z365" s="227" t="str">
        <f t="shared" si="131"/>
        <v>0.737415505609953-12.7477832929621i</v>
      </c>
      <c r="AA365" s="227" t="str">
        <f t="shared" si="132"/>
        <v>-0.886753344790924-0.565905537809698i</v>
      </c>
      <c r="AB365" s="227">
        <f t="shared" si="141"/>
        <v>0.43983041216077856</v>
      </c>
      <c r="AC365" s="227">
        <f t="shared" si="142"/>
        <v>-147.4549198161117</v>
      </c>
      <c r="AD365" s="229">
        <f t="shared" si="143"/>
        <v>-12.333104191824663</v>
      </c>
      <c r="AE365" s="229">
        <f t="shared" si="144"/>
        <v>148.66444081201848</v>
      </c>
      <c r="AF365" s="227">
        <f t="shared" si="133"/>
        <v>-11.893273779663884</v>
      </c>
      <c r="AG365" s="227">
        <f t="shared" si="134"/>
        <v>1.2095209959067859</v>
      </c>
      <c r="AH365" s="229" t="str">
        <f t="shared" si="135"/>
        <v>0.20647712232627-0.125715641286154i</v>
      </c>
    </row>
    <row r="366" spans="9:34" x14ac:dyDescent="0.2">
      <c r="I366" s="227">
        <v>362</v>
      </c>
      <c r="J366" s="227">
        <f t="shared" si="123"/>
        <v>4.5295443546955907</v>
      </c>
      <c r="K366" s="227">
        <f t="shared" si="122"/>
        <v>33848.884012228533</v>
      </c>
      <c r="L366" s="227">
        <f t="shared" si="136"/>
        <v>212678.81069006032</v>
      </c>
      <c r="M366" s="227">
        <f t="shared" si="124"/>
        <v>28797.241645176258</v>
      </c>
      <c r="N366" s="227">
        <f>SQRT((ABS(AC366)-171.5+'Small Signal'!C$59)^2)</f>
        <v>46.56787596803477</v>
      </c>
      <c r="O366" s="227">
        <f t="shared" si="137"/>
        <v>6.0743374562832742E-2</v>
      </c>
      <c r="P366" s="227">
        <f t="shared" si="138"/>
        <v>11.991874837725753</v>
      </c>
      <c r="Q366" s="227">
        <f t="shared" si="121"/>
        <v>33848.884012228533</v>
      </c>
      <c r="R366" s="227" t="str">
        <f t="shared" si="125"/>
        <v>0.0945666666666667+0.999590410243283i</v>
      </c>
      <c r="S366" s="227" t="str">
        <f t="shared" si="126"/>
        <v>0.0085-0.180073756366061i</v>
      </c>
      <c r="T366" s="227" t="str">
        <f t="shared" si="127"/>
        <v>0.0109662273230555-0.179806159816323i</v>
      </c>
      <c r="U366" s="227" t="str">
        <f t="shared" si="128"/>
        <v>-1.07452631455889+1.29638160540307i</v>
      </c>
      <c r="V366" s="227">
        <f t="shared" si="139"/>
        <v>4.5258554869754857</v>
      </c>
      <c r="W366" s="227">
        <f t="shared" si="140"/>
        <v>-230.34582755692793</v>
      </c>
      <c r="X366" s="227" t="str">
        <f t="shared" si="129"/>
        <v>0.991852466141345-0.0265809238947837i</v>
      </c>
      <c r="Y366" s="227" t="str">
        <f t="shared" si="130"/>
        <v>1.97983697546261-24.0688773960773i</v>
      </c>
      <c r="Z366" s="227" t="str">
        <f t="shared" si="131"/>
        <v>0.689446667013254-12.4593055956994i</v>
      </c>
      <c r="AA366" s="227" t="str">
        <f t="shared" si="132"/>
        <v>-0.88778952232616-0.553291157053842i</v>
      </c>
      <c r="AB366" s="227">
        <f t="shared" si="141"/>
        <v>0.39136931196232067</v>
      </c>
      <c r="AC366" s="227">
        <f t="shared" si="142"/>
        <v>-148.06787596803477</v>
      </c>
      <c r="AD366" s="229">
        <f t="shared" si="143"/>
        <v>-12.383244149688073</v>
      </c>
      <c r="AE366" s="229">
        <f t="shared" si="144"/>
        <v>148.1286193425976</v>
      </c>
      <c r="AF366" s="227">
        <f t="shared" si="133"/>
        <v>-11.991874837725753</v>
      </c>
      <c r="AG366" s="227">
        <f t="shared" si="134"/>
        <v>6.0743374562832742E-2</v>
      </c>
      <c r="AH366" s="229" t="str">
        <f t="shared" si="135"/>
        <v>0.204110784592025-0.126906363530123i</v>
      </c>
    </row>
    <row r="367" spans="9:34" x14ac:dyDescent="0.2">
      <c r="I367" s="227">
        <v>363</v>
      </c>
      <c r="J367" s="227">
        <f t="shared" si="123"/>
        <v>4.5392944772223736</v>
      </c>
      <c r="K367" s="227">
        <f t="shared" si="122"/>
        <v>34617.402463031474</v>
      </c>
      <c r="L367" s="227">
        <f t="shared" si="136"/>
        <v>217507.55452844177</v>
      </c>
      <c r="M367" s="227">
        <f t="shared" si="124"/>
        <v>29583.208842857097</v>
      </c>
      <c r="N367" s="227">
        <f>SQRT((ABS(AC367)-171.5+'Small Signal'!C$59)^2)</f>
        <v>47.174223457576204</v>
      </c>
      <c r="O367" s="227">
        <f t="shared" si="137"/>
        <v>1.0880648269071571</v>
      </c>
      <c r="P367" s="227">
        <f t="shared" si="138"/>
        <v>12.090344945258227</v>
      </c>
      <c r="Q367" s="227">
        <f t="shared" si="121"/>
        <v>34617.402463031474</v>
      </c>
      <c r="R367" s="227" t="str">
        <f t="shared" si="125"/>
        <v>0.0945666666666667+1.02228550628368i</v>
      </c>
      <c r="S367" s="227" t="str">
        <f t="shared" si="126"/>
        <v>0.0085-0.176076055948749i</v>
      </c>
      <c r="T367" s="227" t="str">
        <f t="shared" si="127"/>
        <v>0.0108577180278079-0.175815858666654i</v>
      </c>
      <c r="U367" s="227" t="str">
        <f t="shared" si="128"/>
        <v>-1.03031655910962+1.27174868267643i</v>
      </c>
      <c r="V367" s="227">
        <f t="shared" si="139"/>
        <v>4.2795600354550754</v>
      </c>
      <c r="W367" s="227">
        <f t="shared" si="140"/>
        <v>-230.98708361009875</v>
      </c>
      <c r="X367" s="227" t="str">
        <f t="shared" si="129"/>
        <v>0.991478296509956-0.0271844277043968i</v>
      </c>
      <c r="Y367" s="227" t="str">
        <f t="shared" si="130"/>
        <v>1.89181337896368-23.5327719882424i</v>
      </c>
      <c r="Z367" s="227" t="str">
        <f t="shared" si="131"/>
        <v>0.643637695436042-12.1771906379811i</v>
      </c>
      <c r="AA367" s="227" t="str">
        <f t="shared" si="132"/>
        <v>-0.888809137302458-0.540952257624658i</v>
      </c>
      <c r="AB367" s="227">
        <f t="shared" si="141"/>
        <v>0.34472446543538543</v>
      </c>
      <c r="AC367" s="227">
        <f t="shared" si="142"/>
        <v>-148.6742234575762</v>
      </c>
      <c r="AD367" s="229">
        <f t="shared" si="143"/>
        <v>-12.435069410693613</v>
      </c>
      <c r="AE367" s="229">
        <f t="shared" si="144"/>
        <v>147.58615863066905</v>
      </c>
      <c r="AF367" s="227">
        <f t="shared" si="133"/>
        <v>-12.090344945258227</v>
      </c>
      <c r="AG367" s="227">
        <f t="shared" si="134"/>
        <v>-1.0880648269071571</v>
      </c>
      <c r="AH367" s="229" t="str">
        <f t="shared" si="135"/>
        <v>0.201693119741074-0.128066704355i</v>
      </c>
    </row>
    <row r="368" spans="9:34" x14ac:dyDescent="0.2">
      <c r="I368" s="227">
        <v>364</v>
      </c>
      <c r="J368" s="227">
        <f t="shared" si="123"/>
        <v>4.5490445997491573</v>
      </c>
      <c r="K368" s="227">
        <f t="shared" si="122"/>
        <v>35403.369660712313</v>
      </c>
      <c r="L368" s="227">
        <f t="shared" si="136"/>
        <v>222445.93207683513</v>
      </c>
      <c r="M368" s="227">
        <f t="shared" si="124"/>
        <v>30387.020950666298</v>
      </c>
      <c r="N368" s="227">
        <f>SQRT((ABS(AC368)-171.5+'Small Signal'!C$59)^2)</f>
        <v>47.773843557442831</v>
      </c>
      <c r="O368" s="227">
        <f t="shared" si="137"/>
        <v>2.2366118954575995</v>
      </c>
      <c r="P368" s="227">
        <f t="shared" si="138"/>
        <v>12.18875008924951</v>
      </c>
      <c r="Q368" s="227">
        <f t="shared" si="121"/>
        <v>35403.369660712313</v>
      </c>
      <c r="R368" s="227" t="str">
        <f t="shared" si="125"/>
        <v>0.0945666666666667+1.04549588076112i</v>
      </c>
      <c r="S368" s="227" t="str">
        <f t="shared" si="126"/>
        <v>0.0085-0.1721671058799i</v>
      </c>
      <c r="T368" s="227" t="str">
        <f t="shared" si="127"/>
        <v>0.0107539714582899-0.171914048622152i</v>
      </c>
      <c r="U368" s="227" t="str">
        <f t="shared" si="128"/>
        <v>-0.988048734004581+1.24738879950458i</v>
      </c>
      <c r="V368" s="227">
        <f t="shared" si="139"/>
        <v>4.0350128332651884</v>
      </c>
      <c r="W368" s="227">
        <f t="shared" si="140"/>
        <v>-231.61747919835602</v>
      </c>
      <c r="X368" s="227" t="str">
        <f t="shared" si="129"/>
        <v>0.991086943407409-0.0278016337032062i</v>
      </c>
      <c r="Y368" s="227" t="str">
        <f t="shared" si="130"/>
        <v>1.80774866069808-23.0086751296908i</v>
      </c>
      <c r="Z368" s="227" t="str">
        <f t="shared" si="131"/>
        <v>0.599889143391193-11.9012914684024i</v>
      </c>
      <c r="AA368" s="227" t="str">
        <f t="shared" si="132"/>
        <v>-0.889814260824065-0.528882618376991i</v>
      </c>
      <c r="AB368" s="227">
        <f t="shared" si="141"/>
        <v>0.29986599344277809</v>
      </c>
      <c r="AC368" s="227">
        <f t="shared" si="142"/>
        <v>-149.27384355744283</v>
      </c>
      <c r="AD368" s="229">
        <f t="shared" si="143"/>
        <v>-12.488616082692287</v>
      </c>
      <c r="AE368" s="229">
        <f t="shared" si="144"/>
        <v>147.03723166198523</v>
      </c>
      <c r="AF368" s="227">
        <f t="shared" si="133"/>
        <v>-12.18875008924951</v>
      </c>
      <c r="AG368" s="227">
        <f t="shared" si="134"/>
        <v>-2.2366118954575995</v>
      </c>
      <c r="AH368" s="229" t="str">
        <f t="shared" si="135"/>
        <v>0.199224955210439-0.129194219964725i</v>
      </c>
    </row>
    <row r="369" spans="9:34" x14ac:dyDescent="0.2">
      <c r="I369" s="227">
        <v>365</v>
      </c>
      <c r="J369" s="227">
        <f t="shared" si="123"/>
        <v>4.5587947222759411</v>
      </c>
      <c r="K369" s="227">
        <f t="shared" si="122"/>
        <v>36207.181768521514</v>
      </c>
      <c r="L369" s="227">
        <f t="shared" si="136"/>
        <v>227496.43250235496</v>
      </c>
      <c r="M369" s="227">
        <f t="shared" si="124"/>
        <v>31209.083126501526</v>
      </c>
      <c r="N369" s="227">
        <f>SQRT((ABS(AC369)-171.5+'Small Signal'!C$59)^2)</f>
        <v>48.366628818272034</v>
      </c>
      <c r="O369" s="227">
        <f t="shared" si="137"/>
        <v>3.3846065959848488</v>
      </c>
      <c r="P369" s="227">
        <f t="shared" si="138"/>
        <v>12.287155768591546</v>
      </c>
      <c r="Q369" s="227">
        <f t="shared" ref="Q369:Q404" si="145">K369</f>
        <v>36207.181768521514</v>
      </c>
      <c r="R369" s="227" t="str">
        <f t="shared" si="125"/>
        <v>0.0945666666666667+1.06923323276107i</v>
      </c>
      <c r="S369" s="227" t="str">
        <f t="shared" si="126"/>
        <v>0.0085-0.168344935870716i</v>
      </c>
      <c r="T369" s="227" t="str">
        <f t="shared" si="127"/>
        <v>0.0106547786380388-0.168098771333136i</v>
      </c>
      <c r="U369" s="227" t="str">
        <f t="shared" si="128"/>
        <v>-0.947637554614497+1.22331412145209i</v>
      </c>
      <c r="V369" s="227">
        <f t="shared" si="139"/>
        <v>3.7921744852697086</v>
      </c>
      <c r="W369" s="227">
        <f t="shared" si="140"/>
        <v>-232.2369262733007</v>
      </c>
      <c r="X369" s="227" t="str">
        <f t="shared" si="129"/>
        <v>0.990677617695155-0.0284328529911349i</v>
      </c>
      <c r="Y369" s="227" t="str">
        <f t="shared" si="130"/>
        <v>1.72746091935023-22.4963141638849i</v>
      </c>
      <c r="Z369" s="227" t="str">
        <f t="shared" si="131"/>
        <v>0.558106326428842-11.6314645098558i</v>
      </c>
      <c r="AA369" s="227" t="str">
        <f t="shared" si="132"/>
        <v>-0.890806937350404-0.517076137877799i</v>
      </c>
      <c r="AB369" s="227">
        <f t="shared" si="141"/>
        <v>0.25676386515065008</v>
      </c>
      <c r="AC369" s="227">
        <f t="shared" si="142"/>
        <v>-149.86662881827203</v>
      </c>
      <c r="AD369" s="229">
        <f t="shared" si="143"/>
        <v>-12.543919633742197</v>
      </c>
      <c r="AE369" s="229">
        <f t="shared" si="144"/>
        <v>146.48202222228718</v>
      </c>
      <c r="AF369" s="227">
        <f t="shared" si="133"/>
        <v>-12.287155768591546</v>
      </c>
      <c r="AG369" s="227">
        <f t="shared" si="134"/>
        <v>-3.3846065959848488</v>
      </c>
      <c r="AH369" s="229" t="str">
        <f t="shared" si="135"/>
        <v>0.19670725722442-0.13028647245092i</v>
      </c>
    </row>
    <row r="370" spans="9:34" x14ac:dyDescent="0.2">
      <c r="I370" s="227">
        <v>366</v>
      </c>
      <c r="J370" s="227">
        <f t="shared" si="123"/>
        <v>4.5685448448027248</v>
      </c>
      <c r="K370" s="227">
        <f t="shared" si="122"/>
        <v>37029.243944356742</v>
      </c>
      <c r="L370" s="227">
        <f t="shared" si="136"/>
        <v>232661.60148715094</v>
      </c>
      <c r="M370" s="227">
        <f t="shared" si="124"/>
        <v>32049.809727125783</v>
      </c>
      <c r="N370" s="227">
        <f>SQRT((ABS(AC370)-171.5+'Small Signal'!C$59)^2)</f>
        <v>48.952483037103889</v>
      </c>
      <c r="O370" s="227">
        <f t="shared" si="137"/>
        <v>4.5317581760575933</v>
      </c>
      <c r="P370" s="227">
        <f t="shared" si="138"/>
        <v>12.385626789162718</v>
      </c>
      <c r="Q370" s="227">
        <f t="shared" si="145"/>
        <v>37029.243944356742</v>
      </c>
      <c r="R370" s="227" t="str">
        <f t="shared" si="125"/>
        <v>0.0945666666666667+1.09350952698961i</v>
      </c>
      <c r="S370" s="227" t="str">
        <f t="shared" si="126"/>
        <v>0.0085-0.164607619373499i</v>
      </c>
      <c r="T370" s="227" t="str">
        <f t="shared" si="127"/>
        <v>0.010559939753887-0.164368111523449i</v>
      </c>
      <c r="U370" s="227" t="str">
        <f t="shared" si="128"/>
        <v>-0.909001476468411+1.19953531521731i</v>
      </c>
      <c r="V370" s="227">
        <f t="shared" si="139"/>
        <v>3.5510054362764936</v>
      </c>
      <c r="W370" s="227">
        <f t="shared" si="140"/>
        <v>-232.84534478006901</v>
      </c>
      <c r="X370" s="227" t="str">
        <f t="shared" si="129"/>
        <v>0.990249493994022-0.0290784037314418i</v>
      </c>
      <c r="Y370" s="227" t="str">
        <f t="shared" si="130"/>
        <v>1.65077693469369-21.995422785614i</v>
      </c>
      <c r="Z370" s="227" t="str">
        <f t="shared" si="131"/>
        <v>0.518199079917921-11.3675694788599i</v>
      </c>
      <c r="AA370" s="227" t="str">
        <f t="shared" si="132"/>
        <v>-0.891789188962066-0.50552683117559i</v>
      </c>
      <c r="AB370" s="227">
        <f t="shared" si="141"/>
        <v>0.21538800445144118</v>
      </c>
      <c r="AC370" s="227">
        <f t="shared" si="142"/>
        <v>-150.45248303710389</v>
      </c>
      <c r="AD370" s="229">
        <f t="shared" si="143"/>
        <v>-12.601014793614159</v>
      </c>
      <c r="AE370" s="229">
        <f t="shared" si="144"/>
        <v>145.9207248610463</v>
      </c>
      <c r="AF370" s="227">
        <f t="shared" si="133"/>
        <v>-12.385626789162718</v>
      </c>
      <c r="AG370" s="227">
        <f t="shared" si="134"/>
        <v>-4.5317581760575933</v>
      </c>
      <c r="AH370" s="229" t="str">
        <f t="shared" si="135"/>
        <v>0.194141132965426-0.131341039044814i</v>
      </c>
    </row>
    <row r="371" spans="9:34" x14ac:dyDescent="0.2">
      <c r="I371" s="227">
        <v>367</v>
      </c>
      <c r="J371" s="227">
        <f t="shared" si="123"/>
        <v>4.5782949673295086</v>
      </c>
      <c r="K371" s="227">
        <f t="shared" si="122"/>
        <v>37869.970544980999</v>
      </c>
      <c r="L371" s="227">
        <f t="shared" si="136"/>
        <v>237944.04251154832</v>
      </c>
      <c r="M371" s="227">
        <f t="shared" si="124"/>
        <v>32909.624517021657</v>
      </c>
      <c r="N371" s="227">
        <f>SQRT((ABS(AC371)-171.5+'Small Signal'!C$59)^2)</f>
        <v>49.53132119325312</v>
      </c>
      <c r="O371" s="227">
        <f t="shared" si="137"/>
        <v>5.677776382294411</v>
      </c>
      <c r="P371" s="227">
        <f t="shared" si="138"/>
        <v>12.48422705994254</v>
      </c>
      <c r="Q371" s="227">
        <f t="shared" si="145"/>
        <v>37869.970544980999</v>
      </c>
      <c r="R371" s="227" t="str">
        <f t="shared" si="125"/>
        <v>0.0945666666666667+1.11833699980428i</v>
      </c>
      <c r="S371" s="227" t="str">
        <f t="shared" si="126"/>
        <v>0.0085-0.160953272610584i</v>
      </c>
      <c r="T371" s="227" t="str">
        <f t="shared" si="127"/>
        <v>0.0104692637546863-0.160720196060402i</v>
      </c>
      <c r="U371" s="227" t="str">
        <f t="shared" si="128"/>
        <v>-0.872062532199186+1.17606166634824i</v>
      </c>
      <c r="V371" s="227">
        <f t="shared" si="139"/>
        <v>3.3114660566155774</v>
      </c>
      <c r="W371" s="227">
        <f t="shared" si="140"/>
        <v>-233.44266261237146</v>
      </c>
      <c r="X371" s="227" t="str">
        <f t="shared" si="129"/>
        <v>0.989801709019892-0.0297386113110902i</v>
      </c>
      <c r="Y371" s="227" t="str">
        <f t="shared" si="130"/>
        <v>1.57753172675253-21.5057408910536i</v>
      </c>
      <c r="Z371" s="227" t="str">
        <f t="shared" si="131"/>
        <v>0.480081529434901-11.1094693062804i</v>
      </c>
      <c r="AA371" s="227" t="str">
        <f t="shared" si="132"/>
        <v>-0.89276301960371-0.494228826546799i</v>
      </c>
      <c r="AB371" s="227">
        <f t="shared" si="141"/>
        <v>0.17570839405257982</v>
      </c>
      <c r="AC371" s="227">
        <f t="shared" si="142"/>
        <v>-151.03132119325312</v>
      </c>
      <c r="AD371" s="229">
        <f t="shared" si="143"/>
        <v>-12.65993545399512</v>
      </c>
      <c r="AE371" s="229">
        <f t="shared" si="144"/>
        <v>145.35354481095871</v>
      </c>
      <c r="AF371" s="227">
        <f t="shared" si="133"/>
        <v>-12.48422705994254</v>
      </c>
      <c r="AG371" s="227">
        <f t="shared" si="134"/>
        <v>-5.677776382294411</v>
      </c>
      <c r="AH371" s="229" t="str">
        <f t="shared" si="135"/>
        <v>0.191527832043647-0.132355521739731i</v>
      </c>
    </row>
    <row r="372" spans="9:34" x14ac:dyDescent="0.2">
      <c r="I372" s="227">
        <v>368</v>
      </c>
      <c r="J372" s="227">
        <f t="shared" si="123"/>
        <v>4.5880450898562914</v>
      </c>
      <c r="K372" s="227">
        <f t="shared" si="122"/>
        <v>38729.785334876869</v>
      </c>
      <c r="L372" s="227">
        <f t="shared" si="136"/>
        <v>243346.41816631774</v>
      </c>
      <c r="M372" s="227">
        <f t="shared" si="124"/>
        <v>33788.960881988285</v>
      </c>
      <c r="N372" s="227">
        <f>SQRT((ABS(AC372)-171.5+'Small Signal'!C$59)^2)</f>
        <v>50.103069354302392</v>
      </c>
      <c r="O372" s="227">
        <f t="shared" si="137"/>
        <v>6.8223714926894843</v>
      </c>
      <c r="P372" s="227">
        <f t="shared" si="138"/>
        <v>12.583019390944878</v>
      </c>
      <c r="Q372" s="227">
        <f t="shared" si="145"/>
        <v>38729.785334876869</v>
      </c>
      <c r="R372" s="227" t="str">
        <f t="shared" si="125"/>
        <v>0.0945666666666667+1.14372816538169i</v>
      </c>
      <c r="S372" s="227" t="str">
        <f t="shared" si="126"/>
        <v>0.0085-0.157380053624831i</v>
      </c>
      <c r="T372" s="227" t="str">
        <f t="shared" si="127"/>
        <v>0.0103825679675612-0.157153193043664i</v>
      </c>
      <c r="U372" s="227" t="str">
        <f t="shared" si="128"/>
        <v>-0.836746175447953+1.15290118837895i</v>
      </c>
      <c r="V372" s="227">
        <f t="shared" si="139"/>
        <v>3.073516724689151</v>
      </c>
      <c r="W372" s="227">
        <f t="shared" si="140"/>
        <v>-234.02881553039498</v>
      </c>
      <c r="X372" s="227" t="str">
        <f t="shared" si="129"/>
        <v>0.989333359842946-0.0304138085047577i</v>
      </c>
      <c r="Y372" s="227" t="str">
        <f t="shared" si="130"/>
        <v>1.50756813944558-21.0270144305902i</v>
      </c>
      <c r="Z372" s="227" t="str">
        <f t="shared" si="131"/>
        <v>0.44367187391132-10.857030059508i</v>
      </c>
      <c r="AA372" s="227" t="str">
        <f t="shared" si="132"/>
        <v>-0.893730419313549-0.483176362215445i</v>
      </c>
      <c r="AB372" s="227">
        <f t="shared" si="141"/>
        <v>0.13769517695990835</v>
      </c>
      <c r="AC372" s="227">
        <f t="shared" si="142"/>
        <v>-151.60306935430239</v>
      </c>
      <c r="AD372" s="229">
        <f t="shared" si="143"/>
        <v>-12.720714567904787</v>
      </c>
      <c r="AE372" s="229">
        <f t="shared" si="144"/>
        <v>144.78069786161291</v>
      </c>
      <c r="AF372" s="227">
        <f t="shared" si="133"/>
        <v>-12.583019390944878</v>
      </c>
      <c r="AG372" s="227">
        <f t="shared" si="134"/>
        <v>-6.8223714926894843</v>
      </c>
      <c r="AH372" s="229" t="str">
        <f t="shared" si="135"/>
        <v>0.188868747214462-0.13332755722651i</v>
      </c>
    </row>
    <row r="373" spans="9:34" x14ac:dyDescent="0.2">
      <c r="I373" s="227">
        <v>369</v>
      </c>
      <c r="J373" s="227">
        <f t="shared" si="123"/>
        <v>4.5977952123830743</v>
      </c>
      <c r="K373" s="227">
        <f t="shared" si="122"/>
        <v>39609.121699843497</v>
      </c>
      <c r="L373" s="227">
        <f t="shared" si="136"/>
        <v>248871.45149474478</v>
      </c>
      <c r="M373" s="227">
        <f t="shared" si="124"/>
        <v>34688.26204758761</v>
      </c>
      <c r="N373" s="227">
        <f>SQRT((ABS(AC373)-171.5+'Small Signal'!C$59)^2)</f>
        <v>50.667664555063794</v>
      </c>
      <c r="O373" s="227">
        <f t="shared" si="137"/>
        <v>7.9652543690445157</v>
      </c>
      <c r="P373" s="227">
        <f t="shared" si="138"/>
        <v>12.682065293741523</v>
      </c>
      <c r="Q373" s="227">
        <f t="shared" si="145"/>
        <v>39609.121699843497</v>
      </c>
      <c r="R373" s="227" t="str">
        <f t="shared" si="125"/>
        <v>0.0945666666666667+1.1696958220253i</v>
      </c>
      <c r="S373" s="227" t="str">
        <f t="shared" si="126"/>
        <v>0.0085-0.153886161351192i</v>
      </c>
      <c r="T373" s="227" t="str">
        <f t="shared" si="127"/>
        <v>0.0102996777309265-0.153665310912781i</v>
      </c>
      <c r="U373" s="227" t="str">
        <f t="shared" si="128"/>
        <v>-0.802981131451843+1.13006072401518i</v>
      </c>
      <c r="V373" s="227">
        <f t="shared" si="139"/>
        <v>2.8371179062356173</v>
      </c>
      <c r="W373" s="227">
        <f t="shared" si="140"/>
        <v>-234.60374704442634</v>
      </c>
      <c r="X373" s="227" t="str">
        <f t="shared" si="129"/>
        <v>0.988843502066965-0.0311043356425697i</v>
      </c>
      <c r="Y373" s="227" t="str">
        <f t="shared" si="130"/>
        <v>1.44073644719789-20.5589952645093i</v>
      </c>
      <c r="Z373" s="227" t="str">
        <f t="shared" si="131"/>
        <v>0.408892180749796-10.6101208661434i</v>
      </c>
      <c r="AA373" s="227" t="str">
        <f t="shared" si="132"/>
        <v>-0.894693368449786-0.472363783041554i</v>
      </c>
      <c r="AB373" s="227">
        <f t="shared" si="141"/>
        <v>0.10131875513210442</v>
      </c>
      <c r="AC373" s="227">
        <f t="shared" si="142"/>
        <v>-152.16766455506379</v>
      </c>
      <c r="AD373" s="229">
        <f t="shared" si="143"/>
        <v>-12.783384048873627</v>
      </c>
      <c r="AE373" s="229">
        <f t="shared" si="144"/>
        <v>144.20241018601928</v>
      </c>
      <c r="AF373" s="227">
        <f t="shared" si="133"/>
        <v>-12.682065293741523</v>
      </c>
      <c r="AG373" s="227">
        <f t="shared" si="134"/>
        <v>-7.9652543690445157</v>
      </c>
      <c r="AH373" s="229" t="str">
        <f t="shared" si="135"/>
        <v>0.186165414297447-0.134254827077312i</v>
      </c>
    </row>
    <row r="374" spans="9:34" x14ac:dyDescent="0.2">
      <c r="I374" s="227">
        <v>370</v>
      </c>
      <c r="J374" s="227">
        <f t="shared" si="123"/>
        <v>4.6075453349098581</v>
      </c>
      <c r="K374" s="227">
        <f t="shared" si="122"/>
        <v>40508.422865442823</v>
      </c>
      <c r="L374" s="227">
        <f t="shared" si="136"/>
        <v>254521.92736516794</v>
      </c>
      <c r="M374" s="227">
        <f t="shared" si="124"/>
        <v>35607.981302549713</v>
      </c>
      <c r="N374" s="227">
        <f>SQRT((ABS(AC374)-171.5+'Small Signal'!C$59)^2)</f>
        <v>51.225054652397063</v>
      </c>
      <c r="O374" s="227">
        <f t="shared" si="137"/>
        <v>9.1061365333777928</v>
      </c>
      <c r="P374" s="227">
        <f t="shared" si="138"/>
        <v>12.781424785335451</v>
      </c>
      <c r="Q374" s="227">
        <f t="shared" si="145"/>
        <v>40508.422865442823</v>
      </c>
      <c r="R374" s="227" t="str">
        <f t="shared" si="125"/>
        <v>0.0945666666666667+1.19625305861629i</v>
      </c>
      <c r="S374" s="227" t="str">
        <f t="shared" si="126"/>
        <v>0.0085-0.150469834708892i</v>
      </c>
      <c r="T374" s="227" t="str">
        <f t="shared" si="127"/>
        <v>0.0102204260435435-0.150254797573025i</v>
      </c>
      <c r="U374" s="227" t="str">
        <f t="shared" si="128"/>
        <v>-0.770699254047761+1.1075460389496i</v>
      </c>
      <c r="V374" s="227">
        <f t="shared" si="139"/>
        <v>2.6022302300920868</v>
      </c>
      <c r="W374" s="227">
        <f t="shared" si="140"/>
        <v>-235.16740826705779</v>
      </c>
      <c r="X374" s="227" t="str">
        <f t="shared" si="129"/>
        <v>0.98833114792501-0.0318105407816416i</v>
      </c>
      <c r="Y374" s="227" t="str">
        <f t="shared" si="130"/>
        <v>1.37689398311019-20.1014410216272i</v>
      </c>
      <c r="Z374" s="227" t="str">
        <f t="shared" si="131"/>
        <v>0.3756681921736-10.3686138392286i</v>
      </c>
      <c r="AA374" s="227" t="str">
        <f t="shared" si="132"/>
        <v>-0.895653841924055-0.461785537173556i</v>
      </c>
      <c r="AB374" s="227">
        <f t="shared" si="141"/>
        <v>6.6549885124225355E-2</v>
      </c>
      <c r="AC374" s="227">
        <f t="shared" si="142"/>
        <v>-152.72505465239706</v>
      </c>
      <c r="AD374" s="229">
        <f t="shared" si="143"/>
        <v>-12.847974670459676</v>
      </c>
      <c r="AE374" s="229">
        <f t="shared" si="144"/>
        <v>143.61891811901927</v>
      </c>
      <c r="AF374" s="227">
        <f t="shared" si="133"/>
        <v>-12.781424785335451</v>
      </c>
      <c r="AG374" s="227">
        <f t="shared" si="134"/>
        <v>-9.1061365333777928</v>
      </c>
      <c r="AH374" s="229" t="str">
        <f t="shared" si="135"/>
        <v>0.183419511256861-0.135135068106681i</v>
      </c>
    </row>
    <row r="375" spans="9:34" x14ac:dyDescent="0.2">
      <c r="I375" s="227">
        <v>371</v>
      </c>
      <c r="J375" s="227">
        <f t="shared" si="123"/>
        <v>4.6172954574366418</v>
      </c>
      <c r="K375" s="227">
        <f t="shared" si="122"/>
        <v>41428.142120404926</v>
      </c>
      <c r="L375" s="227">
        <f t="shared" si="136"/>
        <v>260300.69387467598</v>
      </c>
      <c r="M375" s="227">
        <f t="shared" si="124"/>
        <v>36548.582227251332</v>
      </c>
      <c r="N375" s="227">
        <f>SQRT((ABS(AC375)-171.5+'Small Signal'!C$59)^2)</f>
        <v>51.775198158824907</v>
      </c>
      <c r="O375" s="227">
        <f t="shared" si="137"/>
        <v>10.244730271897623</v>
      </c>
      <c r="P375" s="227">
        <f t="shared" si="138"/>
        <v>12.881156196127257</v>
      </c>
      <c r="Q375" s="227">
        <f t="shared" si="145"/>
        <v>41428.142120404926</v>
      </c>
      <c r="R375" s="227" t="str">
        <f t="shared" si="125"/>
        <v>0.0945666666666667+1.22341326121098i</v>
      </c>
      <c r="S375" s="227" t="str">
        <f t="shared" si="126"/>
        <v>0.0085-0.14712935171377i</v>
      </c>
      <c r="T375" s="227" t="str">
        <f t="shared" si="127"/>
        <v>0.0101446532289146-0.146919939539262i</v>
      </c>
      <c r="U375" s="227" t="str">
        <f t="shared" si="128"/>
        <v>-0.739835388832504+1.08536190884334i</v>
      </c>
      <c r="V375" s="227">
        <f t="shared" si="139"/>
        <v>2.3688145602785688</v>
      </c>
      <c r="W375" s="227">
        <f t="shared" si="140"/>
        <v>-235.71975773685793</v>
      </c>
      <c r="X375" s="227" t="str">
        <f t="shared" si="129"/>
        <v>0.987795264287655-0.0325327798815151i</v>
      </c>
      <c r="Y375" s="227" t="str">
        <f t="shared" si="130"/>
        <v>1.31590478737091-19.6541149609149i</v>
      </c>
      <c r="Z375" s="227" t="str">
        <f t="shared" si="131"/>
        <v>0.343929142123982-10.1323840040474i</v>
      </c>
      <c r="AA375" s="227" t="str">
        <f t="shared" si="132"/>
        <v>-0.89661381345239-0.451436172659158i</v>
      </c>
      <c r="AB375" s="227">
        <f t="shared" si="141"/>
        <v>3.335977058306059E-2</v>
      </c>
      <c r="AC375" s="227">
        <f t="shared" si="142"/>
        <v>-153.27519815882491</v>
      </c>
      <c r="AD375" s="229">
        <f t="shared" si="143"/>
        <v>-12.914515966710319</v>
      </c>
      <c r="AE375" s="229">
        <f t="shared" si="144"/>
        <v>143.03046788692728</v>
      </c>
      <c r="AF375" s="227">
        <f t="shared" si="133"/>
        <v>-12.881156196127257</v>
      </c>
      <c r="AG375" s="227">
        <f t="shared" si="134"/>
        <v>-10.244730271897623</v>
      </c>
      <c r="AH375" s="229" t="str">
        <f t="shared" si="135"/>
        <v>0.18063285641032-0.135966082832716i</v>
      </c>
    </row>
    <row r="376" spans="9:34" x14ac:dyDescent="0.2">
      <c r="I376" s="227">
        <v>372</v>
      </c>
      <c r="J376" s="227">
        <f t="shared" si="123"/>
        <v>4.6270455799634247</v>
      </c>
      <c r="K376" s="227">
        <f t="shared" si="122"/>
        <v>42368.743045106545</v>
      </c>
      <c r="L376" s="227">
        <f t="shared" si="136"/>
        <v>266210.66378468071</v>
      </c>
      <c r="M376" s="227">
        <f t="shared" si="124"/>
        <v>37510.538927381604</v>
      </c>
      <c r="N376" s="227">
        <f>SQRT((ABS(AC376)-171.5+'Small Signal'!C$59)^2)</f>
        <v>52.318064057907236</v>
      </c>
      <c r="O376" s="227">
        <f t="shared" si="137"/>
        <v>11.380748769771827</v>
      </c>
      <c r="P376" s="227">
        <f t="shared" si="138"/>
        <v>12.981315982695998</v>
      </c>
      <c r="Q376" s="227">
        <f t="shared" si="145"/>
        <v>42368.743045106545</v>
      </c>
      <c r="R376" s="227" t="str">
        <f t="shared" si="125"/>
        <v>0.0945666666666667+1.251190119788i</v>
      </c>
      <c r="S376" s="227" t="str">
        <f t="shared" si="126"/>
        <v>0.0085-0.143863028610311i</v>
      </c>
      <c r="T376" s="227" t="str">
        <f t="shared" si="127"/>
        <v>0.0100722066143497-0.143659061097504i</v>
      </c>
      <c r="U376" s="227" t="str">
        <f t="shared" si="128"/>
        <v>-0.710327242227867+1.06351219997029i</v>
      </c>
      <c r="V376" s="227">
        <f t="shared" si="139"/>
        <v>2.1368320642683765</v>
      </c>
      <c r="W376" s="227">
        <f t="shared" si="140"/>
        <v>-236.26076121637419</v>
      </c>
      <c r="X376" s="227" t="str">
        <f t="shared" si="129"/>
        <v>0.987234770579753-0.0332714169835781i</v>
      </c>
      <c r="Y376" s="227" t="str">
        <f t="shared" si="130"/>
        <v>1.25763927468643-19.216785836146i</v>
      </c>
      <c r="Z376" s="227" t="str">
        <f t="shared" si="131"/>
        <v>0.313607583066866-9.90130922651083i</v>
      </c>
      <c r="AA376" s="227" t="str">
        <f t="shared" si="132"/>
        <v>-0.897575259834454-0.441310334008426i</v>
      </c>
      <c r="AB376" s="227">
        <f t="shared" si="141"/>
        <v>1.7201514978573865E-3</v>
      </c>
      <c r="AC376" s="227">
        <f t="shared" si="142"/>
        <v>-153.81806405790724</v>
      </c>
      <c r="AD376" s="229">
        <f t="shared" si="143"/>
        <v>-12.983036134193854</v>
      </c>
      <c r="AE376" s="229">
        <f t="shared" si="144"/>
        <v>142.43731528813541</v>
      </c>
      <c r="AF376" s="227">
        <f t="shared" si="133"/>
        <v>-12.981315982695998</v>
      </c>
      <c r="AG376" s="227">
        <f t="shared" si="134"/>
        <v>-11.380748769771827</v>
      </c>
      <c r="AH376" s="229" t="str">
        <f t="shared" si="135"/>
        <v>0.177807405740256-0.136745749955953i</v>
      </c>
    </row>
    <row r="377" spans="9:34" x14ac:dyDescent="0.2">
      <c r="I377" s="227">
        <v>373</v>
      </c>
      <c r="J377" s="227">
        <f t="shared" si="123"/>
        <v>4.6367957024902084</v>
      </c>
      <c r="K377" s="227">
        <f t="shared" si="122"/>
        <v>43330.699745236816</v>
      </c>
      <c r="L377" s="227">
        <f t="shared" si="136"/>
        <v>272254.81598908221</v>
      </c>
      <c r="M377" s="227">
        <f t="shared" si="124"/>
        <v>38494.336272912667</v>
      </c>
      <c r="N377" s="227">
        <f>SQRT((ABS(AC377)-171.5+'Small Signal'!C$59)^2)</f>
        <v>52.853631604314955</v>
      </c>
      <c r="O377" s="227">
        <f t="shared" si="137"/>
        <v>12.513906279511218</v>
      </c>
      <c r="P377" s="227">
        <f t="shared" si="138"/>
        <v>13.081958546088552</v>
      </c>
      <c r="Q377" s="227">
        <f t="shared" si="145"/>
        <v>43330.699745236816</v>
      </c>
      <c r="R377" s="227" t="str">
        <f t="shared" si="125"/>
        <v>0.0945666666666667+1.27959763514869i</v>
      </c>
      <c r="S377" s="227" t="str">
        <f t="shared" si="126"/>
        <v>0.0085-0.140669219022966i</v>
      </c>
      <c r="T377" s="227" t="str">
        <f t="shared" si="127"/>
        <v>0.0100029402240662-0.140470523483886i</v>
      </c>
      <c r="U377" s="227" t="str">
        <f t="shared" si="128"/>
        <v>-0.682115256207966+1.04199994398334i</v>
      </c>
      <c r="V377" s="227">
        <f t="shared" si="139"/>
        <v>1.9062442773473989</v>
      </c>
      <c r="W377" s="227">
        <f t="shared" si="140"/>
        <v>-236.79039146727757</v>
      </c>
      <c r="X377" s="227" t="str">
        <f t="shared" si="129"/>
        <v>0.986648536601516-0.0340268243945581i</v>
      </c>
      <c r="Y377" s="227" t="str">
        <f t="shared" si="130"/>
        <v>1.20197391958659-18.7892277635839i</v>
      </c>
      <c r="Z377" s="227" t="str">
        <f t="shared" si="131"/>
        <v>0.28463922211301-9.67527014313221i</v>
      </c>
      <c r="AA377" s="227" t="str">
        <f t="shared" si="132"/>
        <v>-0.898540165272186-0.431402758702486i</v>
      </c>
      <c r="AB377" s="227">
        <f t="shared" si="141"/>
        <v>-2.8396609847393992E-2</v>
      </c>
      <c r="AC377" s="227">
        <f t="shared" si="142"/>
        <v>-154.35363160431496</v>
      </c>
      <c r="AD377" s="229">
        <f t="shared" si="143"/>
        <v>-13.053561936241158</v>
      </c>
      <c r="AE377" s="229">
        <f t="shared" si="144"/>
        <v>141.83972532480374</v>
      </c>
      <c r="AF377" s="227">
        <f t="shared" si="133"/>
        <v>-13.081958546088552</v>
      </c>
      <c r="AG377" s="227">
        <f t="shared" si="134"/>
        <v>-12.513906279511218</v>
      </c>
      <c r="AH377" s="229" t="str">
        <f t="shared" si="135"/>
        <v>0.174945249291392-0.137472034769136i</v>
      </c>
    </row>
    <row r="378" spans="9:34" x14ac:dyDescent="0.2">
      <c r="I378" s="227">
        <v>374</v>
      </c>
      <c r="J378" s="227">
        <f t="shared" si="123"/>
        <v>4.6465458250169913</v>
      </c>
      <c r="K378" s="227">
        <f t="shared" si="122"/>
        <v>44314.49709076788</v>
      </c>
      <c r="L378" s="227">
        <f t="shared" si="136"/>
        <v>278436.19701576524</v>
      </c>
      <c r="M378" s="227">
        <f t="shared" si="124"/>
        <v>39500.470142496379</v>
      </c>
      <c r="N378" s="227">
        <f>SQRT((ABS(AC378)-171.5+'Small Signal'!C$59)^2)</f>
        <v>53.381890111532215</v>
      </c>
      <c r="O378" s="227">
        <f t="shared" si="137"/>
        <v>13.643918325358385</v>
      </c>
      <c r="P378" s="227">
        <f t="shared" si="138"/>
        <v>13.183136056286472</v>
      </c>
      <c r="Q378" s="227">
        <f t="shared" si="145"/>
        <v>44314.49709076788</v>
      </c>
      <c r="R378" s="227" t="str">
        <f t="shared" si="125"/>
        <v>0.0945666666666667+1.3086501259741i</v>
      </c>
      <c r="S378" s="227" t="str">
        <f t="shared" si="126"/>
        <v>0.0085-0.137546313126296i</v>
      </c>
      <c r="T378" s="227" t="str">
        <f t="shared" si="127"/>
        <v>0.00993671448571032-0.137352724080708i</v>
      </c>
      <c r="U378" s="227" t="str">
        <f t="shared" si="128"/>
        <v>-0.655142488453915+1.0208274072275i</v>
      </c>
      <c r="V378" s="227">
        <f t="shared" si="139"/>
        <v>1.6770131629993403</v>
      </c>
      <c r="W378" s="227">
        <f t="shared" si="140"/>
        <v>-237.30862800541271</v>
      </c>
      <c r="X378" s="227" t="str">
        <f t="shared" si="129"/>
        <v>0.986035380249545-0.0347993828741819i</v>
      </c>
      <c r="Y378" s="227" t="str">
        <f t="shared" si="130"/>
        <v>1.14879095853986-18.3712200927113i</v>
      </c>
      <c r="Z378" s="227" t="str">
        <f t="shared" si="131"/>
        <v>0.256962765896049-9.45415009259284i</v>
      </c>
      <c r="AA378" s="227" t="str">
        <f t="shared" si="132"/>
        <v>-0.899510525739007-0.421708273640042i</v>
      </c>
      <c r="AB378" s="227">
        <f t="shared" si="141"/>
        <v>-5.701744624063855E-2</v>
      </c>
      <c r="AC378" s="227">
        <f t="shared" si="142"/>
        <v>-154.88189011153221</v>
      </c>
      <c r="AD378" s="229">
        <f t="shared" si="143"/>
        <v>-13.126118610045832</v>
      </c>
      <c r="AE378" s="229">
        <f t="shared" si="144"/>
        <v>141.23797178617383</v>
      </c>
      <c r="AF378" s="227">
        <f t="shared" si="133"/>
        <v>-13.183136056286472</v>
      </c>
      <c r="AG378" s="227">
        <f t="shared" si="134"/>
        <v>-13.643918325358385</v>
      </c>
      <c r="AH378" s="229" t="str">
        <f t="shared" si="135"/>
        <v>0.172048606646861-0.138142999407639i</v>
      </c>
    </row>
    <row r="379" spans="9:34" x14ac:dyDescent="0.2">
      <c r="I379" s="227">
        <v>375</v>
      </c>
      <c r="J379" s="227">
        <f t="shared" si="123"/>
        <v>4.6562959475437751</v>
      </c>
      <c r="K379" s="227">
        <f t="shared" si="122"/>
        <v>45320.630960351591</v>
      </c>
      <c r="L379" s="227">
        <f t="shared" si="136"/>
        <v>284757.9225621894</v>
      </c>
      <c r="M379" s="227">
        <f t="shared" si="124"/>
        <v>40529.447673409391</v>
      </c>
      <c r="N379" s="227">
        <f>SQRT((ABS(AC379)-171.5+'Small Signal'!C$59)^2)</f>
        <v>53.902838730065696</v>
      </c>
      <c r="O379" s="227">
        <f t="shared" si="137"/>
        <v>14.770501945600984</v>
      </c>
      <c r="P379" s="227">
        <f t="shared" si="138"/>
        <v>13.284898283481319</v>
      </c>
      <c r="Q379" s="227">
        <f t="shared" si="145"/>
        <v>45320.630960351591</v>
      </c>
      <c r="R379" s="227" t="str">
        <f t="shared" si="125"/>
        <v>0.0945666666666667+1.33836223604229i</v>
      </c>
      <c r="S379" s="227" t="str">
        <f t="shared" si="126"/>
        <v>0.0085-0.134492736833552i</v>
      </c>
      <c r="T379" s="227" t="str">
        <f t="shared" si="127"/>
        <v>0.00987339594971666-0.134304095629277i</v>
      </c>
      <c r="U379" s="227" t="str">
        <f t="shared" si="128"/>
        <v>-0.629354497709529+0.99999615499322i</v>
      </c>
      <c r="V379" s="227">
        <f t="shared" si="139"/>
        <v>1.4491011692880826</v>
      </c>
      <c r="W379" s="227">
        <f t="shared" si="140"/>
        <v>-237.81545683842384</v>
      </c>
      <c r="X379" s="227" t="str">
        <f t="shared" si="129"/>
        <v>0.985394065133195-0.0355894818270959i</v>
      </c>
      <c r="Y379" s="227" t="str">
        <f t="shared" si="130"/>
        <v>1.09797810788265-17.9625472799852i</v>
      </c>
      <c r="Z379" s="227" t="str">
        <f t="shared" si="131"/>
        <v>0.230519773689518-9.23783504888732i</v>
      </c>
      <c r="AA379" s="227" t="str">
        <f t="shared" si="132"/>
        <v>-0.900488353411644-0.412221791513548i</v>
      </c>
      <c r="AB379" s="227">
        <f t="shared" si="141"/>
        <v>-8.4168506206138222E-2</v>
      </c>
      <c r="AC379" s="227">
        <f t="shared" si="142"/>
        <v>-155.4028387300657</v>
      </c>
      <c r="AD379" s="229">
        <f t="shared" si="143"/>
        <v>-13.20072977727518</v>
      </c>
      <c r="AE379" s="229">
        <f t="shared" si="144"/>
        <v>140.63233678446471</v>
      </c>
      <c r="AF379" s="227">
        <f t="shared" si="133"/>
        <v>-13.284898283481319</v>
      </c>
      <c r="AG379" s="227">
        <f t="shared" si="134"/>
        <v>-14.770501945600984</v>
      </c>
      <c r="AH379" s="229" t="str">
        <f t="shared" si="135"/>
        <v>0.169119821485526-0.138756812847981i</v>
      </c>
    </row>
    <row r="380" spans="9:34" x14ac:dyDescent="0.2">
      <c r="I380" s="227">
        <v>376</v>
      </c>
      <c r="J380" s="227">
        <f t="shared" si="123"/>
        <v>4.6660460700705588</v>
      </c>
      <c r="K380" s="227">
        <f t="shared" si="122"/>
        <v>46349.608491264604</v>
      </c>
      <c r="L380" s="227">
        <f t="shared" si="136"/>
        <v>291223.17906583997</v>
      </c>
      <c r="M380" s="227">
        <f t="shared" si="124"/>
        <v>41581.787517173922</v>
      </c>
      <c r="N380" s="227">
        <f>SQRT((ABS(AC380)-171.5+'Small Signal'!C$59)^2)</f>
        <v>54.416486218985369</v>
      </c>
      <c r="O380" s="227">
        <f t="shared" si="137"/>
        <v>15.89337597423571</v>
      </c>
      <c r="P380" s="227">
        <f t="shared" si="138"/>
        <v>13.387292436751466</v>
      </c>
      <c r="Q380" s="227">
        <f t="shared" si="145"/>
        <v>46349.608491264604</v>
      </c>
      <c r="R380" s="227" t="str">
        <f t="shared" si="125"/>
        <v>0.0945666666666667+1.36874894160945i</v>
      </c>
      <c r="S380" s="227" t="str">
        <f t="shared" si="126"/>
        <v>0.0085-0.131506951003262i</v>
      </c>
      <c r="T380" s="227" t="str">
        <f t="shared" si="127"/>
        <v>0.00981285702094426-0.131323105459217i</v>
      </c>
      <c r="U380" s="227" t="str">
        <f t="shared" si="128"/>
        <v>-0.604699234119801+0.979507111074114i</v>
      </c>
      <c r="V380" s="227">
        <f t="shared" si="139"/>
        <v>1.2224712812388545</v>
      </c>
      <c r="W380" s="227">
        <f t="shared" si="140"/>
        <v>-238.31087018853694</v>
      </c>
      <c r="X380" s="227" t="str">
        <f t="shared" si="129"/>
        <v>0.984723298081468-0.0363975194991432i</v>
      </c>
      <c r="Y380" s="227" t="str">
        <f t="shared" si="130"/>
        <v>1.04942829663361-17.5629987655983i</v>
      </c>
      <c r="Z380" s="227" t="str">
        <f t="shared" si="131"/>
        <v>0.205254518278457-9.0262135560371i</v>
      </c>
      <c r="AA380" s="227" t="str">
        <f t="shared" si="132"/>
        <v>-0.901475681176595-0.402938307105713i</v>
      </c>
      <c r="AB380" s="227">
        <f t="shared" si="141"/>
        <v>-0.10987507791675578</v>
      </c>
      <c r="AC380" s="227">
        <f t="shared" si="142"/>
        <v>-155.91648621898537</v>
      </c>
      <c r="AD380" s="229">
        <f t="shared" si="143"/>
        <v>-13.277417358834709</v>
      </c>
      <c r="AE380" s="229">
        <f t="shared" si="144"/>
        <v>140.02311024474966</v>
      </c>
      <c r="AF380" s="227">
        <f t="shared" si="133"/>
        <v>-13.387292436751466</v>
      </c>
      <c r="AG380" s="227">
        <f t="shared" si="134"/>
        <v>-15.89337597423571</v>
      </c>
      <c r="AH380" s="229" t="str">
        <f t="shared" si="135"/>
        <v>0.166161355233591-0.139311760560851i</v>
      </c>
    </row>
    <row r="381" spans="9:34" x14ac:dyDescent="0.2">
      <c r="I381" s="227">
        <v>377</v>
      </c>
      <c r="J381" s="227">
        <f t="shared" si="123"/>
        <v>4.6757961925973417</v>
      </c>
      <c r="K381" s="227">
        <f t="shared" si="122"/>
        <v>47401.948335029134</v>
      </c>
      <c r="L381" s="227">
        <f t="shared" si="136"/>
        <v>297835.22531034093</v>
      </c>
      <c r="M381" s="227">
        <f t="shared" si="124"/>
        <v>42658.020100981405</v>
      </c>
      <c r="N381" s="227">
        <f>SQRT((ABS(AC381)-171.5+'Small Signal'!C$59)^2)</f>
        <v>54.922850713555022</v>
      </c>
      <c r="O381" s="227">
        <f t="shared" si="137"/>
        <v>17.012261362913648</v>
      </c>
      <c r="P381" s="227">
        <f t="shared" si="138"/>
        <v>13.49036301069118</v>
      </c>
      <c r="Q381" s="227">
        <f t="shared" si="145"/>
        <v>47401.948335029134</v>
      </c>
      <c r="R381" s="227" t="str">
        <f t="shared" si="125"/>
        <v>0.0945666666666667+1.3998255589586i</v>
      </c>
      <c r="S381" s="227" t="str">
        <f t="shared" si="126"/>
        <v>0.0085-0.128587450663432i</v>
      </c>
      <c r="T381" s="227" t="str">
        <f t="shared" si="127"/>
        <v>0.00975497570205593-0.12840825473397i</v>
      </c>
      <c r="U381" s="227" t="str">
        <f t="shared" si="128"/>
        <v>-0.581126934342085+0.959360612966612i</v>
      </c>
      <c r="V381" s="227">
        <f t="shared" si="139"/>
        <v>0.99708706924979995</v>
      </c>
      <c r="W381" s="227">
        <f t="shared" si="140"/>
        <v>-238.79486620296808</v>
      </c>
      <c r="X381" s="227" t="str">
        <f t="shared" si="129"/>
        <v>0.984021726535418-0.0372239031780985i</v>
      </c>
      <c r="Y381" s="227" t="str">
        <f t="shared" si="130"/>
        <v>1.00303941332453-17.1723688532187i</v>
      </c>
      <c r="Z381" s="227" t="str">
        <f t="shared" si="131"/>
        <v>0.181113854132862-8.81917666435601i</v>
      </c>
      <c r="AA381" s="227" t="str">
        <f t="shared" si="132"/>
        <v>-0.902474567223971-0.393852893496146i</v>
      </c>
      <c r="AB381" s="227">
        <f t="shared" si="141"/>
        <v>-0.1341615162712019</v>
      </c>
      <c r="AC381" s="227">
        <f t="shared" si="142"/>
        <v>-156.42285071355502</v>
      </c>
      <c r="AD381" s="229">
        <f t="shared" si="143"/>
        <v>-13.356201494419977</v>
      </c>
      <c r="AE381" s="229">
        <f t="shared" si="144"/>
        <v>139.41058935064137</v>
      </c>
      <c r="AF381" s="227">
        <f t="shared" si="133"/>
        <v>-13.49036301069118</v>
      </c>
      <c r="AG381" s="227">
        <f t="shared" si="134"/>
        <v>-17.012261362913648</v>
      </c>
      <c r="AH381" s="229" t="str">
        <f t="shared" si="135"/>
        <v>0.163175779834228-0.139806253725248i</v>
      </c>
    </row>
    <row r="382" spans="9:34" x14ac:dyDescent="0.2">
      <c r="I382" s="227">
        <v>378</v>
      </c>
      <c r="J382" s="227">
        <f t="shared" si="123"/>
        <v>4.6855463151241246</v>
      </c>
      <c r="K382" s="227">
        <f t="shared" si="122"/>
        <v>48478.180918836617</v>
      </c>
      <c r="L382" s="227">
        <f t="shared" si="136"/>
        <v>304597.39406802802</v>
      </c>
      <c r="M382" s="227">
        <f t="shared" si="124"/>
        <v>43758.687895052019</v>
      </c>
      <c r="N382" s="227">
        <f>SQRT((ABS(AC382)-171.5+'Small Signal'!C$59)^2)</f>
        <v>55.421959491633544</v>
      </c>
      <c r="O382" s="227">
        <f t="shared" si="137"/>
        <v>18.126881543580083</v>
      </c>
      <c r="P382" s="227">
        <f t="shared" si="138"/>
        <v>13.594151640491337</v>
      </c>
      <c r="Q382" s="227">
        <f t="shared" si="145"/>
        <v>48478.180918836617</v>
      </c>
      <c r="R382" s="227" t="str">
        <f t="shared" si="125"/>
        <v>0.0945666666666667+1.43160775211973i</v>
      </c>
      <c r="S382" s="227" t="str">
        <f t="shared" si="126"/>
        <v>0.0085-0.125732764252974i</v>
      </c>
      <c r="T382" s="227" t="str">
        <f t="shared" si="127"/>
        <v>0.00969963534812771-0.125558077712166i</v>
      </c>
      <c r="U382" s="227" t="str">
        <f t="shared" si="128"/>
        <v>-0.558590021227681+0.939556463023801i</v>
      </c>
      <c r="V382" s="227">
        <f t="shared" si="139"/>
        <v>0.77291273358765855</v>
      </c>
      <c r="W382" s="227">
        <f t="shared" si="140"/>
        <v>-239.26744865430373</v>
      </c>
      <c r="X382" s="227" t="str">
        <f t="shared" si="129"/>
        <v>0.983287935820804-0.0380690493989587i</v>
      </c>
      <c r="Y382" s="227" t="str">
        <f t="shared" si="130"/>
        <v>0.958714066035902-16.7904565926632i</v>
      </c>
      <c r="Z382" s="227" t="str">
        <f t="shared" si="131"/>
        <v>0.15804709245992-8.61661786824328i</v>
      </c>
      <c r="AA382" s="227" t="str">
        <f t="shared" si="132"/>
        <v>-0.90348709974203-0.384960698166984i</v>
      </c>
      <c r="AB382" s="227">
        <f t="shared" si="141"/>
        <v>-0.15705117302443436</v>
      </c>
      <c r="AC382" s="227">
        <f t="shared" si="142"/>
        <v>-156.92195949163354</v>
      </c>
      <c r="AD382" s="229">
        <f t="shared" si="143"/>
        <v>-13.437100467466902</v>
      </c>
      <c r="AE382" s="229">
        <f t="shared" si="144"/>
        <v>138.79507794805346</v>
      </c>
      <c r="AF382" s="227">
        <f t="shared" si="133"/>
        <v>-13.594151640491337</v>
      </c>
      <c r="AG382" s="227">
        <f t="shared" si="134"/>
        <v>-18.126881543580083</v>
      </c>
      <c r="AH382" s="229" t="str">
        <f t="shared" si="135"/>
        <v>0.160165769669845-0.140238837911954i</v>
      </c>
    </row>
    <row r="383" spans="9:34" x14ac:dyDescent="0.2">
      <c r="I383" s="227">
        <v>379</v>
      </c>
      <c r="J383" s="227">
        <f t="shared" si="123"/>
        <v>4.6952964376509083</v>
      </c>
      <c r="K383" s="227">
        <f t="shared" ref="K383:K404" si="146">10^(J383)</f>
        <v>49578.848712907231</v>
      </c>
      <c r="L383" s="227">
        <f t="shared" si="136"/>
        <v>311513.09377981827</v>
      </c>
      <c r="M383" s="227">
        <f t="shared" si="124"/>
        <v>44884.345686064502</v>
      </c>
      <c r="N383" s="227">
        <f>SQRT((ABS(AC383)-171.5+'Small Signal'!C$59)^2)</f>
        <v>55.913848741444383</v>
      </c>
      <c r="O383" s="227">
        <f t="shared" si="137"/>
        <v>19.236962831724554</v>
      </c>
      <c r="P383" s="227">
        <f t="shared" si="138"/>
        <v>13.69869696591922</v>
      </c>
      <c r="Q383" s="227">
        <f t="shared" si="145"/>
        <v>49578.848712907231</v>
      </c>
      <c r="R383" s="227" t="str">
        <f t="shared" si="125"/>
        <v>0.0945666666666667+1.46411154076515i</v>
      </c>
      <c r="S383" s="227" t="str">
        <f t="shared" si="126"/>
        <v>0.0085-0.122941452879971i</v>
      </c>
      <c r="T383" s="227" t="str">
        <f t="shared" si="127"/>
        <v>0.00964672443199894-0.122771141024589i</v>
      </c>
      <c r="U383" s="227" t="str">
        <f t="shared" si="128"/>
        <v>-0.537043007879506+0.920093975853356i</v>
      </c>
      <c r="V383" s="227">
        <f t="shared" si="139"/>
        <v>0.5499131450482817</v>
      </c>
      <c r="W383" s="227">
        <f t="shared" si="140"/>
        <v>-239.72862663307336</v>
      </c>
      <c r="X383" s="227" t="str">
        <f t="shared" si="129"/>
        <v>0.982520446295486-0.0389333841538966i</v>
      </c>
      <c r="Y383" s="227" t="str">
        <f t="shared" si="130"/>
        <v>0.916359354877873-16.4170656654692i</v>
      </c>
      <c r="Z383" s="227" t="str">
        <f t="shared" si="131"/>
        <v>0.136005882739087-8.41843304548407i</v>
      </c>
      <c r="AA383" s="227" t="str">
        <f t="shared" si="132"/>
        <v>-0.90451540172604-0.376256938995096i</v>
      </c>
      <c r="AB383" s="227">
        <f t="shared" si="141"/>
        <v>-0.17856632983612386</v>
      </c>
      <c r="AC383" s="227">
        <f t="shared" si="142"/>
        <v>-157.41384874144438</v>
      </c>
      <c r="AD383" s="229">
        <f t="shared" si="143"/>
        <v>-13.520130636083096</v>
      </c>
      <c r="AE383" s="229">
        <f t="shared" si="144"/>
        <v>138.17688590971983</v>
      </c>
      <c r="AF383" s="227">
        <f t="shared" si="133"/>
        <v>-13.69869696591922</v>
      </c>
      <c r="AG383" s="227">
        <f t="shared" si="134"/>
        <v>-19.236962831724554</v>
      </c>
      <c r="AH383" s="229" t="str">
        <f t="shared" si="135"/>
        <v>0.157134092682371-0.140608201147586i</v>
      </c>
    </row>
    <row r="384" spans="9:34" x14ac:dyDescent="0.2">
      <c r="I384" s="227">
        <v>380</v>
      </c>
      <c r="J384" s="227">
        <f t="shared" si="123"/>
        <v>4.7050465601776921</v>
      </c>
      <c r="K384" s="227">
        <f t="shared" si="146"/>
        <v>50704.506503919714</v>
      </c>
      <c r="L384" s="227">
        <f t="shared" si="136"/>
        <v>318585.81027322012</v>
      </c>
      <c r="M384" s="227">
        <f t="shared" si="124"/>
        <v>46035.560856793571</v>
      </c>
      <c r="N384" s="227">
        <f>SQRT((ABS(AC384)-171.5+'Small Signal'!C$59)^2)</f>
        <v>56.398563333234449</v>
      </c>
      <c r="O384" s="227">
        <f t="shared" si="137"/>
        <v>20.342234869676474</v>
      </c>
      <c r="P384" s="227">
        <f t="shared" si="138"/>
        <v>13.804034504583489</v>
      </c>
      <c r="Q384" s="227">
        <f t="shared" si="145"/>
        <v>50704.506503919714</v>
      </c>
      <c r="R384" s="227" t="str">
        <f t="shared" si="125"/>
        <v>0.0945666666666667+1.49735330828413i</v>
      </c>
      <c r="S384" s="227" t="str">
        <f t="shared" si="126"/>
        <v>0.0085-0.12021210959641i</v>
      </c>
      <c r="T384" s="227" t="str">
        <f t="shared" si="127"/>
        <v>0.00959613631989395-0.120046042966422i</v>
      </c>
      <c r="U384" s="227" t="str">
        <f t="shared" si="128"/>
        <v>-0.5164424058989+0.900972022227897i</v>
      </c>
      <c r="V384" s="227">
        <f t="shared" si="139"/>
        <v>0.32805388187957868</v>
      </c>
      <c r="W384" s="227">
        <f t="shared" si="140"/>
        <v>-240.17841423460021</v>
      </c>
      <c r="X384" s="227" t="str">
        <f t="shared" si="129"/>
        <v>0.981717710365824-0.0398173431069795i</v>
      </c>
      <c r="Y384" s="227" t="str">
        <f t="shared" si="130"/>
        <v>0.87588665620601-16.0520042733088i</v>
      </c>
      <c r="Z384" s="227" t="str">
        <f t="shared" si="131"/>
        <v>0.114944100369833-8.22452039802713i</v>
      </c>
      <c r="AA384" s="227" t="str">
        <f t="shared" si="132"/>
        <v>-0.905561635916193-0.367736900117259i</v>
      </c>
      <c r="AB384" s="227">
        <f t="shared" si="141"/>
        <v>-0.19872813407524376</v>
      </c>
      <c r="AC384" s="227">
        <f t="shared" si="142"/>
        <v>-157.89856333323445</v>
      </c>
      <c r="AD384" s="229">
        <f t="shared" si="143"/>
        <v>-13.605306370508245</v>
      </c>
      <c r="AE384" s="229">
        <f t="shared" si="144"/>
        <v>137.55632846355797</v>
      </c>
      <c r="AF384" s="227">
        <f t="shared" si="133"/>
        <v>-13.804034504583489</v>
      </c>
      <c r="AG384" s="227">
        <f t="shared" si="134"/>
        <v>-20.342234869676474</v>
      </c>
      <c r="AH384" s="229" t="str">
        <f t="shared" si="135"/>
        <v>0.154083600747384-0.140913181274864i</v>
      </c>
    </row>
    <row r="385" spans="2:34" x14ac:dyDescent="0.2">
      <c r="I385" s="227">
        <v>381</v>
      </c>
      <c r="J385" s="227">
        <f t="shared" si="123"/>
        <v>4.7147966827044758</v>
      </c>
      <c r="K385" s="227">
        <f t="shared" si="146"/>
        <v>51855.721674648783</v>
      </c>
      <c r="L385" s="227">
        <f t="shared" si="136"/>
        <v>325819.10851934727</v>
      </c>
      <c r="M385" s="227">
        <f t="shared" si="124"/>
        <v>47212.913672096976</v>
      </c>
      <c r="N385" s="227">
        <f>SQRT((ABS(AC385)-171.5+'Small Signal'!C$59)^2)</f>
        <v>56.876156597248524</v>
      </c>
      <c r="O385" s="227">
        <f t="shared" si="137"/>
        <v>21.442431108900422</v>
      </c>
      <c r="P385" s="227">
        <f t="shared" si="138"/>
        <v>13.910196534809206</v>
      </c>
      <c r="Q385" s="227">
        <f t="shared" si="145"/>
        <v>51855.721674648783</v>
      </c>
      <c r="R385" s="227" t="str">
        <f t="shared" si="125"/>
        <v>0.0945666666666667+1.53134981004093i</v>
      </c>
      <c r="S385" s="227" t="str">
        <f t="shared" si="126"/>
        <v>0.0085-0.117543358689017i</v>
      </c>
      <c r="T385" s="227" t="str">
        <f t="shared" si="127"/>
        <v>0.0095477690568675-0.117381412804507i</v>
      </c>
      <c r="U385" s="227" t="str">
        <f t="shared" si="128"/>
        <v>-0.496746637642165+0.882189069756828i</v>
      </c>
      <c r="V385" s="227">
        <f t="shared" si="139"/>
        <v>0.10730126308431594</v>
      </c>
      <c r="W385" s="227">
        <f t="shared" si="140"/>
        <v>-240.61683024207582</v>
      </c>
      <c r="X385" s="227" t="str">
        <f t="shared" si="129"/>
        <v>0.980878109366054-0.0407213718137639i</v>
      </c>
      <c r="Y385" s="227" t="str">
        <f t="shared" si="130"/>
        <v>0.837211417906532-15.6950850291987i</v>
      </c>
      <c r="Z385" s="227" t="str">
        <f t="shared" si="131"/>
        <v>0.0948177400851684-8.03478039421385i</v>
      </c>
      <c r="AA385" s="227" t="str">
        <f t="shared" si="132"/>
        <v>-0.906628009879615-0.359395927653321i</v>
      </c>
      <c r="AB385" s="227">
        <f t="shared" si="141"/>
        <v>-0.21755653720121201</v>
      </c>
      <c r="AC385" s="227">
        <f t="shared" si="142"/>
        <v>-158.37615659724852</v>
      </c>
      <c r="AD385" s="229">
        <f t="shared" si="143"/>
        <v>-13.692639997607994</v>
      </c>
      <c r="AE385" s="229">
        <f t="shared" si="144"/>
        <v>136.9337254883481</v>
      </c>
      <c r="AF385" s="227">
        <f t="shared" si="133"/>
        <v>-13.910196534809206</v>
      </c>
      <c r="AG385" s="227">
        <f t="shared" si="134"/>
        <v>-21.442431108900422</v>
      </c>
      <c r="AH385" s="229" t="str">
        <f t="shared" si="135"/>
        <v>0.151017219367928-0.141152772530507i</v>
      </c>
    </row>
    <row r="386" spans="2:34" x14ac:dyDescent="0.2">
      <c r="I386" s="227">
        <v>382</v>
      </c>
      <c r="J386" s="227">
        <f t="shared" si="123"/>
        <v>4.7245468052312596</v>
      </c>
      <c r="K386" s="227">
        <f t="shared" si="146"/>
        <v>53033.074489952189</v>
      </c>
      <c r="L386" s="227">
        <f t="shared" si="136"/>
        <v>333216.63442982815</v>
      </c>
      <c r="M386" s="227">
        <f t="shared" si="124"/>
        <v>48416.997571395128</v>
      </c>
      <c r="N386" s="227">
        <f>SQRT((ABS(AC386)-171.5+'Small Signal'!C$59)^2)</f>
        <v>57.346690110367774</v>
      </c>
      <c r="O386" s="227">
        <f t="shared" si="137"/>
        <v>22.537289329828582</v>
      </c>
      <c r="P386" s="227">
        <f t="shared" si="138"/>
        <v>14.017211988378381</v>
      </c>
      <c r="Q386" s="227">
        <f t="shared" si="145"/>
        <v>53033.074489952189</v>
      </c>
      <c r="R386" s="227" t="str">
        <f t="shared" si="125"/>
        <v>0.0945666666666667+1.56611818182019i</v>
      </c>
      <c r="S386" s="227" t="str">
        <f t="shared" si="126"/>
        <v>0.0085-0.114933854985834i</v>
      </c>
      <c r="T386" s="227" t="str">
        <f t="shared" si="127"/>
        <v>0.00950152516164451-0.114775910099305i</v>
      </c>
      <c r="U386" s="227" t="str">
        <f t="shared" si="128"/>
        <v>-0.477915952314535+0.863743220550437i</v>
      </c>
      <c r="V386" s="227">
        <f t="shared" si="139"/>
        <v>-0.11237762176648894</v>
      </c>
      <c r="W386" s="227">
        <f t="shared" si="140"/>
        <v>-241.04389780766047</v>
      </c>
      <c r="X386" s="227" t="str">
        <f t="shared" si="129"/>
        <v>0.979999950294351-0.041645925945876i</v>
      </c>
      <c r="Y386" s="227" t="str">
        <f t="shared" si="130"/>
        <v>0.800252965128024-15.3461248514486i</v>
      </c>
      <c r="Z386" s="227" t="str">
        <f t="shared" si="131"/>
        <v>0.0755848148063128-7.84911571242778i</v>
      </c>
      <c r="AA386" s="227" t="str">
        <f t="shared" si="132"/>
        <v>-0.90771678125243-0.351229425270806i</v>
      </c>
      <c r="AB386" s="227">
        <f t="shared" si="141"/>
        <v>-0.2350702355228238</v>
      </c>
      <c r="AC386" s="227">
        <f t="shared" si="142"/>
        <v>-158.84669011036777</v>
      </c>
      <c r="AD386" s="229">
        <f t="shared" si="143"/>
        <v>-13.782141752855557</v>
      </c>
      <c r="AE386" s="229">
        <f t="shared" si="144"/>
        <v>136.30940078053919</v>
      </c>
      <c r="AF386" s="227">
        <f t="shared" si="133"/>
        <v>-14.017211988378381</v>
      </c>
      <c r="AG386" s="227">
        <f t="shared" si="134"/>
        <v>-22.537289329828582</v>
      </c>
      <c r="AH386" s="229" t="str">
        <f t="shared" si="135"/>
        <v>0.147937936763148-0.141326131269312i</v>
      </c>
    </row>
    <row r="387" spans="2:34" x14ac:dyDescent="0.2">
      <c r="I387" s="227">
        <v>383</v>
      </c>
      <c r="J387" s="227">
        <f t="shared" si="123"/>
        <v>4.7342969277580425</v>
      </c>
      <c r="K387" s="227">
        <f t="shared" si="146"/>
        <v>54237.15838925034</v>
      </c>
      <c r="L387" s="227">
        <f t="shared" si="136"/>
        <v>340782.11669450975</v>
      </c>
      <c r="M387" s="227">
        <f t="shared" si="124"/>
        <v>49648.419467792213</v>
      </c>
      <c r="N387" s="227">
        <f>SQRT((ABS(AC387)-171.5+'Small Signal'!C$59)^2)</f>
        <v>57.810233493682631</v>
      </c>
      <c r="O387" s="227">
        <f t="shared" si="137"/>
        <v>23.626552197362514</v>
      </c>
      <c r="P387" s="227">
        <f t="shared" si="138"/>
        <v>14.125106353318806</v>
      </c>
      <c r="Q387" s="227">
        <f t="shared" si="145"/>
        <v>54237.15838925034</v>
      </c>
      <c r="R387" s="227" t="str">
        <f t="shared" si="125"/>
        <v>0.0945666666666667+1.6016759484642i</v>
      </c>
      <c r="S387" s="227" t="str">
        <f t="shared" si="126"/>
        <v>0.0085-0.11238228317819i</v>
      </c>
      <c r="T387" s="227" t="str">
        <f t="shared" si="127"/>
        <v>0.0094573114304444-0.112228224041302i</v>
      </c>
      <c r="U387" s="227" t="str">
        <f t="shared" si="128"/>
        <v>-0.459912345736261+0.845632246090563i</v>
      </c>
      <c r="V387" s="227">
        <f t="shared" si="139"/>
        <v>-0.33101488606460372</v>
      </c>
      <c r="W387" s="227">
        <f t="shared" si="140"/>
        <v>-241.45964413327613</v>
      </c>
      <c r="X387" s="227" t="str">
        <f t="shared" si="129"/>
        <v>0.979081462399-0.0425914715206907i</v>
      </c>
      <c r="Y387" s="227" t="str">
        <f t="shared" si="130"/>
        <v>0.764934315875342-15.0049448602913i</v>
      </c>
      <c r="Z387" s="227" t="str">
        <f t="shared" si="131"/>
        <v>0.057205259634025-7.66743118613379i</v>
      </c>
      <c r="AA387" s="227" t="str">
        <f t="shared" si="132"/>
        <v>-0.908830263158832-0.343232849572755i</v>
      </c>
      <c r="AB387" s="227">
        <f t="shared" si="141"/>
        <v>-0.25128661311889211</v>
      </c>
      <c r="AC387" s="227">
        <f t="shared" si="142"/>
        <v>-159.31023349368263</v>
      </c>
      <c r="AD387" s="229">
        <f t="shared" si="143"/>
        <v>-13.873819740199913</v>
      </c>
      <c r="AE387" s="229">
        <f t="shared" si="144"/>
        <v>135.68368129632012</v>
      </c>
      <c r="AF387" s="227">
        <f t="shared" si="133"/>
        <v>-14.125106353318806</v>
      </c>
      <c r="AG387" s="227">
        <f t="shared" si="134"/>
        <v>-23.626552197362514</v>
      </c>
      <c r="AH387" s="229" t="str">
        <f t="shared" si="135"/>
        <v>0.144848792435328-0.141432580771244i</v>
      </c>
    </row>
    <row r="388" spans="2:34" x14ac:dyDescent="0.2">
      <c r="I388" s="227">
        <v>384</v>
      </c>
      <c r="J388" s="227">
        <f t="shared" ref="J388:J451" si="147">1+I388*(LOG(fsw)-1)/500</f>
        <v>4.7440470502848253</v>
      </c>
      <c r="K388" s="227">
        <f t="shared" si="146"/>
        <v>55468.580285647426</v>
      </c>
      <c r="L388" s="227">
        <f t="shared" si="136"/>
        <v>348519.36866089114</v>
      </c>
      <c r="M388" s="227">
        <f t="shared" ref="M388:M451" si="148">SQRT((Fco_target-K389)^2)</f>
        <v>50907.800053987332</v>
      </c>
      <c r="N388" s="227">
        <f>SQRT((ABS(AC388)-171.5+'Small Signal'!C$59)^2)</f>
        <v>58.26686422319392</v>
      </c>
      <c r="O388" s="227">
        <f t="shared" si="137"/>
        <v>24.709967849839927</v>
      </c>
      <c r="P388" s="227">
        <f t="shared" si="138"/>
        <v>14.233901586848226</v>
      </c>
      <c r="Q388" s="227">
        <f t="shared" si="145"/>
        <v>55468.580285647426</v>
      </c>
      <c r="R388" s="227" t="str">
        <f t="shared" ref="R388:R451" si="149">IMSUM(COMPLEX(DCRss,Lss*L388),COMPLEX(Rdsonss,0),COMPLEX(40/3*Risense,0))</f>
        <v>0.0945666666666667+1.63804103270619i</v>
      </c>
      <c r="S388" s="227" t="str">
        <f t="shared" ref="S388:S451" si="150">IMSUM(COMPLEX(ESRss,0),IMDIV(COMPLEX(1,0),COMPLEX(0,L388*Cbulkss)))</f>
        <v>0.0085-0.109887357157729i</v>
      </c>
      <c r="T388" s="227" t="str">
        <f t="shared" ref="T388:T451" si="151">IMDIV(IMPRODUCT(S388,COMPLEX(Ross,0)),IMSUM(S388,COMPLEX(Ross,0)))</f>
        <v>0.00941503874939716-0.10973707280155i</v>
      </c>
      <c r="U388" s="227" t="str">
        <f t="shared" ref="U388:U451" si="152">IMPRODUCT(COMPLEX(Vinss,0),COMPLEX(M^2,0),IMDIV(IMSUB(COMPLEX(1,0),IMDIV(IMPRODUCT(R388,COMPLEX(M^2,0)),COMPLEX(Ross,0))),IMSUM(COMPLEX(1,0),IMDIV(IMPRODUCT(R388,COMPLEX(M^2,0)),T388))))</f>
        <v>-0.442699483622234+0.827853619506428i</v>
      </c>
      <c r="V388" s="227">
        <f t="shared" si="139"/>
        <v>-0.5486418228866915</v>
      </c>
      <c r="W388" s="227">
        <f t="shared" si="140"/>
        <v>-241.86410015261049</v>
      </c>
      <c r="X388" s="227" t="str">
        <f t="shared" ref="X388:X451" si="153">IMSUM(COMPLEX(1,L388/(wn*q0)),IMPOWER(COMPLEX(0,L388/wn),2))</f>
        <v>0.978120793607784-0.043558485136226i</v>
      </c>
      <c r="Y388" s="227" t="str">
        <f t="shared" ref="Y388:Y451" si="154">IMPRODUCT(COMPLEX(2*Ioutss*M^2,0),IMDIV(IMSUM(COMPLEX(1,0),IMDIV(COMPLEX(Ross,0),IMPRODUCT(COMPLEX(2,0),S388))),IMSUM(COMPLEX(1,0),IMDIV(IMPRODUCT(R388,COMPLEX(M^2,0)),T388))))</f>
        <v>0.731182005918357-14.6713702771333i</v>
      </c>
      <c r="Z388" s="227" t="str">
        <f t="shared" ref="Z388:Z451" si="155">IMPRODUCT(COMPLEX(Fm*40/3*Risense,0),Y388,X388)</f>
        <v>0.0396408406913807-7.48963375027373i</v>
      </c>
      <c r="AA388" s="227" t="str">
        <f t="shared" ref="AA388:AA451" si="156">IMDIV(IMPRODUCT(COMPLEX(Fm,0),U388),IMSUM(COMPLEX(1,0),Z388))</f>
        <v>-0.909970829824986-0.335401705288756i</v>
      </c>
      <c r="AB388" s="227">
        <f t="shared" si="141"/>
        <v>-0.26622168669105567</v>
      </c>
      <c r="AC388" s="227">
        <f t="shared" si="142"/>
        <v>-159.76686422319392</v>
      </c>
      <c r="AD388" s="229">
        <f t="shared" si="143"/>
        <v>-13.967679900157171</v>
      </c>
      <c r="AE388" s="229">
        <f t="shared" si="144"/>
        <v>135.05689637335399</v>
      </c>
      <c r="AF388" s="227">
        <f t="shared" ref="AF388:AF451" si="157">AD388+AB388</f>
        <v>-14.233901586848226</v>
      </c>
      <c r="AG388" s="227">
        <f t="shared" ref="AG388:AG451" si="158">AE388+AC388</f>
        <v>-24.709967849839927</v>
      </c>
      <c r="AH388" s="229" t="str">
        <f t="shared" ref="AH388:AH451" si="159">IMDIV(IMPRODUCT(COMPLEX(gea*Rea*Rslss/(Rslss+Rshss),0),COMPLEX(1,L388*Ccompss*Rcompss),COMPLEX(1,k_3*L388*Cffss*Rshss)),IMPRODUCT(COMPLEX(1,L388*Rea*Ccompss),COMPLEX(1,L388*Rcompss*Chfss),COMPLEX(1,k_3*L388*Rffss*Cffss)))</f>
        <v>0.141752865306268-0.141471615077844i</v>
      </c>
    </row>
    <row r="389" spans="2:34" x14ac:dyDescent="0.2">
      <c r="I389" s="227">
        <v>385</v>
      </c>
      <c r="J389" s="227">
        <f t="shared" si="147"/>
        <v>4.7537971728116091</v>
      </c>
      <c r="K389" s="227">
        <f t="shared" si="146"/>
        <v>56727.960871842544</v>
      </c>
      <c r="L389" s="227">
        <f t="shared" ref="L389:L452" si="160">2*PI()*K389</f>
        <v>356432.29025621957</v>
      </c>
      <c r="M389" s="227">
        <f t="shared" si="148"/>
        <v>52195.774115132008</v>
      </c>
      <c r="N389" s="227">
        <f>SQRT((ABS(AC389)-171.5+'Small Signal'!C$59)^2)</f>
        <v>58.716667455770448</v>
      </c>
      <c r="O389" s="227">
        <f t="shared" ref="O389:O452" si="161">ABS(AG389)</f>
        <v>25.787290518964767</v>
      </c>
      <c r="P389" s="227">
        <f t="shared" ref="P389:P452" si="162">ABS(AF389)</f>
        <v>14.34361603850574</v>
      </c>
      <c r="Q389" s="227">
        <f t="shared" si="145"/>
        <v>56727.960871842544</v>
      </c>
      <c r="R389" s="227" t="str">
        <f t="shared" si="149"/>
        <v>0.0945666666666667+1.67523176420423i</v>
      </c>
      <c r="S389" s="227" t="str">
        <f t="shared" si="150"/>
        <v>0.0085-0.107447819368148i</v>
      </c>
      <c r="T389" s="227" t="str">
        <f t="shared" si="151"/>
        <v>0.009374621915176-0.107301202896101i</v>
      </c>
      <c r="U389" s="227" t="str">
        <f t="shared" si="152"/>
        <v>-0.426242628223121+0.810404545440246i</v>
      </c>
      <c r="V389" s="227">
        <f t="shared" ref="V389:V452" si="163">20*LOG(IMABS(U389))</f>
        <v>-0.76528888474365542</v>
      </c>
      <c r="W389" s="227">
        <f t="shared" ref="W389:W452" si="164">IF(DEGREES(IMARGUMENT(U389))&gt;0,DEGREES(IMARGUMENT(U389))-360, DEGREES(IMARGUMENT(U389)))</f>
        <v>-242.25730021571934</v>
      </c>
      <c r="X389" s="227" t="str">
        <f t="shared" si="153"/>
        <v>0.977116006793406-0.0445474542113697i</v>
      </c>
      <c r="Y389" s="227" t="str">
        <f t="shared" si="154"/>
        <v>0.698925922501618-14.3452303263715i</v>
      </c>
      <c r="Z389" s="227" t="str">
        <f t="shared" si="155"/>
        <v>0.0228550685501053-7.31563238898931i</v>
      </c>
      <c r="AA389" s="227" t="str">
        <f t="shared" si="156"/>
        <v>-0.911140922406333-0.327731540246938i</v>
      </c>
      <c r="AB389" s="227">
        <f t="shared" ref="AB389:AB452" si="165">20*LOG(IMABS(AA389))</f>
        <v>-0.27989005210981244</v>
      </c>
      <c r="AC389" s="227">
        <f t="shared" ref="AC389:AC452" si="166">IF(DEGREES(IMARGUMENT(AA389))&gt;0,DEGREES(IMARGUMENT(AA389))-360, DEGREES(IMARGUMENT(AA389)))</f>
        <v>-160.21666745577045</v>
      </c>
      <c r="AD389" s="229">
        <f t="shared" ref="AD389:AD452" si="167">20*LOG(IMABS(AH389))</f>
        <v>-14.063725986395927</v>
      </c>
      <c r="AE389" s="229">
        <f t="shared" ref="AE389:AE452" si="168">180+DEGREES(IMARGUMENT(AH389))</f>
        <v>134.42937693680568</v>
      </c>
      <c r="AF389" s="227">
        <f t="shared" si="157"/>
        <v>-14.34361603850574</v>
      </c>
      <c r="AG389" s="227">
        <f t="shared" si="158"/>
        <v>-25.787290518964767</v>
      </c>
      <c r="AH389" s="229" t="str">
        <f t="shared" si="159"/>
        <v>0.138653261520109-0.14144290181461i</v>
      </c>
    </row>
    <row r="390" spans="2:34" x14ac:dyDescent="0.2">
      <c r="I390" s="227">
        <v>386</v>
      </c>
      <c r="J390" s="227">
        <f t="shared" si="147"/>
        <v>4.7635472953383928</v>
      </c>
      <c r="K390" s="227">
        <f t="shared" si="146"/>
        <v>58015.93493298722</v>
      </c>
      <c r="L390" s="227">
        <f t="shared" si="160"/>
        <v>364524.86995323218</v>
      </c>
      <c r="M390" s="227">
        <f t="shared" si="148"/>
        <v>53512.990848790818</v>
      </c>
      <c r="N390" s="227">
        <f>SQRT((ABS(AC390)-171.5+'Small Signal'!C$59)^2)</f>
        <v>59.159735872441956</v>
      </c>
      <c r="O390" s="227">
        <f t="shared" si="161"/>
        <v>26.858281177967655</v>
      </c>
      <c r="P390" s="227">
        <f t="shared" si="162"/>
        <v>14.454264383415008</v>
      </c>
      <c r="Q390" s="227">
        <f t="shared" si="145"/>
        <v>58015.93493298722</v>
      </c>
      <c r="R390" s="227" t="str">
        <f t="shared" si="149"/>
        <v>0.0945666666666667+1.71326688878019i</v>
      </c>
      <c r="S390" s="227" t="str">
        <f t="shared" si="150"/>
        <v>0.0085-0.105062440171336i</v>
      </c>
      <c r="T390" s="227" t="str">
        <f t="shared" si="151"/>
        <v>0.00933597946348744-0.104919388564025i</v>
      </c>
      <c r="U390" s="227" t="str">
        <f t="shared" si="152"/>
        <v>-0.410508568182237+0.793281987673624i</v>
      </c>
      <c r="V390" s="227">
        <f t="shared" si="163"/>
        <v>-0.98098566619037464</v>
      </c>
      <c r="W390" s="227">
        <f t="shared" si="164"/>
        <v>-242.63928177747326</v>
      </c>
      <c r="X390" s="227" t="str">
        <f t="shared" si="153"/>
        <v>0.976065075867388-0.0455588772315607i</v>
      </c>
      <c r="Y390" s="227" t="str">
        <f t="shared" si="154"/>
        <v>0.668099146372967-14.0263581397073i</v>
      </c>
      <c r="Z390" s="227" t="str">
        <f t="shared" si="155"/>
        <v>0.00681311598946766-7.14533808463518i</v>
      </c>
      <c r="AA390" s="227" t="str">
        <f t="shared" si="156"/>
        <v>-0.912343055048588-0.320217940102538i</v>
      </c>
      <c r="AB390" s="227">
        <f t="shared" si="165"/>
        <v>-0.29230483239925803</v>
      </c>
      <c r="AC390" s="227">
        <f t="shared" si="166"/>
        <v>-160.65973587244196</v>
      </c>
      <c r="AD390" s="229">
        <f t="shared" si="167"/>
        <v>-14.16195955101575</v>
      </c>
      <c r="AE390" s="229">
        <f t="shared" si="168"/>
        <v>133.8014546944743</v>
      </c>
      <c r="AF390" s="227">
        <f t="shared" si="157"/>
        <v>-14.454264383415008</v>
      </c>
      <c r="AG390" s="227">
        <f t="shared" si="158"/>
        <v>-26.858281177967655</v>
      </c>
      <c r="AH390" s="229" t="str">
        <f t="shared" si="159"/>
        <v>0.135553102014575-0.141346283967175i</v>
      </c>
    </row>
    <row r="391" spans="2:34" x14ac:dyDescent="0.2">
      <c r="I391" s="227">
        <v>387</v>
      </c>
      <c r="J391" s="227">
        <f t="shared" si="147"/>
        <v>4.7732974178651757</v>
      </c>
      <c r="K391" s="227">
        <f t="shared" si="146"/>
        <v>59333.15166664603</v>
      </c>
      <c r="L391" s="227">
        <f t="shared" si="160"/>
        <v>372801.18678052834</v>
      </c>
      <c r="M391" s="227">
        <f t="shared" si="148"/>
        <v>54860.114192167122</v>
      </c>
      <c r="N391" s="227">
        <f>SQRT((ABS(AC391)-171.5+'Small Signal'!C$59)^2)</f>
        <v>59.596169541052689</v>
      </c>
      <c r="O391" s="227">
        <f t="shared" si="161"/>
        <v>27.922708215103114</v>
      </c>
      <c r="P391" s="227">
        <f t="shared" si="162"/>
        <v>14.565857565550502</v>
      </c>
      <c r="Q391" s="227">
        <f t="shared" si="145"/>
        <v>59333.15166664603</v>
      </c>
      <c r="R391" s="227" t="str">
        <f t="shared" si="149"/>
        <v>0.0945666666666667+1.75216557786848i</v>
      </c>
      <c r="S391" s="227" t="str">
        <f t="shared" si="150"/>
        <v>0.0085-0.102730017227579i</v>
      </c>
      <c r="T391" s="227" t="str">
        <f t="shared" si="151"/>
        <v>0.0092990335050754-0.102590431158778i</v>
      </c>
      <c r="U391" s="227" t="str">
        <f t="shared" si="152"/>
        <v>-0.395465551468528+0.776482694673907i</v>
      </c>
      <c r="V391" s="227">
        <f t="shared" si="163"/>
        <v>-1.1957608891214786</v>
      </c>
      <c r="W391" s="227">
        <f t="shared" si="164"/>
        <v>-243.01008509097011</v>
      </c>
      <c r="X391" s="227" t="str">
        <f t="shared" si="153"/>
        <v>0.974965881694598-0.0465932640000483i</v>
      </c>
      <c r="Y391" s="227" t="str">
        <f t="shared" si="154"/>
        <v>0.638637801678117-13.7145906629055i</v>
      </c>
      <c r="Z391" s="227" t="str">
        <f t="shared" si="155"/>
        <v>-0.00851826014846174-6.97866376805369i</v>
      </c>
      <c r="AA391" s="227" t="str">
        <f t="shared" si="156"/>
        <v>-0.913579821203186-0.312856522795948i</v>
      </c>
      <c r="AB391" s="227">
        <f t="shared" si="165"/>
        <v>-0.30347762690413249</v>
      </c>
      <c r="AC391" s="227">
        <f t="shared" si="166"/>
        <v>-161.09616954105269</v>
      </c>
      <c r="AD391" s="229">
        <f t="shared" si="167"/>
        <v>-14.262379938646369</v>
      </c>
      <c r="AE391" s="229">
        <f t="shared" si="168"/>
        <v>133.17346132594957</v>
      </c>
      <c r="AF391" s="227">
        <f t="shared" si="157"/>
        <v>-14.565857565550502</v>
      </c>
      <c r="AG391" s="227">
        <f t="shared" si="158"/>
        <v>-27.922708215103114</v>
      </c>
      <c r="AH391" s="229" t="str">
        <f t="shared" si="159"/>
        <v>0.132455509965902-0.141181780590859i</v>
      </c>
    </row>
    <row r="392" spans="2:34" x14ac:dyDescent="0.2">
      <c r="I392" s="227">
        <v>388</v>
      </c>
      <c r="J392" s="227">
        <f t="shared" si="147"/>
        <v>4.7830475403919586</v>
      </c>
      <c r="K392" s="227">
        <f t="shared" si="146"/>
        <v>60680.275010022335</v>
      </c>
      <c r="L392" s="227">
        <f t="shared" si="160"/>
        <v>381265.41237858898</v>
      </c>
      <c r="M392" s="227">
        <f t="shared" si="148"/>
        <v>56237.823156756771</v>
      </c>
      <c r="N392" s="227">
        <f>SQRT((ABS(AC392)-171.5+'Small Signal'!C$59)^2)</f>
        <v>60.026075800280495</v>
      </c>
      <c r="O392" s="227">
        <f t="shared" si="161"/>
        <v>28.980348129484383</v>
      </c>
      <c r="P392" s="227">
        <f t="shared" si="162"/>
        <v>14.678402750788411</v>
      </c>
      <c r="Q392" s="227">
        <f t="shared" si="145"/>
        <v>60680.275010022335</v>
      </c>
      <c r="R392" s="227" t="str">
        <f t="shared" si="149"/>
        <v>0.0945666666666667+1.79194743817937i</v>
      </c>
      <c r="S392" s="227" t="str">
        <f t="shared" si="150"/>
        <v>0.0085-0.100449374889523i</v>
      </c>
      <c r="T392" s="227" t="str">
        <f t="shared" si="151"/>
        <v>0.00926370956891079-0.100313158552623i</v>
      </c>
      <c r="U392" s="227" t="str">
        <f t="shared" si="152"/>
        <v>-0.381083221251813+0.760003223207923i</v>
      </c>
      <c r="V392" s="227">
        <f t="shared" si="163"/>
        <v>-1.4096423905795334</v>
      </c>
      <c r="W392" s="227">
        <f t="shared" si="164"/>
        <v>-243.36975290690611</v>
      </c>
      <c r="X392" s="227" t="str">
        <f t="shared" si="153"/>
        <v>0.973816207820146-0.0476511358948569i</v>
      </c>
      <c r="Y392" s="227" t="str">
        <f t="shared" si="154"/>
        <v>0.610480913296074-13.409768564929i</v>
      </c>
      <c r="Z392" s="227" t="str">
        <f t="shared" si="155"/>
        <v>-0.0231707932285287-6.8155242700746i</v>
      </c>
      <c r="AA392" s="227" t="str">
        <f t="shared" si="156"/>
        <v>-0.914853900219966-0.305642932710389i</v>
      </c>
      <c r="AB392" s="227">
        <f t="shared" si="165"/>
        <v>-0.31341846136933443</v>
      </c>
      <c r="AC392" s="227">
        <f t="shared" si="166"/>
        <v>-161.52607580028049</v>
      </c>
      <c r="AD392" s="229">
        <f t="shared" si="167"/>
        <v>-14.364984289419077</v>
      </c>
      <c r="AE392" s="229">
        <f t="shared" si="168"/>
        <v>132.54572767079611</v>
      </c>
      <c r="AF392" s="227">
        <f t="shared" si="157"/>
        <v>-14.678402750788411</v>
      </c>
      <c r="AG392" s="227">
        <f t="shared" si="158"/>
        <v>-28.980348129484383</v>
      </c>
      <c r="AH392" s="229" t="str">
        <f t="shared" si="159"/>
        <v>0.129363598214638-0.140949586445252i</v>
      </c>
    </row>
    <row r="393" spans="2:34" x14ac:dyDescent="0.2">
      <c r="I393" s="227">
        <v>389</v>
      </c>
      <c r="J393" s="227">
        <f t="shared" si="147"/>
        <v>4.7927976629187423</v>
      </c>
      <c r="K393" s="227">
        <f t="shared" si="146"/>
        <v>62057.983974611983</v>
      </c>
      <c r="L393" s="227">
        <f t="shared" si="160"/>
        <v>389921.81310246821</v>
      </c>
      <c r="M393" s="227">
        <f t="shared" si="148"/>
        <v>57646.812170601363</v>
      </c>
      <c r="N393" s="227">
        <f>SQRT((ABS(AC393)-171.5+'Small Signal'!C$59)^2)</f>
        <v>60.449569167001243</v>
      </c>
      <c r="O393" s="227">
        <f t="shared" si="161"/>
        <v>30.030986246234988</v>
      </c>
      <c r="P393" s="227">
        <f t="shared" si="162"/>
        <v>14.791903289447147</v>
      </c>
      <c r="Q393" s="227">
        <f t="shared" si="145"/>
        <v>62057.983974611983</v>
      </c>
      <c r="R393" s="227" t="str">
        <f t="shared" si="149"/>
        <v>0.0945666666666667+1.8326325215816i</v>
      </c>
      <c r="S393" s="227" t="str">
        <f t="shared" si="150"/>
        <v>0.0085-0.0982193636095997i</v>
      </c>
      <c r="T393" s="227" t="str">
        <f t="shared" si="151"/>
        <v>0.00922993645225245-0.0980864245538691i</v>
      </c>
      <c r="U393" s="227" t="str">
        <f t="shared" si="152"/>
        <v>-0.367332554592208+0.743839960160371i</v>
      </c>
      <c r="V393" s="227">
        <f t="shared" si="163"/>
        <v>-1.6226571128980836</v>
      </c>
      <c r="W393" s="227">
        <f t="shared" si="164"/>
        <v>-243.718330179779</v>
      </c>
      <c r="X393" s="227" t="str">
        <f t="shared" si="153"/>
        <v>0.972613736000048-0.0487330261315834i</v>
      </c>
      <c r="Y393" s="227" t="str">
        <f t="shared" si="154"/>
        <v>0.583570271215516-13.1117361493957i</v>
      </c>
      <c r="Z393" s="227" t="str">
        <f t="shared" si="155"/>
        <v>-0.0371747774256739-6.65583627421046i</v>
      </c>
      <c r="AA393" s="227" t="str">
        <f t="shared" si="156"/>
        <v>-0.916168064240671-0.2985728344961i</v>
      </c>
      <c r="AB393" s="227">
        <f t="shared" si="165"/>
        <v>-0.32213573866192058</v>
      </c>
      <c r="AC393" s="227">
        <f t="shared" si="166"/>
        <v>-161.94956916700124</v>
      </c>
      <c r="AD393" s="229">
        <f t="shared" si="167"/>
        <v>-14.469767550785226</v>
      </c>
      <c r="AE393" s="229">
        <f t="shared" si="168"/>
        <v>131.91858292076626</v>
      </c>
      <c r="AF393" s="227">
        <f t="shared" si="157"/>
        <v>-14.791903289447147</v>
      </c>
      <c r="AG393" s="227">
        <f t="shared" si="158"/>
        <v>-30.030986246234988</v>
      </c>
      <c r="AH393" s="229" t="str">
        <f t="shared" si="159"/>
        <v>0.126280456779752-0.140650070557801i</v>
      </c>
    </row>
    <row r="394" spans="2:34" x14ac:dyDescent="0.2">
      <c r="I394" s="227">
        <v>390</v>
      </c>
      <c r="J394" s="227">
        <f t="shared" si="147"/>
        <v>4.8025477854455261</v>
      </c>
      <c r="K394" s="227">
        <f t="shared" si="146"/>
        <v>63466.972988456575</v>
      </c>
      <c r="L394" s="227">
        <f t="shared" si="160"/>
        <v>398774.752172234</v>
      </c>
      <c r="M394" s="227">
        <f t="shared" si="148"/>
        <v>59087.791428311226</v>
      </c>
      <c r="N394" s="227">
        <f>SQRT((ABS(AC394)-171.5+'Small Signal'!C$59)^2)</f>
        <v>60.866771268986327</v>
      </c>
      <c r="O394" s="227">
        <f t="shared" si="161"/>
        <v>31.074417447985383</v>
      </c>
      <c r="P394" s="227">
        <f t="shared" si="162"/>
        <v>14.906358687940129</v>
      </c>
      <c r="Q394" s="227">
        <f t="shared" si="145"/>
        <v>63466.972988456575</v>
      </c>
      <c r="R394" s="227" t="str">
        <f t="shared" si="149"/>
        <v>0.0945666666666667+1.8742413352095i</v>
      </c>
      <c r="S394" s="227" t="str">
        <f t="shared" si="150"/>
        <v>0.0085-0.0960388593605955i</v>
      </c>
      <c r="T394" s="227" t="str">
        <f t="shared" si="151"/>
        <v>0.00919764607727882-0.0959091083366497i</v>
      </c>
      <c r="U394" s="227" t="str">
        <f t="shared" si="152"/>
        <v>-0.354185803820913+0.727989142684096i</v>
      </c>
      <c r="V394" s="227">
        <f t="shared" si="163"/>
        <v>-1.8348310960054026</v>
      </c>
      <c r="W394" s="227">
        <f t="shared" si="164"/>
        <v>-244.05586378168869</v>
      </c>
      <c r="X394" s="227" t="str">
        <f t="shared" si="153"/>
        <v>0.971356041526631-0.0498394800321628i</v>
      </c>
      <c r="Y394" s="227" t="str">
        <f t="shared" si="154"/>
        <v>0.557850301576062-12.820341268291i</v>
      </c>
      <c r="Z394" s="227" t="str">
        <f t="shared" si="155"/>
        <v>-0.0505591348573751-6.49951827051231i</v>
      </c>
      <c r="AA394" s="227" t="str">
        <f t="shared" si="156"/>
        <v>-0.917525185418875-0.29164190652439i</v>
      </c>
      <c r="AB394" s="227">
        <f t="shared" si="165"/>
        <v>-0.32963618985666787</v>
      </c>
      <c r="AC394" s="227">
        <f t="shared" si="166"/>
        <v>-162.36677126898633</v>
      </c>
      <c r="AD394" s="229">
        <f t="shared" si="167"/>
        <v>-14.576722498083461</v>
      </c>
      <c r="AE394" s="229">
        <f t="shared" si="168"/>
        <v>131.29235382100094</v>
      </c>
      <c r="AF394" s="227">
        <f t="shared" si="157"/>
        <v>-14.906358687940129</v>
      </c>
      <c r="AG394" s="227">
        <f t="shared" si="158"/>
        <v>-31.074417447985383</v>
      </c>
      <c r="AH394" s="229" t="str">
        <f t="shared" si="159"/>
        <v>0.123209140567178-0.140283773732513i</v>
      </c>
    </row>
    <row r="395" spans="2:34" x14ac:dyDescent="0.2">
      <c r="I395" s="227">
        <v>391</v>
      </c>
      <c r="J395" s="227">
        <f t="shared" si="147"/>
        <v>4.8122979079723098</v>
      </c>
      <c r="K395" s="227">
        <f t="shared" si="146"/>
        <v>64907.952246166438</v>
      </c>
      <c r="L395" s="227">
        <f t="shared" si="160"/>
        <v>407828.69187222718</v>
      </c>
      <c r="M395" s="227">
        <f t="shared" si="148"/>
        <v>60561.487249035999</v>
      </c>
      <c r="N395" s="227">
        <f>SQRT((ABS(AC395)-171.5+'Small Signal'!C$59)^2)</f>
        <v>61.277810804931818</v>
      </c>
      <c r="O395" s="227">
        <f t="shared" si="161"/>
        <v>32.11044691985586</v>
      </c>
      <c r="P395" s="227">
        <f t="shared" si="162"/>
        <v>15.021764589087343</v>
      </c>
      <c r="Q395" s="227">
        <f t="shared" si="145"/>
        <v>64907.952246166438</v>
      </c>
      <c r="R395" s="227" t="str">
        <f t="shared" si="149"/>
        <v>0.0945666666666667+1.91679485179947i</v>
      </c>
      <c r="S395" s="227" t="str">
        <f t="shared" si="150"/>
        <v>0.0085-0.0939067630690985i</v>
      </c>
      <c r="T395" s="227" t="str">
        <f t="shared" si="151"/>
        <v>0.00916677335400316-0.0937801138830143i</v>
      </c>
      <c r="U395" s="227" t="str">
        <f t="shared" si="152"/>
        <v>-0.341616440494998+0.712446876800802i</v>
      </c>
      <c r="V395" s="227">
        <f t="shared" si="163"/>
        <v>-2.0461894717124105</v>
      </c>
      <c r="W395" s="227">
        <f t="shared" si="164"/>
        <v>-244.38240222438858</v>
      </c>
      <c r="X395" s="227" t="str">
        <f t="shared" si="153"/>
        <v>0.970040588339267-0.0509710552997347i</v>
      </c>
      <c r="Y395" s="227" t="str">
        <f t="shared" si="154"/>
        <v>0.533267944020919-12.5354352378834i</v>
      </c>
      <c r="Z395" s="227" t="str">
        <f t="shared" si="155"/>
        <v>-0.063351479429673-6.34649051055708i</v>
      </c>
      <c r="AA395" s="227" t="str">
        <f t="shared" si="156"/>
        <v>-0.918928243493191-0.284845833930912i</v>
      </c>
      <c r="AB395" s="227">
        <f t="shared" si="165"/>
        <v>-0.33592482540615176</v>
      </c>
      <c r="AC395" s="227">
        <f t="shared" si="166"/>
        <v>-162.77781080493182</v>
      </c>
      <c r="AD395" s="229">
        <f t="shared" si="167"/>
        <v>-14.685839763681191</v>
      </c>
      <c r="AE395" s="229">
        <f t="shared" si="168"/>
        <v>130.66736388507596</v>
      </c>
      <c r="AF395" s="227">
        <f t="shared" si="157"/>
        <v>-15.021764589087343</v>
      </c>
      <c r="AG395" s="227">
        <f t="shared" si="158"/>
        <v>-32.11044691985586</v>
      </c>
      <c r="AH395" s="229" t="str">
        <f t="shared" si="159"/>
        <v>0.12015265737612-0.139851405031816i</v>
      </c>
    </row>
    <row r="396" spans="2:34" x14ac:dyDescent="0.2">
      <c r="B396" s="220"/>
      <c r="I396" s="227">
        <v>392</v>
      </c>
      <c r="J396" s="227">
        <f t="shared" si="147"/>
        <v>4.8220480304990927</v>
      </c>
      <c r="K396" s="227">
        <f t="shared" si="146"/>
        <v>66381.648066891212</v>
      </c>
      <c r="L396" s="227">
        <f t="shared" si="160"/>
        <v>417088.19580025703</v>
      </c>
      <c r="M396" s="227">
        <f t="shared" si="148"/>
        <v>62068.642442562705</v>
      </c>
      <c r="N396" s="227">
        <f>SQRT((ABS(AC396)-171.5+'Small Signal'!C$59)^2)</f>
        <v>61.682823533865275</v>
      </c>
      <c r="O396" s="227">
        <f t="shared" si="161"/>
        <v>33.13889090527735</v>
      </c>
      <c r="P396" s="227">
        <f t="shared" si="162"/>
        <v>15.138112760555924</v>
      </c>
      <c r="Q396" s="227">
        <f t="shared" si="145"/>
        <v>66381.648066891212</v>
      </c>
      <c r="R396" s="227" t="str">
        <f t="shared" si="149"/>
        <v>0.0945666666666667+1.96031452026121i</v>
      </c>
      <c r="S396" s="227" t="str">
        <f t="shared" si="150"/>
        <v>0.0085-0.091822000061508i</v>
      </c>
      <c r="T396" s="227" t="str">
        <f t="shared" si="151"/>
        <v>0.009137256049197-0.0916983694370427i</v>
      </c>
      <c r="U396" s="227" t="str">
        <f t="shared" si="152"/>
        <v>-0.329599101813525+0.697209154561836i</v>
      </c>
      <c r="V396" s="227">
        <f t="shared" si="163"/>
        <v>-2.2567564598175278</v>
      </c>
      <c r="W396" s="227">
        <f t="shared" si="164"/>
        <v>-244.69799539014883</v>
      </c>
      <c r="X396" s="227" t="str">
        <f t="shared" si="153"/>
        <v>0.968664723910566-0.0521283222997514i</v>
      </c>
      <c r="Y396" s="227" t="str">
        <f t="shared" si="154"/>
        <v>0.509772535027823-12.2568727567765i</v>
      </c>
      <c r="Z396" s="227" t="str">
        <f t="shared" si="155"/>
        <v>-0.0755781775701156-6.19667496353119i</v>
      </c>
      <c r="AA396" s="227" t="str">
        <f t="shared" si="156"/>
        <v>-0.920380333742685-0.278180301202961i</v>
      </c>
      <c r="AB396" s="227">
        <f t="shared" si="165"/>
        <v>-0.34100488611129903</v>
      </c>
      <c r="AC396" s="227">
        <f t="shared" si="166"/>
        <v>-163.18282353386527</v>
      </c>
      <c r="AD396" s="229">
        <f t="shared" si="167"/>
        <v>-14.797107874444624</v>
      </c>
      <c r="AE396" s="229">
        <f t="shared" si="168"/>
        <v>130.04393262858792</v>
      </c>
      <c r="AF396" s="227">
        <f t="shared" si="157"/>
        <v>-15.138112760555924</v>
      </c>
      <c r="AG396" s="227">
        <f t="shared" si="158"/>
        <v>-33.13889090527735</v>
      </c>
      <c r="AH396" s="229" t="str">
        <f t="shared" si="159"/>
        <v>0.117113956302105-0.13935383727102i</v>
      </c>
    </row>
    <row r="397" spans="2:34" x14ac:dyDescent="0.2">
      <c r="B397" s="220"/>
      <c r="I397" s="227">
        <v>393</v>
      </c>
      <c r="J397" s="227">
        <f t="shared" si="147"/>
        <v>4.8317981530258756</v>
      </c>
      <c r="K397" s="227">
        <f t="shared" si="146"/>
        <v>67888.803260417917</v>
      </c>
      <c r="L397" s="227">
        <f t="shared" si="160"/>
        <v>426557.93116786343</v>
      </c>
      <c r="M397" s="227">
        <f t="shared" si="148"/>
        <v>63610.016683725917</v>
      </c>
      <c r="N397" s="227">
        <f>SQRT((ABS(AC397)-171.5+'Small Signal'!C$59)^2)</f>
        <v>62.081952296022024</v>
      </c>
      <c r="O397" s="227">
        <f t="shared" si="161"/>
        <v>34.159577470246461</v>
      </c>
      <c r="P397" s="227">
        <f t="shared" si="162"/>
        <v>15.255391090832843</v>
      </c>
      <c r="Q397" s="227">
        <f t="shared" si="145"/>
        <v>67888.803260417917</v>
      </c>
      <c r="R397" s="227" t="str">
        <f t="shared" si="149"/>
        <v>0.0945666666666667+2.00482227648896i</v>
      </c>
      <c r="S397" s="227" t="str">
        <f t="shared" si="150"/>
        <v>0.0085-0.0897835195223555i</v>
      </c>
      <c r="T397" s="227" t="str">
        <f t="shared" si="151"/>
        <v>0.00910903466105943-0.0896628269707841i</v>
      </c>
      <c r="U397" s="227" t="str">
        <f t="shared" si="152"/>
        <v>-0.318109539387572+0.682271869871652i</v>
      </c>
      <c r="V397" s="227">
        <f t="shared" si="163"/>
        <v>-2.4665553658560064</v>
      </c>
      <c r="W397" s="227">
        <f t="shared" si="164"/>
        <v>-245.0026942718942</v>
      </c>
      <c r="X397" s="227" t="str">
        <f t="shared" si="153"/>
        <v>0.96722567389773-0.0533118643474682i</v>
      </c>
      <c r="Y397" s="227" t="str">
        <f t="shared" si="154"/>
        <v>0.487315696904879-11.9845118260477i</v>
      </c>
      <c r="Z397" s="227" t="str">
        <f t="shared" si="155"/>
        <v>-0.0872644060110723-6.04999527338346i</v>
      </c>
      <c r="AA397" s="227" t="str">
        <f t="shared" si="156"/>
        <v>-0.921884675355114-0.271640984260742i</v>
      </c>
      <c r="AB397" s="227">
        <f t="shared" si="165"/>
        <v>-0.34487779360764242</v>
      </c>
      <c r="AC397" s="227">
        <f t="shared" si="166"/>
        <v>-163.58195229602202</v>
      </c>
      <c r="AD397" s="229">
        <f t="shared" si="167"/>
        <v>-14.910513297225201</v>
      </c>
      <c r="AE397" s="229">
        <f t="shared" si="168"/>
        <v>129.42237482577556</v>
      </c>
      <c r="AF397" s="227">
        <f t="shared" si="157"/>
        <v>-15.255391090832843</v>
      </c>
      <c r="AG397" s="227">
        <f t="shared" si="158"/>
        <v>-34.159577470246461</v>
      </c>
      <c r="AH397" s="229" t="str">
        <f t="shared" si="159"/>
        <v>0.114095916630073-0.138792101575448i</v>
      </c>
    </row>
    <row r="398" spans="2:34" x14ac:dyDescent="0.2">
      <c r="B398" s="220"/>
      <c r="I398" s="227">
        <v>394</v>
      </c>
      <c r="J398" s="227">
        <f t="shared" si="147"/>
        <v>4.8415482755526593</v>
      </c>
      <c r="K398" s="227">
        <f t="shared" si="146"/>
        <v>69430.177501581129</v>
      </c>
      <c r="L398" s="227">
        <f t="shared" si="160"/>
        <v>436242.67115280521</v>
      </c>
      <c r="M398" s="227">
        <f t="shared" si="148"/>
        <v>65186.386895317526</v>
      </c>
      <c r="N398" s="227">
        <f>SQRT((ABS(AC398)-171.5+'Small Signal'!C$59)^2)</f>
        <v>62.47534706737892</v>
      </c>
      <c r="O398" s="227">
        <f t="shared" si="161"/>
        <v>35.17234727397863</v>
      </c>
      <c r="P398" s="227">
        <f t="shared" si="162"/>
        <v>15.373583592065156</v>
      </c>
      <c r="Q398" s="227">
        <f t="shared" si="145"/>
        <v>69430.177501581129</v>
      </c>
      <c r="R398" s="227" t="str">
        <f t="shared" si="149"/>
        <v>0.0945666666666667+2.05034055441818i</v>
      </c>
      <c r="S398" s="227" t="str">
        <f t="shared" si="150"/>
        <v>0.0085-0.0877902939646423i</v>
      </c>
      <c r="T398" s="227" t="str">
        <f t="shared" si="151"/>
        <v>0.00908205229938035-0.0876724616617384i</v>
      </c>
      <c r="U398" s="227" t="str">
        <f t="shared" si="152"/>
        <v>-0.307124570260937+0.667630833068625i</v>
      </c>
      <c r="V398" s="227">
        <f t="shared" si="163"/>
        <v>-2.6756085803347283</v>
      </c>
      <c r="W398" s="227">
        <f t="shared" si="164"/>
        <v>-245.29655072300375</v>
      </c>
      <c r="X398" s="227" t="str">
        <f t="shared" si="153"/>
        <v>0.965720536548259-0.0545222780019609i</v>
      </c>
      <c r="Y398" s="227" t="str">
        <f t="shared" si="154"/>
        <v>0.465851232155854-11.7182136714105i</v>
      </c>
      <c r="Z398" s="227" t="str">
        <f t="shared" si="155"/>
        <v>-0.0984342067771542-5.90637671701348i</v>
      </c>
      <c r="AA398" s="227" t="str">
        <f t="shared" si="156"/>
        <v>-0.923444620240788-0.265223541976689i</v>
      </c>
      <c r="AB398" s="227">
        <f t="shared" si="165"/>
        <v>-0.3475431000804855</v>
      </c>
      <c r="AC398" s="227">
        <f t="shared" si="166"/>
        <v>-163.97534706737892</v>
      </c>
      <c r="AD398" s="229">
        <f t="shared" si="167"/>
        <v>-15.02604049198467</v>
      </c>
      <c r="AE398" s="229">
        <f t="shared" si="168"/>
        <v>128.80299979340029</v>
      </c>
      <c r="AF398" s="227">
        <f t="shared" si="157"/>
        <v>-15.373583592065156</v>
      </c>
      <c r="AG398" s="227">
        <f t="shared" si="158"/>
        <v>-35.17234727397863</v>
      </c>
      <c r="AH398" s="229" t="str">
        <f t="shared" si="159"/>
        <v>0.111101337303821-0.138167381060163i</v>
      </c>
    </row>
    <row r="399" spans="2:34" x14ac:dyDescent="0.2">
      <c r="B399" s="220"/>
      <c r="I399" s="227">
        <v>395</v>
      </c>
      <c r="J399" s="227">
        <f t="shared" si="147"/>
        <v>4.8512983980794431</v>
      </c>
      <c r="K399" s="227">
        <f t="shared" si="146"/>
        <v>71006.547713172738</v>
      </c>
      <c r="L399" s="227">
        <f t="shared" si="160"/>
        <v>446147.29730495322</v>
      </c>
      <c r="M399" s="227">
        <f t="shared" si="148"/>
        <v>66798.547639692042</v>
      </c>
      <c r="N399" s="227">
        <f>SQRT((ABS(AC399)-171.5+'Small Signal'!C$59)^2)</f>
        <v>62.863165050124081</v>
      </c>
      <c r="O399" s="227">
        <f t="shared" si="161"/>
        <v>36.177054344296749</v>
      </c>
      <c r="P399" s="227">
        <f t="shared" si="162"/>
        <v>15.492670409047964</v>
      </c>
      <c r="Q399" s="227">
        <f t="shared" si="145"/>
        <v>71006.547713172738</v>
      </c>
      <c r="R399" s="227" t="str">
        <f t="shared" si="149"/>
        <v>0.0945666666666667+2.09689229733328i</v>
      </c>
      <c r="S399" s="227" t="str">
        <f t="shared" si="150"/>
        <v>0.0085-0.0858413187119406i</v>
      </c>
      <c r="T399" s="227" t="str">
        <f t="shared" si="151"/>
        <v>0.00905625457095747-0.0857262713816715i</v>
      </c>
      <c r="U399" s="227" t="str">
        <f t="shared" si="152"/>
        <v>-0.296622030083083+0.653281784351771i</v>
      </c>
      <c r="V399" s="227">
        <f t="shared" si="163"/>
        <v>-2.8839375792913913</v>
      </c>
      <c r="W399" s="227">
        <f t="shared" si="164"/>
        <v>-245.57961721707369</v>
      </c>
      <c r="X399" s="227" t="str">
        <f t="shared" si="153"/>
        <v>0.96414627684876-0.0557601733668179i</v>
      </c>
      <c r="Y399" s="227" t="str">
        <f t="shared" si="154"/>
        <v>0.445335022936622-11.4578426673511i</v>
      </c>
      <c r="Z399" s="227" t="str">
        <f t="shared" si="155"/>
        <v>-0.109110539521862-5.76574616346886i</v>
      </c>
      <c r="AA399" s="227" t="str">
        <f t="shared" si="156"/>
        <v>-0.925063662326725-0.258923607070767i</v>
      </c>
      <c r="AB399" s="227">
        <f t="shared" si="165"/>
        <v>-0.34899843692326704</v>
      </c>
      <c r="AC399" s="227">
        <f t="shared" si="166"/>
        <v>-164.36316505012408</v>
      </c>
      <c r="AD399" s="229">
        <f t="shared" si="167"/>
        <v>-15.143671972124697</v>
      </c>
      <c r="AE399" s="229">
        <f t="shared" si="168"/>
        <v>128.18611070582733</v>
      </c>
      <c r="AF399" s="227">
        <f t="shared" si="157"/>
        <v>-15.492670409047964</v>
      </c>
      <c r="AG399" s="227">
        <f t="shared" si="158"/>
        <v>-36.177054344296749</v>
      </c>
      <c r="AH399" s="229" t="str">
        <f t="shared" si="159"/>
        <v>0.108132927050061-0.137481003700884i</v>
      </c>
    </row>
    <row r="400" spans="2:34" x14ac:dyDescent="0.2">
      <c r="B400" s="220"/>
      <c r="I400" s="227">
        <v>396</v>
      </c>
      <c r="J400" s="227">
        <f t="shared" si="147"/>
        <v>4.8610485206062268</v>
      </c>
      <c r="K400" s="227">
        <f t="shared" si="146"/>
        <v>72618.708457547255</v>
      </c>
      <c r="L400" s="227">
        <f t="shared" si="160"/>
        <v>456276.80200681888</v>
      </c>
      <c r="M400" s="227">
        <f t="shared" si="148"/>
        <v>68447.311519261813</v>
      </c>
      <c r="N400" s="227">
        <f>SQRT((ABS(AC400)-171.5+'Small Signal'!C$59)^2)</f>
        <v>63.245570801490004</v>
      </c>
      <c r="O400" s="227">
        <f t="shared" si="161"/>
        <v>37.173566856592601</v>
      </c>
      <c r="P400" s="227">
        <f t="shared" si="162"/>
        <v>15.612627833582122</v>
      </c>
      <c r="Q400" s="227">
        <f t="shared" si="145"/>
        <v>72618.708457547255</v>
      </c>
      <c r="R400" s="227" t="str">
        <f t="shared" si="149"/>
        <v>0.0945666666666667+2.14450096943205i</v>
      </c>
      <c r="S400" s="227" t="str">
        <f t="shared" si="150"/>
        <v>0.0085-0.0839356113919926i</v>
      </c>
      <c r="T400" s="227" t="str">
        <f t="shared" si="151"/>
        <v>0.009031589470037-0.0838232761965171i</v>
      </c>
      <c r="U400" s="227" t="str">
        <f t="shared" si="152"/>
        <v>-0.286580728339933+0.639220406135377i</v>
      </c>
      <c r="V400" s="227">
        <f t="shared" si="163"/>
        <v>-3.091562926027136</v>
      </c>
      <c r="W400" s="227">
        <f t="shared" si="164"/>
        <v>-245.8519466178825</v>
      </c>
      <c r="X400" s="227" t="str">
        <f t="shared" si="153"/>
        <v>0.962499720405033-0.0570261743976612i</v>
      </c>
      <c r="Y400" s="227" t="str">
        <f t="shared" si="154"/>
        <v>0.425724935340262-11.2032662631789i</v>
      </c>
      <c r="Z400" s="227" t="str">
        <f t="shared" si="155"/>
        <v>-0.119315331350037-5.62803203411907i</v>
      </c>
      <c r="AA400" s="227" t="str">
        <f t="shared" si="156"/>
        <v>-0.926745447368644-0.252736776312425i</v>
      </c>
      <c r="AB400" s="227">
        <f t="shared" si="165"/>
        <v>-0.34923946204830436</v>
      </c>
      <c r="AC400" s="227">
        <f t="shared" si="166"/>
        <v>-164.74557080149</v>
      </c>
      <c r="AD400" s="229">
        <f t="shared" si="167"/>
        <v>-15.263388371533818</v>
      </c>
      <c r="AE400" s="229">
        <f t="shared" si="168"/>
        <v>127.5720039448974</v>
      </c>
      <c r="AF400" s="227">
        <f t="shared" si="157"/>
        <v>-15.612627833582122</v>
      </c>
      <c r="AG400" s="227">
        <f t="shared" si="158"/>
        <v>-37.173566856592601</v>
      </c>
      <c r="AH400" s="229" t="str">
        <f t="shared" si="159"/>
        <v>0.105193295226314-0.13673443447228i</v>
      </c>
    </row>
    <row r="401" spans="2:34" x14ac:dyDescent="0.2">
      <c r="B401" s="220"/>
      <c r="I401" s="227">
        <v>397</v>
      </c>
      <c r="J401" s="227">
        <f t="shared" si="147"/>
        <v>4.8707986431330106</v>
      </c>
      <c r="K401" s="227">
        <f t="shared" si="146"/>
        <v>74267.472337117026</v>
      </c>
      <c r="L401" s="227">
        <f t="shared" si="160"/>
        <v>466636.29098994005</v>
      </c>
      <c r="M401" s="227">
        <f t="shared" si="148"/>
        <v>70133.509586086002</v>
      </c>
      <c r="N401" s="227">
        <f>SQRT((ABS(AC401)-171.5+'Small Signal'!C$59)^2)</f>
        <v>63.622736403522168</v>
      </c>
      <c r="O401" s="227">
        <f t="shared" si="161"/>
        <v>38.161767915704587</v>
      </c>
      <c r="P401" s="227">
        <f t="shared" si="162"/>
        <v>15.733428323384791</v>
      </c>
      <c r="Q401" s="227">
        <f t="shared" si="145"/>
        <v>74267.472337117026</v>
      </c>
      <c r="R401" s="227" t="str">
        <f t="shared" si="149"/>
        <v>0.0945666666666667+2.19319056765272i</v>
      </c>
      <c r="S401" s="227" t="str">
        <f t="shared" si="150"/>
        <v>0.0085-0.0820722114415468i</v>
      </c>
      <c r="T401" s="227" t="str">
        <f t="shared" si="151"/>
        <v>0.00900800727355798-0.0819625178771347i</v>
      </c>
      <c r="U401" s="227" t="str">
        <f t="shared" si="152"/>
        <v>-0.276980405552294+0.625442334407928i</v>
      </c>
      <c r="V401" s="227">
        <f t="shared" si="163"/>
        <v>-3.2985042738659089</v>
      </c>
      <c r="W401" s="227">
        <f t="shared" si="164"/>
        <v>-246.11359195972977</v>
      </c>
      <c r="X401" s="227" t="str">
        <f t="shared" si="153"/>
        <v>0.960777547041106-0.0583209192166479i</v>
      </c>
      <c r="Y401" s="227" t="str">
        <f t="shared" si="154"/>
        <v>0.406980728263133-10.9543549109442i</v>
      </c>
      <c r="Z401" s="227" t="str">
        <f t="shared" si="155"/>
        <v>-0.12906952425528-5.49316426378044i</v>
      </c>
      <c r="AA401" s="227" t="str">
        <f t="shared" si="156"/>
        <v>-0.92849378331989-0.246658599951833i</v>
      </c>
      <c r="AB401" s="227">
        <f t="shared" si="165"/>
        <v>-0.34825980556650471</v>
      </c>
      <c r="AC401" s="227">
        <f t="shared" si="166"/>
        <v>-165.12273640352217</v>
      </c>
      <c r="AD401" s="229">
        <f t="shared" si="167"/>
        <v>-15.385168517818286</v>
      </c>
      <c r="AE401" s="229">
        <f t="shared" si="168"/>
        <v>126.96096848781758</v>
      </c>
      <c r="AF401" s="227">
        <f t="shared" si="157"/>
        <v>-15.733428323384791</v>
      </c>
      <c r="AG401" s="227">
        <f t="shared" si="158"/>
        <v>-38.161767915704587</v>
      </c>
      <c r="AH401" s="229" t="str">
        <f t="shared" si="159"/>
        <v>0.102284943452124-0.135929266836086i</v>
      </c>
    </row>
    <row r="402" spans="2:34" x14ac:dyDescent="0.2">
      <c r="B402" s="220"/>
      <c r="I402" s="227">
        <v>398</v>
      </c>
      <c r="J402" s="227">
        <f t="shared" si="147"/>
        <v>4.8805487656597935</v>
      </c>
      <c r="K402" s="227">
        <f t="shared" si="146"/>
        <v>75953.670403941214</v>
      </c>
      <c r="L402" s="227">
        <f t="shared" si="160"/>
        <v>477230.9859084044</v>
      </c>
      <c r="M402" s="227">
        <f t="shared" si="148"/>
        <v>71857.991760758305</v>
      </c>
      <c r="N402" s="227">
        <f>SQRT((ABS(AC402)-171.5+'Small Signal'!C$59)^2)</f>
        <v>63.994841676564505</v>
      </c>
      <c r="O402" s="227">
        <f t="shared" si="161"/>
        <v>39.141556340667876</v>
      </c>
      <c r="P402" s="227">
        <f t="shared" si="162"/>
        <v>15.855040524693331</v>
      </c>
      <c r="Q402" s="227">
        <f t="shared" si="145"/>
        <v>75953.670403941214</v>
      </c>
      <c r="R402" s="227" t="str">
        <f t="shared" si="149"/>
        <v>0.0945666666666667+2.2429856337695i</v>
      </c>
      <c r="S402" s="227" t="str">
        <f t="shared" si="150"/>
        <v>0.0085-0.0802501796221929i</v>
      </c>
      <c r="T402" s="227" t="str">
        <f t="shared" si="151"/>
        <v>0.00898546044099017-0.0801430594207066i</v>
      </c>
      <c r="U402" s="227" t="str">
        <f t="shared" si="152"/>
        <v>-0.267801692355594+0.611943169166369i</v>
      </c>
      <c r="V402" s="227">
        <f t="shared" si="163"/>
        <v>-3.504780369800323</v>
      </c>
      <c r="W402" s="227">
        <f t="shared" si="164"/>
        <v>-246.36460623826807</v>
      </c>
      <c r="X402" s="227" t="str">
        <f t="shared" si="153"/>
        <v>0.958976284104316-0.0596450604341129i</v>
      </c>
      <c r="Y402" s="227" t="str">
        <f t="shared" si="154"/>
        <v>0.389063966618314-10.7109819951662i</v>
      </c>
      <c r="Z402" s="227" t="str">
        <f t="shared" si="155"/>
        <v>-0.138393120293859-5.36107426276205i</v>
      </c>
      <c r="AA402" s="227" t="str">
        <f t="shared" si="156"/>
        <v>-0.93031265129989-0.240684570293949i</v>
      </c>
      <c r="AB402" s="227">
        <f t="shared" si="165"/>
        <v>-0.34605101354465073</v>
      </c>
      <c r="AC402" s="227">
        <f t="shared" si="166"/>
        <v>-165.4948416765645</v>
      </c>
      <c r="AD402" s="229">
        <f t="shared" si="167"/>
        <v>-15.50898951114868</v>
      </c>
      <c r="AE402" s="229">
        <f t="shared" si="168"/>
        <v>126.35328533589663</v>
      </c>
      <c r="AF402" s="227">
        <f t="shared" si="157"/>
        <v>-15.855040524693331</v>
      </c>
      <c r="AG402" s="227">
        <f t="shared" si="158"/>
        <v>-39.141556340667876</v>
      </c>
      <c r="AH402" s="229" t="str">
        <f t="shared" si="159"/>
        <v>0.0994102580726857-0.13506721366635i</v>
      </c>
    </row>
    <row r="403" spans="2:34" x14ac:dyDescent="0.2">
      <c r="B403" s="220"/>
      <c r="I403" s="227">
        <v>399</v>
      </c>
      <c r="J403" s="227">
        <f t="shared" si="147"/>
        <v>4.8902988881865763</v>
      </c>
      <c r="K403" s="227">
        <f t="shared" si="146"/>
        <v>77678.152578613517</v>
      </c>
      <c r="L403" s="227">
        <f t="shared" si="160"/>
        <v>488066.22697079857</v>
      </c>
      <c r="M403" s="227">
        <f t="shared" si="148"/>
        <v>73621.627260805762</v>
      </c>
      <c r="N403" s="227">
        <f>SQRT((ABS(AC403)-171.5+'Small Signal'!C$59)^2)</f>
        <v>64.362074439453806</v>
      </c>
      <c r="O403" s="227">
        <f t="shared" si="161"/>
        <v>40.112847452910017</v>
      </c>
      <c r="P403" s="227">
        <f t="shared" si="162"/>
        <v>15.977429297672725</v>
      </c>
      <c r="Q403" s="227">
        <f t="shared" si="145"/>
        <v>77678.152578613517</v>
      </c>
      <c r="R403" s="227" t="str">
        <f t="shared" si="149"/>
        <v>0.0945666666666667+2.29391126676275i</v>
      </c>
      <c r="S403" s="227" t="str">
        <f t="shared" si="150"/>
        <v>0.0085-0.0784685975469409i</v>
      </c>
      <c r="T403" s="227" t="str">
        <f t="shared" si="151"/>
        <v>0.00896390351856402-0.0783639845825482i</v>
      </c>
      <c r="U403" s="227" t="str">
        <f t="shared" si="152"/>
        <v>-0.25902607037839+0.598718483991758i</v>
      </c>
      <c r="V403" s="227">
        <f t="shared" si="163"/>
        <v>-3.7104090588904453</v>
      </c>
      <c r="W403" s="227">
        <f t="shared" si="164"/>
        <v>-246.60504221189356</v>
      </c>
      <c r="X403" s="227" t="str">
        <f t="shared" si="153"/>
        <v>0.957092299462924-0.0609992654775145i</v>
      </c>
      <c r="Y403" s="227" t="str">
        <f t="shared" si="154"/>
        <v>0.371937938675808-10.4730237643258i</v>
      </c>
      <c r="Z403" s="227" t="str">
        <f t="shared" si="155"/>
        <v>-0.147305224610155-5.23169487980763i</v>
      </c>
      <c r="AA403" s="227" t="str">
        <f t="shared" si="156"/>
        <v>-0.932206217206577-0.234810109318703i</v>
      </c>
      <c r="AB403" s="227">
        <f t="shared" si="165"/>
        <v>-0.34260248955654116</v>
      </c>
      <c r="AC403" s="227">
        <f t="shared" si="166"/>
        <v>-165.86207443945381</v>
      </c>
      <c r="AD403" s="229">
        <f t="shared" si="167"/>
        <v>-15.634826808116184</v>
      </c>
      <c r="AE403" s="229">
        <f t="shared" si="168"/>
        <v>125.74922698654379</v>
      </c>
      <c r="AF403" s="227">
        <f t="shared" si="157"/>
        <v>-15.977429297672725</v>
      </c>
      <c r="AG403" s="227">
        <f t="shared" si="158"/>
        <v>-40.112847452910017</v>
      </c>
      <c r="AH403" s="229" t="str">
        <f t="shared" si="159"/>
        <v>0.0965715034934069-0.134150097702714i</v>
      </c>
    </row>
    <row r="404" spans="2:34" x14ac:dyDescent="0.2">
      <c r="B404" s="220"/>
      <c r="I404" s="227">
        <v>400</v>
      </c>
      <c r="J404" s="227">
        <f t="shared" si="147"/>
        <v>4.9000490107133601</v>
      </c>
      <c r="K404" s="227">
        <f t="shared" si="146"/>
        <v>79441.788078660975</v>
      </c>
      <c r="L404" s="227">
        <f t="shared" si="160"/>
        <v>499147.47563191707</v>
      </c>
      <c r="M404" s="227">
        <f t="shared" si="148"/>
        <v>75425.305038814069</v>
      </c>
      <c r="N404" s="227">
        <f>SQRT((ABS(AC404)-171.5+'Small Signal'!C$59)^2)</f>
        <v>64.724630819692067</v>
      </c>
      <c r="O404" s="227">
        <f t="shared" si="161"/>
        <v>41.07557386918171</v>
      </c>
      <c r="P404" s="227">
        <f t="shared" si="162"/>
        <v>16.100555743718807</v>
      </c>
      <c r="Q404" s="227">
        <f t="shared" si="145"/>
        <v>79441.788078660975</v>
      </c>
      <c r="R404" s="227" t="str">
        <f t="shared" si="149"/>
        <v>0.0945666666666667+2.34599313547001i</v>
      </c>
      <c r="S404" s="227" t="str">
        <f t="shared" si="150"/>
        <v>0.0085-0.0767265672173154i</v>
      </c>
      <c r="T404" s="227" t="str">
        <f t="shared" si="151"/>
        <v>0.00894329304770064-0.0766243974181107i</v>
      </c>
      <c r="U404" s="227" t="str">
        <f t="shared" si="152"/>
        <v>-0.25063583484063+0.585763834827687i</v>
      </c>
      <c r="V404" s="227">
        <f t="shared" si="163"/>
        <v>-3.9154072892898699</v>
      </c>
      <c r="W404" s="227">
        <f t="shared" si="164"/>
        <v>-246.83495221372232</v>
      </c>
      <c r="X404" s="227" t="str">
        <f t="shared" si="153"/>
        <v>0.955121794182152-0.0623842169278478i</v>
      </c>
      <c r="Y404" s="227" t="str">
        <f t="shared" si="154"/>
        <v>0.355567577321054-10.2403592640702i</v>
      </c>
      <c r="Z404" s="227" t="str">
        <f t="shared" si="155"/>
        <v>-0.155824086422072-5.10496036590522i</v>
      </c>
      <c r="AA404" s="227" t="str">
        <f t="shared" si="156"/>
        <v>-0.934178844020545-0.229030555238889i</v>
      </c>
      <c r="AB404" s="227">
        <f t="shared" si="165"/>
        <v>-0.33790143374048742</v>
      </c>
      <c r="AC404" s="227">
        <f t="shared" si="166"/>
        <v>-166.22463081969207</v>
      </c>
      <c r="AD404" s="229">
        <f t="shared" si="167"/>
        <v>-15.762654309978322</v>
      </c>
      <c r="AE404" s="229">
        <f t="shared" si="168"/>
        <v>125.14905695051036</v>
      </c>
      <c r="AF404" s="227">
        <f t="shared" si="157"/>
        <v>-16.100555743718807</v>
      </c>
      <c r="AG404" s="227">
        <f t="shared" si="158"/>
        <v>-41.07557386918171</v>
      </c>
      <c r="AH404" s="229" t="str">
        <f t="shared" si="159"/>
        <v>0.0937708164129541-0.133179841624612i</v>
      </c>
    </row>
    <row r="405" spans="2:34" x14ac:dyDescent="0.2">
      <c r="B405" s="220"/>
      <c r="I405" s="227">
        <v>401</v>
      </c>
      <c r="J405" s="227">
        <f t="shared" si="147"/>
        <v>4.9097991332401438</v>
      </c>
      <c r="K405" s="227">
        <f t="shared" ref="K405:K468" si="169">10^(J405)</f>
        <v>81245.465856669281</v>
      </c>
      <c r="L405" s="227">
        <f t="shared" si="160"/>
        <v>510480.31734558515</v>
      </c>
      <c r="M405" s="227">
        <f t="shared" si="148"/>
        <v>77269.934230499639</v>
      </c>
      <c r="N405" s="227">
        <f>SQRT((ABS(AC405)-171.5+'Small Signal'!C$59)^2)</f>
        <v>65.082715617161682</v>
      </c>
      <c r="O405" s="227">
        <f t="shared" si="161"/>
        <v>42.029686301230825</v>
      </c>
      <c r="P405" s="227">
        <f t="shared" si="162"/>
        <v>16.22437723372979</v>
      </c>
      <c r="Q405" s="227">
        <f t="shared" ref="Q405:Q468" si="170">K405</f>
        <v>81245.465856669281</v>
      </c>
      <c r="R405" s="227" t="str">
        <f t="shared" si="149"/>
        <v>0.0945666666666667+2.39925749152425i</v>
      </c>
      <c r="S405" s="227" t="str">
        <f t="shared" si="150"/>
        <v>0.0085-0.0750232105707197i</v>
      </c>
      <c r="T405" s="227" t="str">
        <f t="shared" si="151"/>
        <v>0.00892358747745762-0.0749234218349724i</v>
      </c>
      <c r="U405" s="227" t="str">
        <f t="shared" si="152"/>
        <v>-0.242614058796198+0.573074768018722i</v>
      </c>
      <c r="V405" s="227">
        <f t="shared" si="163"/>
        <v>-4.1197911177780071</v>
      </c>
      <c r="W405" s="227">
        <f t="shared" si="164"/>
        <v>-247.05438797413859</v>
      </c>
      <c r="X405" s="227" t="str">
        <f t="shared" si="153"/>
        <v>0.953060794863878-0.063800612863697i</v>
      </c>
      <c r="Y405" s="227" t="str">
        <f t="shared" si="154"/>
        <v>0.339919385034894-10.0128702720859i</v>
      </c>
      <c r="Z405" s="227" t="str">
        <f t="shared" si="155"/>
        <v>-0.16396713806907-4.98080633894088i</v>
      </c>
      <c r="AA405" s="227" t="str">
        <f t="shared" si="156"/>
        <v>-0.936235104851149-0.223341147874231i</v>
      </c>
      <c r="AB405" s="227">
        <f t="shared" si="165"/>
        <v>-0.331932779080369</v>
      </c>
      <c r="AC405" s="227">
        <f t="shared" si="166"/>
        <v>-166.58271561716168</v>
      </c>
      <c r="AD405" s="229">
        <f t="shared" si="167"/>
        <v>-15.892444454649421</v>
      </c>
      <c r="AE405" s="229">
        <f t="shared" si="168"/>
        <v>124.55302931593086</v>
      </c>
      <c r="AF405" s="227">
        <f t="shared" si="157"/>
        <v>-16.22437723372979</v>
      </c>
      <c r="AG405" s="227">
        <f t="shared" si="158"/>
        <v>-42.029686301230825</v>
      </c>
      <c r="AH405" s="229" t="str">
        <f t="shared" si="159"/>
        <v>0.0910102009716746-0.132158457840097i</v>
      </c>
    </row>
    <row r="406" spans="2:34" x14ac:dyDescent="0.2">
      <c r="B406" s="220"/>
      <c r="I406" s="227">
        <v>402</v>
      </c>
      <c r="J406" s="227">
        <f t="shared" si="147"/>
        <v>4.9195492557669267</v>
      </c>
      <c r="K406" s="227">
        <f t="shared" si="169"/>
        <v>83090.095048354851</v>
      </c>
      <c r="L406" s="227">
        <f t="shared" si="160"/>
        <v>522070.46437997848</v>
      </c>
      <c r="M406" s="227">
        <f t="shared" si="148"/>
        <v>79156.444612956009</v>
      </c>
      <c r="N406" s="227">
        <f>SQRT((ABS(AC406)-171.5+'Small Signal'!C$59)^2)</f>
        <v>65.43654272530415</v>
      </c>
      <c r="O406" s="227">
        <f t="shared" si="161"/>
        <v>42.975154365030818</v>
      </c>
      <c r="P406" s="227">
        <f t="shared" si="162"/>
        <v>16.348847436414694</v>
      </c>
      <c r="Q406" s="227">
        <f t="shared" si="170"/>
        <v>83090.095048354851</v>
      </c>
      <c r="R406" s="227" t="str">
        <f t="shared" si="149"/>
        <v>0.0945666666666667+2.4537311825859i</v>
      </c>
      <c r="S406" s="227" t="str">
        <f t="shared" si="150"/>
        <v>0.0085-0.0733576690378546i</v>
      </c>
      <c r="T406" s="227" t="str">
        <f t="shared" si="151"/>
        <v>0.00890474708081486-0.073260201154595i</v>
      </c>
      <c r="U406" s="227" t="str">
        <f t="shared" si="152"/>
        <v>-0.234944558947451+0.560646827661913i</v>
      </c>
      <c r="V406" s="227">
        <f t="shared" si="163"/>
        <v>-4.3235757156875501</v>
      </c>
      <c r="W406" s="227">
        <f t="shared" si="164"/>
        <v>-247.26340045387238</v>
      </c>
      <c r="X406" s="227" t="str">
        <f t="shared" si="153"/>
        <v>0.950905145634527-0.0652491672130982i</v>
      </c>
      <c r="Y406" s="227" t="str">
        <f t="shared" si="154"/>
        <v>0.324961362408963-9.79044123458946i</v>
      </c>
      <c r="Z406" s="227" t="str">
        <f t="shared" si="155"/>
        <v>-0.171751032219566-4.85916974916932i</v>
      </c>
      <c r="AA406" s="227" t="str">
        <f t="shared" si="156"/>
        <v>-0.938379796778023-0.217737012705109i</v>
      </c>
      <c r="AB406" s="227">
        <f t="shared" si="165"/>
        <v>-0.32467912462603665</v>
      </c>
      <c r="AC406" s="227">
        <f t="shared" si="166"/>
        <v>-166.93654272530415</v>
      </c>
      <c r="AD406" s="229">
        <f t="shared" si="167"/>
        <v>-16.024168311788657</v>
      </c>
      <c r="AE406" s="229">
        <f t="shared" si="168"/>
        <v>123.96138836027333</v>
      </c>
      <c r="AF406" s="227">
        <f t="shared" si="157"/>
        <v>-16.348847436414694</v>
      </c>
      <c r="AG406" s="227">
        <f t="shared" si="158"/>
        <v>-42.975154365030818</v>
      </c>
      <c r="AH406" s="229" t="str">
        <f t="shared" si="159"/>
        <v>0.0882915248216279-0.131088038082324i</v>
      </c>
    </row>
    <row r="407" spans="2:34" x14ac:dyDescent="0.2">
      <c r="B407" s="220"/>
      <c r="I407" s="227">
        <v>403</v>
      </c>
      <c r="J407" s="227">
        <f t="shared" si="147"/>
        <v>4.9292993782937096</v>
      </c>
      <c r="K407" s="227">
        <f t="shared" si="169"/>
        <v>84976.605430811222</v>
      </c>
      <c r="L407" s="227">
        <f t="shared" si="160"/>
        <v>533923.75869687006</v>
      </c>
      <c r="M407" s="227">
        <f t="shared" si="148"/>
        <v>81085.787073304091</v>
      </c>
      <c r="N407" s="227">
        <f>SQRT((ABS(AC407)-171.5+'Small Signal'!C$59)^2)</f>
        <v>65.786335614074062</v>
      </c>
      <c r="O407" s="227">
        <f t="shared" si="161"/>
        <v>43.911967403189621</v>
      </c>
      <c r="P407" s="227">
        <f t="shared" si="162"/>
        <v>16.473916345711483</v>
      </c>
      <c r="Q407" s="227">
        <f t="shared" si="170"/>
        <v>84976.605430811222</v>
      </c>
      <c r="R407" s="227" t="str">
        <f t="shared" si="149"/>
        <v>0.0945666666666667+2.50944166587529i</v>
      </c>
      <c r="S407" s="227" t="str">
        <f t="shared" si="150"/>
        <v>0.0085-0.0717291031099604i</v>
      </c>
      <c r="T407" s="227" t="str">
        <f t="shared" si="151"/>
        <v>0.00888673387463215-0.0716338976836558i</v>
      </c>
      <c r="U407" s="227" t="str">
        <f t="shared" si="152"/>
        <v>-0.227611862962741+0.548475562320941i</v>
      </c>
      <c r="V407" s="227">
        <f t="shared" si="163"/>
        <v>-4.5267753751197706</v>
      </c>
      <c r="W407" s="227">
        <f t="shared" si="164"/>
        <v>-247.462039687534</v>
      </c>
      <c r="X407" s="227" t="str">
        <f t="shared" si="153"/>
        <v>0.948650499765022-0.0667306101133922i</v>
      </c>
      <c r="Y407" s="227" t="str">
        <f t="shared" si="154"/>
        <v>0.310662940020363-9.57295920439547i</v>
      </c>
      <c r="Z407" s="227" t="str">
        <f t="shared" si="155"/>
        <v>-0.179191677329554-4.7399888454794i</v>
      </c>
      <c r="AA407" s="227" t="str">
        <f t="shared" si="156"/>
        <v>-0.940617955543894-0.212213143452494i</v>
      </c>
      <c r="AB407" s="227">
        <f t="shared" si="165"/>
        <v>-0.3161206653756235</v>
      </c>
      <c r="AC407" s="227">
        <f t="shared" si="166"/>
        <v>-167.28633561407406</v>
      </c>
      <c r="AD407" s="229">
        <f t="shared" si="167"/>
        <v>-16.157795680335859</v>
      </c>
      <c r="AE407" s="229">
        <f t="shared" si="168"/>
        <v>123.37436821088444</v>
      </c>
      <c r="AF407" s="227">
        <f t="shared" si="157"/>
        <v>-16.473916345711483</v>
      </c>
      <c r="AG407" s="227">
        <f t="shared" si="158"/>
        <v>-43.911967403189621</v>
      </c>
      <c r="AH407" s="229" t="str">
        <f t="shared" si="159"/>
        <v>0.0856165161143324-0.129970742904861i</v>
      </c>
    </row>
    <row r="408" spans="2:34" x14ac:dyDescent="0.2">
      <c r="B408" s="220"/>
      <c r="I408" s="227">
        <v>404</v>
      </c>
      <c r="J408" s="227">
        <f t="shared" si="147"/>
        <v>4.9390495008204933</v>
      </c>
      <c r="K408" s="227">
        <f t="shared" si="169"/>
        <v>86905.947891159303</v>
      </c>
      <c r="L408" s="227">
        <f t="shared" si="160"/>
        <v>546046.17489624687</v>
      </c>
      <c r="M408" s="227">
        <f t="shared" si="148"/>
        <v>83058.934087981354</v>
      </c>
      <c r="N408" s="227">
        <f>SQRT((ABS(AC408)-171.5+'Small Signal'!C$59)^2)</f>
        <v>66.132327879443551</v>
      </c>
      <c r="O408" s="227">
        <f t="shared" si="161"/>
        <v>44.840135325042553</v>
      </c>
      <c r="P408" s="227">
        <f t="shared" si="162"/>
        <v>16.599530306394009</v>
      </c>
      <c r="Q408" s="227">
        <f t="shared" si="170"/>
        <v>86905.947891159303</v>
      </c>
      <c r="R408" s="227" t="str">
        <f t="shared" si="149"/>
        <v>0.0945666666666667+2.56641702201236i</v>
      </c>
      <c r="S408" s="227" t="str">
        <f t="shared" si="150"/>
        <v>0.0085-0.0701366919156653i</v>
      </c>
      <c r="T408" s="227" t="str">
        <f t="shared" si="151"/>
        <v>0.00886951154311766-0.0700436922947381i</v>
      </c>
      <c r="U408" s="227" t="str">
        <f t="shared" si="152"/>
        <v>-0.220601178230814+0.53655653114884i</v>
      </c>
      <c r="V408" s="227">
        <f t="shared" si="163"/>
        <v>-4.7294035153501124</v>
      </c>
      <c r="W408" s="227">
        <f t="shared" si="164"/>
        <v>-247.65035463751516</v>
      </c>
      <c r="X408" s="227" t="str">
        <f t="shared" si="153"/>
        <v>0.946292310905878-0.0682456882792473i</v>
      </c>
      <c r="Y408" s="227" t="str">
        <f t="shared" si="154"/>
        <v>0.29699491349933-9.36031378051528i</v>
      </c>
      <c r="Z408" s="227" t="str">
        <f t="shared" si="155"/>
        <v>-0.186304271438975-4.62320314242937i</v>
      </c>
      <c r="AA408" s="227" t="str">
        <f t="shared" si="156"/>
        <v>-0.942954871157774-0.206764383011252i</v>
      </c>
      <c r="AB408" s="227">
        <f t="shared" si="165"/>
        <v>-0.30623511854259056</v>
      </c>
      <c r="AC408" s="227">
        <f t="shared" si="166"/>
        <v>-167.63232787944355</v>
      </c>
      <c r="AD408" s="229">
        <f t="shared" si="167"/>
        <v>-16.293295187851417</v>
      </c>
      <c r="AE408" s="229">
        <f t="shared" si="168"/>
        <v>122.792192554401</v>
      </c>
      <c r="AF408" s="227">
        <f t="shared" si="157"/>
        <v>-16.599530306394009</v>
      </c>
      <c r="AG408" s="227">
        <f t="shared" si="158"/>
        <v>-44.840135325042553</v>
      </c>
      <c r="AH408" s="229" t="str">
        <f t="shared" si="159"/>
        <v>0.0829867613927316-0.128808791163961i</v>
      </c>
    </row>
    <row r="409" spans="2:34" x14ac:dyDescent="0.2">
      <c r="B409" s="220"/>
      <c r="I409" s="227">
        <v>405</v>
      </c>
      <c r="J409" s="227">
        <f t="shared" si="147"/>
        <v>4.9487996233472771</v>
      </c>
      <c r="K409" s="227">
        <f t="shared" si="169"/>
        <v>88879.094905836566</v>
      </c>
      <c r="L409" s="227">
        <f t="shared" si="160"/>
        <v>558443.82322777237</v>
      </c>
      <c r="M409" s="227">
        <f t="shared" si="148"/>
        <v>85076.880212915188</v>
      </c>
      <c r="N409" s="227">
        <f>SQRT((ABS(AC409)-171.5+'Small Signal'!C$59)^2)</f>
        <v>66.474763864739742</v>
      </c>
      <c r="O409" s="227">
        <f t="shared" si="161"/>
        <v>45.759689469851466</v>
      </c>
      <c r="P409" s="227">
        <f t="shared" si="162"/>
        <v>16.725632036965337</v>
      </c>
      <c r="Q409" s="227">
        <f t="shared" si="170"/>
        <v>88879.094905836566</v>
      </c>
      <c r="R409" s="227" t="str">
        <f t="shared" si="149"/>
        <v>0.0945666666666667+2.62468596917053i</v>
      </c>
      <c r="S409" s="227" t="str">
        <f t="shared" si="150"/>
        <v>0.0085-0.0685796328072284i</v>
      </c>
      <c r="T409" s="227" t="str">
        <f t="shared" si="151"/>
        <v>0.00885304536465337-0.0684887840161924i</v>
      </c>
      <c r="U409" s="227" t="str">
        <f t="shared" si="152"/>
        <v>-0.213898361988956+0.524885309462159i</v>
      </c>
      <c r="V409" s="227">
        <f t="shared" si="163"/>
        <v>-4.9314726893312768</v>
      </c>
      <c r="W409" s="227">
        <f t="shared" si="164"/>
        <v>-247.82839305814764</v>
      </c>
      <c r="X409" s="227" t="str">
        <f t="shared" si="153"/>
        <v>0.943825823919781-0.0697951653790361i</v>
      </c>
      <c r="Y409" s="227" t="str">
        <f t="shared" si="154"/>
        <v>0.283929381632176-9.15239704924562i</v>
      </c>
      <c r="Z409" s="227" t="str">
        <f t="shared" si="155"/>
        <v>-0.193103334387973-4.50875338802963i</v>
      </c>
      <c r="AA409" s="227" t="str">
        <f t="shared" si="156"/>
        <v>-0.94539610447008-0.2013854025421i</v>
      </c>
      <c r="AB409" s="227">
        <f t="shared" si="165"/>
        <v>-0.29499764593669131</v>
      </c>
      <c r="AC409" s="227">
        <f t="shared" si="166"/>
        <v>-167.97476386473974</v>
      </c>
      <c r="AD409" s="229">
        <f t="shared" si="167"/>
        <v>-16.430634391028644</v>
      </c>
      <c r="AE409" s="229">
        <f t="shared" si="168"/>
        <v>122.21507439488828</v>
      </c>
      <c r="AF409" s="227">
        <f t="shared" si="157"/>
        <v>-16.725632036965337</v>
      </c>
      <c r="AG409" s="227">
        <f t="shared" si="158"/>
        <v>-45.759689469851466</v>
      </c>
      <c r="AH409" s="229" t="str">
        <f t="shared" si="159"/>
        <v>0.0804037043649423-0.12760444957188i</v>
      </c>
    </row>
    <row r="410" spans="2:34" x14ac:dyDescent="0.2">
      <c r="B410" s="220"/>
      <c r="I410" s="227">
        <v>406</v>
      </c>
      <c r="J410" s="227">
        <f t="shared" si="147"/>
        <v>4.9585497458740608</v>
      </c>
      <c r="K410" s="227">
        <f t="shared" si="169"/>
        <v>90897.041030770401</v>
      </c>
      <c r="L410" s="227">
        <f t="shared" si="160"/>
        <v>571122.95267063659</v>
      </c>
      <c r="M410" s="227">
        <f t="shared" si="148"/>
        <v>87140.642584824047</v>
      </c>
      <c r="N410" s="227">
        <f>SQRT((ABS(AC410)-171.5+'Small Signal'!C$59)^2)</f>
        <v>66.813899359683404</v>
      </c>
      <c r="O410" s="227">
        <f t="shared" si="161"/>
        <v>46.670683499488661</v>
      </c>
      <c r="P410" s="227">
        <f t="shared" si="162"/>
        <v>16.85216064896159</v>
      </c>
      <c r="Q410" s="227">
        <f t="shared" si="170"/>
        <v>90897.041030770401</v>
      </c>
      <c r="R410" s="227" t="str">
        <f t="shared" si="149"/>
        <v>0.0945666666666667+2.68427787755199i</v>
      </c>
      <c r="S410" s="227" t="str">
        <f t="shared" si="150"/>
        <v>0.0085-0.0670571409559717i</v>
      </c>
      <c r="T410" s="227" t="str">
        <f t="shared" si="151"/>
        <v>0.00883730214183055-0.0669683896309728i</v>
      </c>
      <c r="U410" s="227" t="str">
        <f t="shared" si="152"/>
        <v>-0.207489892764502+0.513457493806407i</v>
      </c>
      <c r="V410" s="227">
        <f t="shared" si="163"/>
        <v>-5.132994590208301</v>
      </c>
      <c r="W410" s="227">
        <f t="shared" si="164"/>
        <v>-247.99620136999647</v>
      </c>
      <c r="X410" s="227" t="str">
        <f t="shared" si="153"/>
        <v>0.941246065293159-0.0713798224197605i</v>
      </c>
      <c r="Y410" s="227" t="str">
        <f t="shared" si="154"/>
        <v>0.271439687350592-8.94910352670552i</v>
      </c>
      <c r="Z410" s="227" t="str">
        <f t="shared" si="155"/>
        <v>-0.199602738530614-4.39658153225062i</v>
      </c>
      <c r="AA410" s="227" t="str">
        <f t="shared" si="156"/>
        <v>-0.947947504783685-0.196070678502409i</v>
      </c>
      <c r="AB410" s="227">
        <f t="shared" si="165"/>
        <v>-0.28238077219415914</v>
      </c>
      <c r="AC410" s="227">
        <f t="shared" si="166"/>
        <v>-168.3138993596834</v>
      </c>
      <c r="AD410" s="229">
        <f t="shared" si="167"/>
        <v>-16.569779876767431</v>
      </c>
      <c r="AE410" s="229">
        <f t="shared" si="168"/>
        <v>121.64321586019474</v>
      </c>
      <c r="AF410" s="227">
        <f t="shared" si="157"/>
        <v>-16.85216064896159</v>
      </c>
      <c r="AG410" s="227">
        <f t="shared" si="158"/>
        <v>-46.670683499488661</v>
      </c>
      <c r="AH410" s="229" t="str">
        <f t="shared" si="159"/>
        <v>0.0778686455292209-0.126360022400298i</v>
      </c>
    </row>
    <row r="411" spans="2:34" x14ac:dyDescent="0.2">
      <c r="B411" s="220"/>
      <c r="I411" s="227">
        <v>407</v>
      </c>
      <c r="J411" s="227">
        <f t="shared" si="147"/>
        <v>4.9682998684008446</v>
      </c>
      <c r="K411" s="227">
        <f t="shared" si="169"/>
        <v>92960.803402679259</v>
      </c>
      <c r="L411" s="227">
        <f t="shared" si="160"/>
        <v>584089.95408332441</v>
      </c>
      <c r="M411" s="227">
        <f t="shared" si="148"/>
        <v>89251.261433901003</v>
      </c>
      <c r="N411" s="227">
        <f>SQRT((ABS(AC411)-171.5+'Small Signal'!C$59)^2)</f>
        <v>67.150002383657409</v>
      </c>
      <c r="O411" s="227">
        <f t="shared" si="161"/>
        <v>47.573194328006139</v>
      </c>
      <c r="P411" s="227">
        <f t="shared" si="162"/>
        <v>16.979051661823611</v>
      </c>
      <c r="Q411" s="227">
        <f t="shared" si="170"/>
        <v>92960.803402679259</v>
      </c>
      <c r="R411" s="227" t="str">
        <f t="shared" si="149"/>
        <v>0.0945666666666667+2.74522278419162i</v>
      </c>
      <c r="S411" s="227" t="str">
        <f t="shared" si="150"/>
        <v>0.0085-0.0655684489566859i</v>
      </c>
      <c r="T411" s="227" t="str">
        <f t="shared" si="151"/>
        <v>0.00882225013455433-0.0654817432842483i</v>
      </c>
      <c r="U411" s="227" t="str">
        <f t="shared" si="152"/>
        <v>-0.201362843071919+0.502268706549783i</v>
      </c>
      <c r="V411" s="227">
        <f t="shared" si="163"/>
        <v>-5.3339800577680494</v>
      </c>
      <c r="W411" s="227">
        <f t="shared" si="164"/>
        <v>-248.15382454415953</v>
      </c>
      <c r="X411" s="227" t="str">
        <f t="shared" si="153"/>
        <v>0.938547833107402-0.0730004581407139i</v>
      </c>
      <c r="Y411" s="227" t="str">
        <f t="shared" si="154"/>
        <v>0.259500361465872-8.7503301027819i</v>
      </c>
      <c r="Z411" s="227" t="str">
        <f t="shared" si="155"/>
        <v>-0.205815738019671-4.28663069623405i</v>
      </c>
      <c r="AA411" s="227" t="str">
        <f t="shared" si="156"/>
        <v>-0.950615228566796-0.190814467367423i</v>
      </c>
      <c r="AB411" s="227">
        <f t="shared" si="165"/>
        <v>-0.26835429860218313</v>
      </c>
      <c r="AC411" s="227">
        <f t="shared" si="166"/>
        <v>-168.65000238365741</v>
      </c>
      <c r="AD411" s="229">
        <f t="shared" si="167"/>
        <v>-16.710697363221428</v>
      </c>
      <c r="AE411" s="229">
        <f t="shared" si="168"/>
        <v>121.07680805565127</v>
      </c>
      <c r="AF411" s="227">
        <f t="shared" si="157"/>
        <v>-16.979051661823611</v>
      </c>
      <c r="AG411" s="227">
        <f t="shared" si="158"/>
        <v>-47.573194328006139</v>
      </c>
      <c r="AH411" s="229" t="str">
        <f t="shared" si="159"/>
        <v>0.0753827426123304-0.125077841407165i</v>
      </c>
    </row>
    <row r="412" spans="2:34" x14ac:dyDescent="0.2">
      <c r="B412" s="220"/>
      <c r="I412" s="227">
        <v>408</v>
      </c>
      <c r="J412" s="227">
        <f t="shared" si="147"/>
        <v>4.9780499909276275</v>
      </c>
      <c r="K412" s="227">
        <f t="shared" si="169"/>
        <v>95071.422251756216</v>
      </c>
      <c r="L412" s="227">
        <f t="shared" si="160"/>
        <v>597351.36342490104</v>
      </c>
      <c r="M412" s="227">
        <f t="shared" si="148"/>
        <v>91409.800608136749</v>
      </c>
      <c r="N412" s="227">
        <f>SQRT((ABS(AC412)-171.5+'Small Signal'!C$59)^2)</f>
        <v>67.483354060479229</v>
      </c>
      <c r="O412" s="227">
        <f t="shared" si="161"/>
        <v>48.467323096561245</v>
      </c>
      <c r="P412" s="227">
        <f t="shared" si="162"/>
        <v>17.106237012530162</v>
      </c>
      <c r="Q412" s="227">
        <f t="shared" si="170"/>
        <v>95071.422251756216</v>
      </c>
      <c r="R412" s="227" t="str">
        <f t="shared" si="149"/>
        <v>0.0945666666666667+2.80755140809703i</v>
      </c>
      <c r="S412" s="227" t="str">
        <f t="shared" si="150"/>
        <v>0.0085-0.0641128064408283i</v>
      </c>
      <c r="T412" s="227" t="str">
        <f t="shared" si="151"/>
        <v>0.00880785899608312-0.0640280960996198i</v>
      </c>
      <c r="U412" s="227" t="str">
        <f t="shared" si="152"/>
        <v>-0.195504853310315+0.49131460003982i</v>
      </c>
      <c r="V412" s="227">
        <f t="shared" si="163"/>
        <v>-5.5344390847484366</v>
      </c>
      <c r="W412" s="227">
        <f t="shared" si="164"/>
        <v>-248.30130599643672</v>
      </c>
      <c r="X412" s="227" t="str">
        <f t="shared" si="153"/>
        <v>0.935725686549534-0.0746578894160831i</v>
      </c>
      <c r="Y412" s="227" t="str">
        <f t="shared" si="154"/>
        <v>0.248087069014538-8.55597598644584i</v>
      </c>
      <c r="Z412" s="227" t="str">
        <f t="shared" si="155"/>
        <v>-0.211754996732056-4.17884514218688i</v>
      </c>
      <c r="AA412" s="227" t="str">
        <f t="shared" si="156"/>
        <v>-0.95340575933526-0.18561077776087i</v>
      </c>
      <c r="AB412" s="227">
        <f t="shared" si="165"/>
        <v>-0.2528852122715754</v>
      </c>
      <c r="AC412" s="227">
        <f t="shared" si="166"/>
        <v>-168.98335406047923</v>
      </c>
      <c r="AD412" s="229">
        <f t="shared" si="167"/>
        <v>-16.853351800258586</v>
      </c>
      <c r="AE412" s="229">
        <f t="shared" si="168"/>
        <v>120.51603096391798</v>
      </c>
      <c r="AF412" s="227">
        <f t="shared" si="157"/>
        <v>-17.106237012530162</v>
      </c>
      <c r="AG412" s="227">
        <f t="shared" si="158"/>
        <v>-48.467323096561245</v>
      </c>
      <c r="AH412" s="229" t="str">
        <f t="shared" si="159"/>
        <v>0.0729470117772032-0.123760256053931i</v>
      </c>
    </row>
    <row r="413" spans="2:34" x14ac:dyDescent="0.2">
      <c r="B413" s="220"/>
      <c r="I413" s="227">
        <v>409</v>
      </c>
      <c r="J413" s="227">
        <f t="shared" si="147"/>
        <v>4.9878001134544103</v>
      </c>
      <c r="K413" s="227">
        <f t="shared" si="169"/>
        <v>97229.961425991962</v>
      </c>
      <c r="L413" s="227">
        <f t="shared" si="160"/>
        <v>610913.86504943063</v>
      </c>
      <c r="M413" s="227">
        <f t="shared" si="148"/>
        <v>93617.348109547544</v>
      </c>
      <c r="N413" s="227">
        <f>SQRT((ABS(AC413)-171.5+'Small Signal'!C$59)^2)</f>
        <v>67.814249592786069</v>
      </c>
      <c r="O413" s="227">
        <f t="shared" si="161"/>
        <v>49.35319620329534</v>
      </c>
      <c r="P413" s="227">
        <f t="shared" si="162"/>
        <v>17.233645059240981</v>
      </c>
      <c r="Q413" s="227">
        <f t="shared" si="170"/>
        <v>97229.961425991962</v>
      </c>
      <c r="R413" s="227" t="str">
        <f t="shared" si="149"/>
        <v>0.0945666666666667+2.87129516573232i</v>
      </c>
      <c r="S413" s="227" t="str">
        <f t="shared" si="150"/>
        <v>0.0085-0.0626894796982989i</v>
      </c>
      <c r="T413" s="227" t="str">
        <f t="shared" si="151"/>
        <v>0.00879409971187395-0.0626067158037397i</v>
      </c>
      <c r="U413" s="227" t="str">
        <f t="shared" si="152"/>
        <v>-0.189904106808521+0.480590860354867i</v>
      </c>
      <c r="V413" s="227">
        <f t="shared" si="163"/>
        <v>-5.7343808229440176</v>
      </c>
      <c r="W413" s="227">
        <f t="shared" si="164"/>
        <v>-248.43868749123106</v>
      </c>
      <c r="X413" s="227" t="str">
        <f t="shared" si="153"/>
        <v>0.932773934941156-0.0763529516666891i</v>
      </c>
      <c r="Y413" s="227" t="str">
        <f t="shared" si="154"/>
        <v>0.237176558088335-8.36594265240129i</v>
      </c>
      <c r="Z413" s="227" t="str">
        <f t="shared" si="155"/>
        <v>-0.217432614900997-4.07317024393726i</v>
      </c>
      <c r="AA413" s="227" t="str">
        <f t="shared" si="156"/>
        <v>-0.956325928772037-0.180453339676583i</v>
      </c>
      <c r="AB413" s="227">
        <f t="shared" si="165"/>
        <v>-0.23593759043070064</v>
      </c>
      <c r="AC413" s="227">
        <f t="shared" si="166"/>
        <v>-169.31424959278607</v>
      </c>
      <c r="AD413" s="229">
        <f t="shared" si="167"/>
        <v>-16.99770746881028</v>
      </c>
      <c r="AE413" s="229">
        <f t="shared" si="168"/>
        <v>119.96105338949073</v>
      </c>
      <c r="AF413" s="227">
        <f t="shared" si="157"/>
        <v>-17.233645059240981</v>
      </c>
      <c r="AG413" s="227">
        <f t="shared" si="158"/>
        <v>-49.35319620329534</v>
      </c>
      <c r="AH413" s="229" t="str">
        <f t="shared" si="159"/>
        <v>0.0705623295504611-0.122409624073219i</v>
      </c>
    </row>
    <row r="414" spans="2:34" x14ac:dyDescent="0.2">
      <c r="B414" s="220"/>
      <c r="I414" s="227">
        <v>410</v>
      </c>
      <c r="J414" s="227">
        <f t="shared" si="147"/>
        <v>4.9975502359811941</v>
      </c>
      <c r="K414" s="227">
        <f t="shared" si="169"/>
        <v>99437.508927402756</v>
      </c>
      <c r="L414" s="227">
        <f t="shared" si="160"/>
        <v>624784.29507519596</v>
      </c>
      <c r="M414" s="227">
        <f t="shared" si="148"/>
        <v>95875.016642577728</v>
      </c>
      <c r="N414" s="227">
        <f>SQRT((ABS(AC414)-171.5+'Small Signal'!C$59)^2)</f>
        <v>68.142999345102368</v>
      </c>
      <c r="O414" s="227">
        <f t="shared" si="161"/>
        <v>50.23096639899822</v>
      </c>
      <c r="P414" s="227">
        <f t="shared" si="162"/>
        <v>17.361200578247232</v>
      </c>
      <c r="Q414" s="227">
        <f t="shared" si="170"/>
        <v>99437.508927402756</v>
      </c>
      <c r="R414" s="227" t="str">
        <f t="shared" si="149"/>
        <v>0.0945666666666667+2.93648618685342i</v>
      </c>
      <c r="S414" s="227" t="str">
        <f t="shared" si="150"/>
        <v>0.0085-0.0612977513076191i</v>
      </c>
      <c r="T414" s="227" t="str">
        <f t="shared" si="151"/>
        <v>0.00878094454111101-0.0612168863591706i</v>
      </c>
      <c r="U414" s="227" t="str">
        <f t="shared" si="152"/>
        <v>-0.184549305967331+0.470093210680444i</v>
      </c>
      <c r="V414" s="227">
        <f t="shared" si="163"/>
        <v>-5.9338135890449948</v>
      </c>
      <c r="W414" s="227">
        <f t="shared" si="164"/>
        <v>-248.56600905504598</v>
      </c>
      <c r="X414" s="227" t="str">
        <f t="shared" si="153"/>
        <v>0.929686626263557-0.0780864992810778i</v>
      </c>
      <c r="Y414" s="227" t="str">
        <f t="shared" si="154"/>
        <v>0.226746611028729-8.18013378903056i</v>
      </c>
      <c r="Z414" s="227" t="str">
        <f t="shared" si="155"/>
        <v>-0.222860154517391-3.96955245813277i</v>
      </c>
      <c r="AA414" s="227" t="str">
        <f t="shared" si="156"/>
        <v>-0.959382939151698-0.175335570429935i</v>
      </c>
      <c r="AB414" s="227">
        <f t="shared" si="165"/>
        <v>-0.21747249962796028</v>
      </c>
      <c r="AC414" s="227">
        <f t="shared" si="166"/>
        <v>-169.64299934510237</v>
      </c>
      <c r="AD414" s="229">
        <f t="shared" si="167"/>
        <v>-17.143728078619272</v>
      </c>
      <c r="AE414" s="229">
        <f t="shared" si="168"/>
        <v>119.41203294610415</v>
      </c>
      <c r="AF414" s="227">
        <f t="shared" si="157"/>
        <v>-17.361200578247232</v>
      </c>
      <c r="AG414" s="227">
        <f t="shared" si="158"/>
        <v>-50.23096639899822</v>
      </c>
      <c r="AH414" s="229" t="str">
        <f t="shared" si="159"/>
        <v>0.0682294354160204-0.121028302439851i</v>
      </c>
    </row>
    <row r="415" spans="2:34" x14ac:dyDescent="0.2">
      <c r="B415" s="220"/>
      <c r="I415" s="227">
        <v>411</v>
      </c>
      <c r="J415" s="227">
        <f t="shared" si="147"/>
        <v>5.0073003585079769</v>
      </c>
      <c r="K415" s="227">
        <f t="shared" si="169"/>
        <v>101695.17746043294</v>
      </c>
      <c r="L415" s="227">
        <f t="shared" si="160"/>
        <v>638969.64483041293</v>
      </c>
      <c r="M415" s="227">
        <f t="shared" si="148"/>
        <v>98183.944174953678</v>
      </c>
      <c r="N415" s="227">
        <f>SQRT((ABS(AC415)-171.5+'Small Signal'!C$59)^2)</f>
        <v>68.469930045721014</v>
      </c>
      <c r="O415" s="227">
        <f t="shared" si="161"/>
        <v>51.100813960668688</v>
      </c>
      <c r="P415" s="227">
        <f t="shared" si="162"/>
        <v>17.48882475359704</v>
      </c>
      <c r="Q415" s="227">
        <f t="shared" si="170"/>
        <v>101695.17746043294</v>
      </c>
      <c r="R415" s="227" t="str">
        <f t="shared" si="149"/>
        <v>0.0945666666666667+3.00315733070294i</v>
      </c>
      <c r="S415" s="227" t="str">
        <f t="shared" si="150"/>
        <v>0.0085-0.059936919774319i</v>
      </c>
      <c r="T415" s="227" t="str">
        <f t="shared" si="151"/>
        <v>0.00876836696079953-0.0598579076052983i</v>
      </c>
      <c r="U415" s="227" t="str">
        <f t="shared" si="152"/>
        <v>-0.179429649450615+0.459817414338142i</v>
      </c>
      <c r="V415" s="227">
        <f t="shared" si="163"/>
        <v>-6.1327448701574045</v>
      </c>
      <c r="W415" s="227">
        <f t="shared" si="164"/>
        <v>-248.68330889944536</v>
      </c>
      <c r="X415" s="227" t="str">
        <f t="shared" si="153"/>
        <v>0.926457535155847-0.0798594060461707i</v>
      </c>
      <c r="Y415" s="227" t="str">
        <f t="shared" si="154"/>
        <v>0.216775997871747-7.99845524760143i</v>
      </c>
      <c r="Z415" s="227" t="str">
        <f t="shared" si="155"/>
        <v>-0.228048663559787-3.86793929606183i</v>
      </c>
      <c r="AA415" s="227" t="str">
        <f t="shared" si="156"/>
        <v>-0.962584387135193-0.170250536928884i</v>
      </c>
      <c r="AB415" s="227">
        <f t="shared" si="165"/>
        <v>-0.19744788966068574</v>
      </c>
      <c r="AC415" s="227">
        <f t="shared" si="166"/>
        <v>-169.96993004572101</v>
      </c>
      <c r="AD415" s="229">
        <f t="shared" si="167"/>
        <v>-17.291376863936353</v>
      </c>
      <c r="AE415" s="229">
        <f t="shared" si="168"/>
        <v>118.86911608505233</v>
      </c>
      <c r="AF415" s="227">
        <f t="shared" si="157"/>
        <v>-17.48882475359704</v>
      </c>
      <c r="AG415" s="227">
        <f t="shared" si="158"/>
        <v>-51.100813960668688</v>
      </c>
      <c r="AH415" s="229" t="str">
        <f t="shared" si="159"/>
        <v>0.0659489350177073-0.119618638790737i</v>
      </c>
    </row>
    <row r="416" spans="2:34" x14ac:dyDescent="0.2">
      <c r="B416" s="220"/>
      <c r="I416" s="227">
        <v>412</v>
      </c>
      <c r="J416" s="227">
        <f t="shared" si="147"/>
        <v>5.0170504810347607</v>
      </c>
      <c r="K416" s="227">
        <f t="shared" si="169"/>
        <v>104004.10499280889</v>
      </c>
      <c r="L416" s="227">
        <f t="shared" si="160"/>
        <v>653477.06437717983</v>
      </c>
      <c r="M416" s="227">
        <f t="shared" si="148"/>
        <v>100545.29451127052</v>
      </c>
      <c r="N416" s="227">
        <f>SQRT((ABS(AC416)-171.5+'Small Signal'!C$59)^2)</f>
        <v>68.795386118748837</v>
      </c>
      <c r="O416" s="227">
        <f t="shared" si="161"/>
        <v>51.962947956503712</v>
      </c>
      <c r="P416" s="227">
        <f t="shared" si="162"/>
        <v>17.616435158834083</v>
      </c>
      <c r="Q416" s="227">
        <f t="shared" si="170"/>
        <v>104004.10499280889</v>
      </c>
      <c r="R416" s="227" t="str">
        <f t="shared" si="149"/>
        <v>0.0945666666666667+3.07134220257275i</v>
      </c>
      <c r="S416" s="227" t="str">
        <f t="shared" si="150"/>
        <v>0.0085-0.05860629917735i</v>
      </c>
      <c r="T416" s="227" t="str">
        <f t="shared" si="151"/>
        <v>0.00875634161231261-0.0585290949071254i</v>
      </c>
      <c r="U416" s="227" t="str">
        <f t="shared" si="152"/>
        <v>-0.174534810379168+0.449759277492971i</v>
      </c>
      <c r="V416" s="227">
        <f t="shared" si="163"/>
        <v>-6.3311813289552017</v>
      </c>
      <c r="W416" s="227">
        <f t="shared" si="164"/>
        <v>-248.79062335335084</v>
      </c>
      <c r="X416" s="227" t="str">
        <f t="shared" si="153"/>
        <v>0.923080150361918-0.081672565587693i</v>
      </c>
      <c r="Y416" s="227" t="str">
        <f t="shared" si="154"/>
        <v>0.207244431935278-7.82081499270179i</v>
      </c>
      <c r="Z416" s="227" t="str">
        <f t="shared" si="155"/>
        <v>-0.233008699109141-3.76827929607953i</v>
      </c>
      <c r="AA416" s="227" t="str">
        <f t="shared" si="156"/>
        <v>-0.965938288996537-0.165190913798102i</v>
      </c>
      <c r="AB416" s="227">
        <f t="shared" si="165"/>
        <v>-0.17581848207754586</v>
      </c>
      <c r="AC416" s="227">
        <f t="shared" si="166"/>
        <v>-170.29538611874884</v>
      </c>
      <c r="AD416" s="229">
        <f t="shared" si="167"/>
        <v>-17.440616676756537</v>
      </c>
      <c r="AE416" s="229">
        <f t="shared" si="168"/>
        <v>118.33243816224513</v>
      </c>
      <c r="AF416" s="227">
        <f t="shared" si="157"/>
        <v>-17.616435158834083</v>
      </c>
      <c r="AG416" s="227">
        <f t="shared" si="158"/>
        <v>-51.962947956503712</v>
      </c>
      <c r="AH416" s="229" t="str">
        <f t="shared" si="159"/>
        <v>0.0637213039114333-0.118182963331717i</v>
      </c>
    </row>
    <row r="417" spans="2:34" x14ac:dyDescent="0.2">
      <c r="B417" s="220"/>
      <c r="I417" s="227">
        <v>413</v>
      </c>
      <c r="J417" s="227">
        <f t="shared" si="147"/>
        <v>5.0268006035615445</v>
      </c>
      <c r="K417" s="227">
        <f t="shared" si="169"/>
        <v>106365.45532912573</v>
      </c>
      <c r="L417" s="227">
        <f t="shared" si="160"/>
        <v>668313.86611542944</v>
      </c>
      <c r="M417" s="227">
        <f t="shared" si="148"/>
        <v>102960.25787960405</v>
      </c>
      <c r="N417" s="227">
        <f>SQRT((ABS(AC417)-171.5+'Small Signal'!C$59)^2)</f>
        <v>69.119731159028532</v>
      </c>
      <c r="O417" s="227">
        <f t="shared" si="161"/>
        <v>52.817607617368225</v>
      </c>
      <c r="P417" s="227">
        <f t="shared" si="162"/>
        <v>17.743945730371291</v>
      </c>
      <c r="Q417" s="227">
        <f t="shared" si="170"/>
        <v>106365.45532912573</v>
      </c>
      <c r="R417" s="227" t="str">
        <f t="shared" si="149"/>
        <v>0.0945666666666667+3.14107517074252i</v>
      </c>
      <c r="S417" s="227" t="str">
        <f t="shared" si="150"/>
        <v>0.0085-0.0573052188233528i</v>
      </c>
      <c r="T417" s="227" t="str">
        <f t="shared" si="151"/>
        <v>0.00874484425028355-0.0572297788117859i</v>
      </c>
      <c r="U417" s="227" t="str">
        <f t="shared" si="152"/>
        <v>-0.169854915483222+0.439914651563246i</v>
      </c>
      <c r="V417" s="227">
        <f t="shared" si="163"/>
        <v>-6.5291288084206425</v>
      </c>
      <c r="W417" s="227">
        <f t="shared" si="164"/>
        <v>-248.88798680455693</v>
      </c>
      <c r="X417" s="227" t="str">
        <f t="shared" si="153"/>
        <v>0.919547661600909-0.0835268918206018i</v>
      </c>
      <c r="Y417" s="227" t="str">
        <f t="shared" si="154"/>
        <v>0.198132527446156-7.64712305386857i</v>
      </c>
      <c r="Z417" s="227" t="str">
        <f t="shared" si="155"/>
        <v>-0.237750349401817-3.67052199661951i</v>
      </c>
      <c r="AA417" s="227" t="str">
        <f t="shared" si="156"/>
        <v>-0.969453107336487-0.160148936825084i</v>
      </c>
      <c r="AB417" s="227">
        <f t="shared" si="165"/>
        <v>-0.15253565314285639</v>
      </c>
      <c r="AC417" s="227">
        <f t="shared" si="166"/>
        <v>-170.61973115902853</v>
      </c>
      <c r="AD417" s="229">
        <f t="shared" si="167"/>
        <v>-17.591410077228435</v>
      </c>
      <c r="AE417" s="229">
        <f t="shared" si="168"/>
        <v>117.80212354166031</v>
      </c>
      <c r="AF417" s="227">
        <f t="shared" si="157"/>
        <v>-17.743945730371291</v>
      </c>
      <c r="AG417" s="227">
        <f t="shared" si="158"/>
        <v>-52.817607617368225</v>
      </c>
      <c r="AH417" s="229" t="str">
        <f t="shared" si="159"/>
        <v>0.0615468918060563-0.116723581262074i</v>
      </c>
    </row>
    <row r="418" spans="2:34" x14ac:dyDescent="0.2">
      <c r="B418" s="220"/>
      <c r="I418" s="227">
        <v>414</v>
      </c>
      <c r="J418" s="227">
        <f t="shared" si="147"/>
        <v>5.0365507260883282</v>
      </c>
      <c r="K418" s="227">
        <f t="shared" si="169"/>
        <v>108780.41869745926</v>
      </c>
      <c r="L418" s="227">
        <f t="shared" si="160"/>
        <v>683487.52846871957</v>
      </c>
      <c r="M418" s="227">
        <f t="shared" si="148"/>
        <v>105430.05153143821</v>
      </c>
      <c r="N418" s="227">
        <f>SQRT((ABS(AC418)-171.5+'Small Signal'!C$59)^2)</f>
        <v>69.443349564202435</v>
      </c>
      <c r="O418" s="227">
        <f t="shared" si="161"/>
        <v>53.665063831476928</v>
      </c>
      <c r="P418" s="227">
        <f t="shared" si="162"/>
        <v>17.871266732122582</v>
      </c>
      <c r="Q418" s="227">
        <f t="shared" si="170"/>
        <v>108780.41869745926</v>
      </c>
      <c r="R418" s="227" t="str">
        <f t="shared" si="149"/>
        <v>0.0945666666666667+3.21239138380298i</v>
      </c>
      <c r="S418" s="227" t="str">
        <f t="shared" si="150"/>
        <v>0.0085-0.0560330229085931i</v>
      </c>
      <c r="T418" s="227" t="str">
        <f t="shared" si="151"/>
        <v>0.00873385169374057-0.0559593047125999i</v>
      </c>
      <c r="U418" s="227" t="str">
        <f t="shared" si="152"/>
        <v>-0.165380525171417+0.430279435355318i</v>
      </c>
      <c r="V418" s="227">
        <f t="shared" si="163"/>
        <v>-6.7265923361367914</v>
      </c>
      <c r="W418" s="227">
        <f t="shared" si="164"/>
        <v>-248.97543165035529</v>
      </c>
      <c r="X418" s="227" t="str">
        <f t="shared" si="153"/>
        <v>0.915852945834706-0.085423319409741i</v>
      </c>
      <c r="Y418" s="227" t="str">
        <f t="shared" si="154"/>
        <v>0.189421759110025-7.47729147838017i</v>
      </c>
      <c r="Z418" s="227" t="str">
        <f t="shared" si="155"/>
        <v>-0.242283254871372-3.57461790977503i</v>
      </c>
      <c r="AA418" s="227" t="str">
        <f t="shared" si="156"/>
        <v>-0.973137779327777-0.155116351122569i</v>
      </c>
      <c r="AB418" s="227">
        <f t="shared" si="165"/>
        <v>-0.12754731120889773</v>
      </c>
      <c r="AC418" s="227">
        <f t="shared" si="166"/>
        <v>-170.94334956420244</v>
      </c>
      <c r="AD418" s="229">
        <f t="shared" si="167"/>
        <v>-17.743719420913685</v>
      </c>
      <c r="AE418" s="229">
        <f t="shared" si="168"/>
        <v>117.27828573272551</v>
      </c>
      <c r="AF418" s="227">
        <f t="shared" si="157"/>
        <v>-17.871266732122582</v>
      </c>
      <c r="AG418" s="227">
        <f t="shared" si="158"/>
        <v>-53.665063831476928</v>
      </c>
      <c r="AH418" s="229" t="str">
        <f t="shared" si="159"/>
        <v>0.0594259272314994-0.115242765740246i</v>
      </c>
    </row>
    <row r="419" spans="2:34" x14ac:dyDescent="0.2">
      <c r="B419" s="220"/>
      <c r="I419" s="227">
        <v>415</v>
      </c>
      <c r="J419" s="227">
        <f t="shared" si="147"/>
        <v>5.0463008486151111</v>
      </c>
      <c r="K419" s="227">
        <f t="shared" si="169"/>
        <v>111250.21234929342</v>
      </c>
      <c r="L419" s="227">
        <f t="shared" si="160"/>
        <v>699005.6996536894</v>
      </c>
      <c r="M419" s="227">
        <f t="shared" si="148"/>
        <v>107955.92035521695</v>
      </c>
      <c r="N419" s="227">
        <f>SQRT((ABS(AC419)-171.5+'Small Signal'!C$59)^2)</f>
        <v>69.766648339931066</v>
      </c>
      <c r="O419" s="227">
        <f t="shared" si="161"/>
        <v>54.505620780861875</v>
      </c>
      <c r="P419" s="227">
        <f t="shared" si="162"/>
        <v>17.99830471111682</v>
      </c>
      <c r="Q419" s="227">
        <f t="shared" si="170"/>
        <v>111250.21234929342</v>
      </c>
      <c r="R419" s="227" t="str">
        <f t="shared" si="149"/>
        <v>0.0945666666666667+3.28532678837234i</v>
      </c>
      <c r="S419" s="227" t="str">
        <f t="shared" si="150"/>
        <v>0.0085-0.0547890701884114i</v>
      </c>
      <c r="T419" s="227" t="str">
        <f t="shared" si="151"/>
        <v>0.00872334177938595-0.0547170325205227i</v>
      </c>
      <c r="U419" s="227" t="str">
        <f t="shared" si="152"/>
        <v>-0.161102614475954+0.420849576944083i</v>
      </c>
      <c r="V419" s="227">
        <f t="shared" si="163"/>
        <v>-6.9235761280978982</v>
      </c>
      <c r="W419" s="227">
        <f t="shared" si="164"/>
        <v>-249.05298825717324</v>
      </c>
      <c r="X419" s="227" t="str">
        <f t="shared" si="153"/>
        <v>0.911988552904797-0.0873628042409545i</v>
      </c>
      <c r="Y419" s="227" t="str">
        <f t="shared" si="154"/>
        <v>0.18109442353126-7.3112342851792i</v>
      </c>
      <c r="Z419" s="227" t="str">
        <f t="shared" si="155"/>
        <v>-0.246616628227306-3.48051849543081i</v>
      </c>
      <c r="AA419" s="227" t="str">
        <f t="shared" si="156"/>
        <v>-0.977001746523035-0.150084353316165i</v>
      </c>
      <c r="AB419" s="227">
        <f t="shared" si="165"/>
        <v>-0.10079776850083766</v>
      </c>
      <c r="AC419" s="227">
        <f t="shared" si="166"/>
        <v>-171.26664833993107</v>
      </c>
      <c r="AD419" s="229">
        <f t="shared" si="167"/>
        <v>-17.897506942615983</v>
      </c>
      <c r="AE419" s="229">
        <f t="shared" si="168"/>
        <v>116.76102755906919</v>
      </c>
      <c r="AF419" s="227">
        <f t="shared" si="157"/>
        <v>-17.99830471111682</v>
      </c>
      <c r="AG419" s="227">
        <f t="shared" si="158"/>
        <v>-54.505620780861875</v>
      </c>
      <c r="AH419" s="229" t="str">
        <f t="shared" si="159"/>
        <v>0.0573585225729554-0.11374275140736i</v>
      </c>
    </row>
    <row r="420" spans="2:34" x14ac:dyDescent="0.2">
      <c r="B420" s="220"/>
      <c r="I420" s="227">
        <v>416</v>
      </c>
      <c r="J420" s="227">
        <f t="shared" si="147"/>
        <v>5.0560509711418948</v>
      </c>
      <c r="K420" s="227">
        <f t="shared" si="169"/>
        <v>113776.08117307216</v>
      </c>
      <c r="L420" s="227">
        <f t="shared" si="160"/>
        <v>714876.20153511898</v>
      </c>
      <c r="M420" s="227">
        <f t="shared" si="148"/>
        <v>110539.13750382279</v>
      </c>
      <c r="N420" s="227">
        <f>SQRT((ABS(AC420)-171.5+'Small Signal'!C$59)^2)</f>
        <v>70.090059096255658</v>
      </c>
      <c r="O420" s="227">
        <f t="shared" si="161"/>
        <v>55.339617740233251</v>
      </c>
      <c r="P420" s="227">
        <f t="shared" si="162"/>
        <v>18.124962443958104</v>
      </c>
      <c r="Q420" s="227">
        <f t="shared" si="170"/>
        <v>113776.08117307216</v>
      </c>
      <c r="R420" s="227" t="str">
        <f t="shared" si="149"/>
        <v>0.0945666666666667+3.35991814721506i</v>
      </c>
      <c r="S420" s="227" t="str">
        <f t="shared" si="150"/>
        <v>0.0085-0.0535727336540018i</v>
      </c>
      <c r="T420" s="227" t="str">
        <f t="shared" si="151"/>
        <v>0.00871329331692518-0.0535023363428119i</v>
      </c>
      <c r="U420" s="227" t="str">
        <f t="shared" si="152"/>
        <v>-0.15701255483535+0.411621075318519i</v>
      </c>
      <c r="V420" s="227">
        <f t="shared" si="163"/>
        <v>-7.1200835920127501</v>
      </c>
      <c r="W420" s="227">
        <f t="shared" si="164"/>
        <v>-249.12068492914202</v>
      </c>
      <c r="X420" s="227" t="str">
        <f t="shared" si="153"/>
        <v>0.907946690509501-0.0893463239028971i</v>
      </c>
      <c r="Y420" s="227" t="str">
        <f t="shared" si="154"/>
        <v>0.173133602395444-7.14886741989797i</v>
      </c>
      <c r="Z420" s="227" t="str">
        <f t="shared" si="155"/>
        <v>-0.250759273616435-3.38817613593034i</v>
      </c>
      <c r="AA420" s="227" t="str">
        <f t="shared" si="156"/>
        <v>-0.981054986235183-0.14504352696722i</v>
      </c>
      <c r="AB420" s="227">
        <f t="shared" si="165"/>
        <v>-7.2227607414678763E-2</v>
      </c>
      <c r="AC420" s="227">
        <f t="shared" si="166"/>
        <v>-171.59005909625566</v>
      </c>
      <c r="AD420" s="229">
        <f t="shared" si="167"/>
        <v>-18.052734836543426</v>
      </c>
      <c r="AE420" s="229">
        <f t="shared" si="168"/>
        <v>116.25044135602241</v>
      </c>
      <c r="AF420" s="227">
        <f t="shared" si="157"/>
        <v>-18.124962443958104</v>
      </c>
      <c r="AG420" s="227">
        <f t="shared" si="158"/>
        <v>-55.339617740233251</v>
      </c>
      <c r="AH420" s="229" t="str">
        <f t="shared" si="159"/>
        <v>0.0553446794109941-0.112225728478627i</v>
      </c>
    </row>
    <row r="421" spans="2:34" x14ac:dyDescent="0.2">
      <c r="B421" s="220"/>
      <c r="I421" s="227">
        <v>417</v>
      </c>
      <c r="J421" s="227">
        <f t="shared" si="147"/>
        <v>5.0658010936686777</v>
      </c>
      <c r="K421" s="227">
        <f t="shared" si="169"/>
        <v>116359.298321678</v>
      </c>
      <c r="L421" s="227">
        <f t="shared" si="160"/>
        <v>731107.03356849344</v>
      </c>
      <c r="M421" s="227">
        <f t="shared" si="148"/>
        <v>113181.00503630631</v>
      </c>
      <c r="N421" s="227">
        <f>SQRT((ABS(AC421)-171.5+'Small Signal'!C$59)^2)</f>
        <v>70.414040255345213</v>
      </c>
      <c r="O421" s="227">
        <f t="shared" si="161"/>
        <v>56.167431061132731</v>
      </c>
      <c r="P421" s="227">
        <f t="shared" si="162"/>
        <v>18.251138874132888</v>
      </c>
      <c r="Q421" s="227">
        <f t="shared" si="170"/>
        <v>116359.298321678</v>
      </c>
      <c r="R421" s="227" t="str">
        <f t="shared" si="149"/>
        <v>0.0945666666666667+3.43620305777192i</v>
      </c>
      <c r="S421" s="227" t="str">
        <f t="shared" si="150"/>
        <v>0.0085-0.0523834002163755i</v>
      </c>
      <c r="T421" s="227" t="str">
        <f t="shared" si="151"/>
        <v>0.00870368604635651-0.0523146041687745i</v>
      </c>
      <c r="U421" s="227" t="str">
        <f t="shared" si="152"/>
        <v>-0.153102096678013+0.402589981810426i</v>
      </c>
      <c r="V421" s="227">
        <f t="shared" si="163"/>
        <v>-7.3161173300757509</v>
      </c>
      <c r="W421" s="227">
        <f t="shared" si="164"/>
        <v>-249.17854788552486</v>
      </c>
      <c r="X421" s="227" t="str">
        <f t="shared" si="153"/>
        <v>0.903719208491284-0.0913748781797822i</v>
      </c>
      <c r="Y421" s="227" t="str">
        <f t="shared" si="154"/>
        <v>0.165523127331337-6.99010871095666i</v>
      </c>
      <c r="Z421" s="227" t="str">
        <f t="shared" si="155"/>
        <v>-0.254719604910102-3.29754411126192i</v>
      </c>
      <c r="AA421" s="227" t="str">
        <f t="shared" si="156"/>
        <v>-0.985308044473886-0.139983770327227i</v>
      </c>
      <c r="AB421" s="227">
        <f t="shared" si="165"/>
        <v>-4.1773541525139665E-2</v>
      </c>
      <c r="AC421" s="227">
        <f t="shared" si="166"/>
        <v>-171.91404025534521</v>
      </c>
      <c r="AD421" s="229">
        <f t="shared" si="167"/>
        <v>-18.209365332607749</v>
      </c>
      <c r="AE421" s="229">
        <f t="shared" si="168"/>
        <v>115.74660919421248</v>
      </c>
      <c r="AF421" s="227">
        <f t="shared" si="157"/>
        <v>-18.251138874132888</v>
      </c>
      <c r="AG421" s="227">
        <f t="shared" si="158"/>
        <v>-56.167431061132731</v>
      </c>
      <c r="AH421" s="229" t="str">
        <f t="shared" si="159"/>
        <v>0.0533842941090239-0.110693837406538i</v>
      </c>
    </row>
    <row r="422" spans="2:34" x14ac:dyDescent="0.2">
      <c r="B422" s="220"/>
      <c r="I422" s="227">
        <v>418</v>
      </c>
      <c r="J422" s="227">
        <f t="shared" si="147"/>
        <v>5.0755512161954615</v>
      </c>
      <c r="K422" s="227">
        <f t="shared" si="169"/>
        <v>119001.16585416152</v>
      </c>
      <c r="L422" s="227">
        <f t="shared" si="160"/>
        <v>747706.37683210871</v>
      </c>
      <c r="M422" s="227">
        <f t="shared" si="148"/>
        <v>115882.85457418032</v>
      </c>
      <c r="N422" s="227">
        <f>SQRT((ABS(AC422)-171.5+'Small Signal'!C$59)^2)</f>
        <v>70.739079493406308</v>
      </c>
      <c r="O422" s="227">
        <f t="shared" si="161"/>
        <v>56.989476366812227</v>
      </c>
      <c r="P422" s="227">
        <f t="shared" si="162"/>
        <v>18.376729040349652</v>
      </c>
      <c r="Q422" s="227">
        <f t="shared" si="170"/>
        <v>119001.16585416152</v>
      </c>
      <c r="R422" s="227" t="str">
        <f t="shared" si="149"/>
        <v>0.0945666666666667+3.51421997111091i</v>
      </c>
      <c r="S422" s="227" t="str">
        <f t="shared" si="150"/>
        <v>0.0085-0.0512204703973322i</v>
      </c>
      <c r="T422" s="227" t="str">
        <f t="shared" si="151"/>
        <v>0.00869450059713469-0.0511532375624219i</v>
      </c>
      <c r="U422" s="227" t="str">
        <f t="shared" si="152"/>
        <v>-0.149363352771333+0.393752401322963i</v>
      </c>
      <c r="V422" s="227">
        <f t="shared" si="163"/>
        <v>-7.5116791411920367</v>
      </c>
      <c r="W422" s="227">
        <f t="shared" si="164"/>
        <v>-249.226601246954</v>
      </c>
      <c r="X422" s="227" t="str">
        <f t="shared" si="153"/>
        <v>0.899297582402491-0.0934494895553204i</v>
      </c>
      <c r="Y422" s="227" t="str">
        <f t="shared" si="154"/>
        <v>0.158247546372678-6.83487782670456i</v>
      </c>
      <c r="Z422" s="227" t="str">
        <f t="shared" si="155"/>
        <v>-0.258505663158615-3.2085765747471i</v>
      </c>
      <c r="AA422" s="227" t="str">
        <f t="shared" si="156"/>
        <v>-0.989772070384078-0.134894215388588i</v>
      </c>
      <c r="AB422" s="227">
        <f t="shared" si="165"/>
        <v>-9.3682716413154912E-3</v>
      </c>
      <c r="AC422" s="227">
        <f t="shared" si="166"/>
        <v>-172.23907949340631</v>
      </c>
      <c r="AD422" s="229">
        <f t="shared" si="167"/>
        <v>-18.367360768708338</v>
      </c>
      <c r="AE422" s="229">
        <f t="shared" si="168"/>
        <v>115.24960312659408</v>
      </c>
      <c r="AF422" s="227">
        <f t="shared" si="157"/>
        <v>-18.376729040349652</v>
      </c>
      <c r="AG422" s="227">
        <f t="shared" si="158"/>
        <v>-56.989476366812227</v>
      </c>
      <c r="AH422" s="229" t="str">
        <f t="shared" si="159"/>
        <v>0.0514771635917605-0.109149164114082i</v>
      </c>
    </row>
    <row r="423" spans="2:34" x14ac:dyDescent="0.2">
      <c r="B423" s="220"/>
      <c r="I423" s="227">
        <v>419</v>
      </c>
      <c r="J423" s="227">
        <f t="shared" si="147"/>
        <v>5.0853013387222443</v>
      </c>
      <c r="K423" s="227">
        <f t="shared" si="169"/>
        <v>121703.01539203554</v>
      </c>
      <c r="L423" s="227">
        <f t="shared" si="160"/>
        <v>764682.59815068869</v>
      </c>
      <c r="M423" s="227">
        <f t="shared" si="148"/>
        <v>118646.04797262001</v>
      </c>
      <c r="N423" s="227">
        <f>SQRT((ABS(AC423)-171.5+'Small Signal'!C$59)^2)</f>
        <v>71.065696442412076</v>
      </c>
      <c r="O423" s="227">
        <f t="shared" si="161"/>
        <v>57.806210986135582</v>
      </c>
      <c r="P423" s="227">
        <f t="shared" si="162"/>
        <v>18.501623996294203</v>
      </c>
      <c r="Q423" s="227">
        <f t="shared" si="170"/>
        <v>121703.01539203554</v>
      </c>
      <c r="R423" s="227" t="str">
        <f t="shared" si="149"/>
        <v>0.0945666666666667+3.59400821130824i</v>
      </c>
      <c r="S423" s="227" t="str">
        <f t="shared" si="150"/>
        <v>0.0085-0.0500833580272981i</v>
      </c>
      <c r="T423" s="227" t="str">
        <f t="shared" si="151"/>
        <v>0.00868571844912689-0.0500176513619004i</v>
      </c>
      <c r="U423" s="227" t="str">
        <f t="shared" si="152"/>
        <v>-0.145788782302705+0.385104493374738i</v>
      </c>
      <c r="V423" s="227">
        <f t="shared" si="163"/>
        <v>-7.7067700226405655</v>
      </c>
      <c r="W423" s="227">
        <f t="shared" si="164"/>
        <v>-249.26486703043494</v>
      </c>
      <c r="X423" s="227" t="str">
        <f t="shared" si="153"/>
        <v>0.894672896316345-0.0955712037280961i</v>
      </c>
      <c r="Y423" s="227" t="str">
        <f t="shared" si="154"/>
        <v>0.151292091945227-6.68309623357993i</v>
      </c>
      <c r="Z423" s="227" t="str">
        <f t="shared" si="155"/>
        <v>-0.262125133251883-3.12122852921753i</v>
      </c>
      <c r="AA423" s="227" t="str">
        <f t="shared" si="156"/>
        <v>-0.994458852084235-0.129763137044949i</v>
      </c>
      <c r="AB423" s="227">
        <f t="shared" si="165"/>
        <v>2.5059662587686771E-2</v>
      </c>
      <c r="AC423" s="227">
        <f t="shared" si="166"/>
        <v>-172.56569644241208</v>
      </c>
      <c r="AD423" s="229">
        <f t="shared" si="167"/>
        <v>-18.52668365888189</v>
      </c>
      <c r="AE423" s="229">
        <f t="shared" si="168"/>
        <v>114.75948545627649</v>
      </c>
      <c r="AF423" s="227">
        <f t="shared" si="157"/>
        <v>-18.501623996294203</v>
      </c>
      <c r="AG423" s="227">
        <f t="shared" si="158"/>
        <v>-57.806210986135582</v>
      </c>
      <c r="AH423" s="229" t="str">
        <f t="shared" si="159"/>
        <v>0.0496229912610614-0.107593735791143i</v>
      </c>
    </row>
    <row r="424" spans="2:34" x14ac:dyDescent="0.2">
      <c r="B424" s="220"/>
      <c r="I424" s="227">
        <v>420</v>
      </c>
      <c r="J424" s="227">
        <f t="shared" si="147"/>
        <v>5.0950514612490281</v>
      </c>
      <c r="K424" s="227">
        <f t="shared" si="169"/>
        <v>124466.20879047523</v>
      </c>
      <c r="L424" s="227">
        <f t="shared" si="160"/>
        <v>782044.25431266055</v>
      </c>
      <c r="M424" s="227">
        <f t="shared" si="148"/>
        <v>121471.97800689889</v>
      </c>
      <c r="N424" s="227">
        <f>SQRT((ABS(AC424)-171.5+'Small Signal'!C$59)^2)</f>
        <v>71.394445680583914</v>
      </c>
      <c r="O424" s="227">
        <f t="shared" si="161"/>
        <v>58.618136658031787</v>
      </c>
      <c r="P424" s="227">
        <f t="shared" si="162"/>
        <v>18.625710722437727</v>
      </c>
      <c r="Q424" s="227">
        <f t="shared" si="170"/>
        <v>124466.20879047523</v>
      </c>
      <c r="R424" s="227" t="str">
        <f t="shared" si="149"/>
        <v>0.0945666666666667+3.6756079952695i</v>
      </c>
      <c r="S424" s="227" t="str">
        <f t="shared" si="150"/>
        <v>0.0085-0.0489714899498694i</v>
      </c>
      <c r="T424" s="227" t="str">
        <f t="shared" si="151"/>
        <v>0.00867732189528207-0.0489072733855402i</v>
      </c>
      <c r="U424" s="227" t="str">
        <f t="shared" si="152"/>
        <v>-0.142371175660224+0.376642472973857i</v>
      </c>
      <c r="V424" s="227">
        <f t="shared" si="163"/>
        <v>-7.9013901711696599</v>
      </c>
      <c r="W424" s="227">
        <f t="shared" si="164"/>
        <v>-249.29336515310149</v>
      </c>
      <c r="X424" s="227" t="str">
        <f t="shared" si="153"/>
        <v>0.889835824848539-0.0977410901386484i</v>
      </c>
      <c r="Y424" s="227" t="str">
        <f t="shared" si="154"/>
        <v>0.144642650307135-6.53468715525986i</v>
      </c>
      <c r="Z424" s="227" t="str">
        <f t="shared" si="155"/>
        <v>-0.265585359823596-3.03545580366436i</v>
      </c>
      <c r="AA424" s="227" t="str">
        <f t="shared" si="156"/>
        <v>-0.999380853737951-0.124577850998818i</v>
      </c>
      <c r="AB424" s="227">
        <f t="shared" si="165"/>
        <v>6.1586034804210973E-2</v>
      </c>
      <c r="AC424" s="227">
        <f t="shared" si="166"/>
        <v>-172.89444568058391</v>
      </c>
      <c r="AD424" s="229">
        <f t="shared" si="167"/>
        <v>-18.687296757241938</v>
      </c>
      <c r="AE424" s="229">
        <f t="shared" si="168"/>
        <v>114.27630902255213</v>
      </c>
      <c r="AF424" s="227">
        <f t="shared" si="157"/>
        <v>-18.625710722437727</v>
      </c>
      <c r="AG424" s="227">
        <f t="shared" si="158"/>
        <v>-58.618136658031787</v>
      </c>
      <c r="AH424" s="229" t="str">
        <f t="shared" si="159"/>
        <v>0.0478213929985272-0.106029517242544i</v>
      </c>
    </row>
    <row r="425" spans="2:34" x14ac:dyDescent="0.2">
      <c r="B425" s="220"/>
      <c r="I425" s="227">
        <v>421</v>
      </c>
      <c r="J425" s="227">
        <f t="shared" si="147"/>
        <v>5.1048015837758109</v>
      </c>
      <c r="K425" s="227">
        <f t="shared" si="169"/>
        <v>127292.1388247541</v>
      </c>
      <c r="L425" s="227">
        <f t="shared" si="160"/>
        <v>799800.09638315917</v>
      </c>
      <c r="M425" s="227">
        <f t="shared" si="148"/>
        <v>124362.0690744114</v>
      </c>
      <c r="N425" s="227">
        <f>SQRT((ABS(AC425)-171.5+'Small Signal'!C$59)^2)</f>
        <v>71.725920044266957</v>
      </c>
      <c r="O425" s="227">
        <f t="shared" si="161"/>
        <v>59.425802541672681</v>
      </c>
      <c r="P425" s="227">
        <f t="shared" si="162"/>
        <v>18.748872030825595</v>
      </c>
      <c r="Q425" s="227">
        <f t="shared" si="170"/>
        <v>127292.1388247541</v>
      </c>
      <c r="R425" s="227" t="str">
        <f t="shared" si="149"/>
        <v>0.0945666666666667+3.75906045300085i</v>
      </c>
      <c r="S425" s="227" t="str">
        <f t="shared" si="150"/>
        <v>0.0085-0.0478843057329144i</v>
      </c>
      <c r="T425" s="227" t="str">
        <f t="shared" si="151"/>
        <v>0.00866929400593866-0.0478215441443807i</v>
      </c>
      <c r="U425" s="227" t="str">
        <f t="shared" si="152"/>
        <v>-0.139103639882303+0.368362611335401i</v>
      </c>
      <c r="V425" s="227">
        <f t="shared" si="163"/>
        <v>-8.0955389835222942</v>
      </c>
      <c r="W425" s="227">
        <f t="shared" si="164"/>
        <v>-249.31211344471379</v>
      </c>
      <c r="X425" s="227" t="str">
        <f t="shared" si="153"/>
        <v>0.884776614353205-0.0999602425085172i</v>
      </c>
      <c r="Y425" s="227" t="str">
        <f t="shared" si="154"/>
        <v>0.138285732374965-6.38957553277459i</v>
      </c>
      <c r="Z425" s="227" t="str">
        <f t="shared" si="155"/>
        <v>-0.268893362434175-2.95121503034582i</v>
      </c>
      <c r="AA425" s="227" t="str">
        <f t="shared" si="156"/>
        <v>-1.00455125360897-0.119324598851548i</v>
      </c>
      <c r="AB425" s="227">
        <f t="shared" si="165"/>
        <v>0.10029108683698437</v>
      </c>
      <c r="AC425" s="227">
        <f t="shared" si="166"/>
        <v>-173.22592004426696</v>
      </c>
      <c r="AD425" s="229">
        <f t="shared" si="167"/>
        <v>-18.849163117662581</v>
      </c>
      <c r="AE425" s="229">
        <f t="shared" si="168"/>
        <v>113.80011750259428</v>
      </c>
      <c r="AF425" s="227">
        <f t="shared" si="157"/>
        <v>-18.748872030825595</v>
      </c>
      <c r="AG425" s="227">
        <f t="shared" si="158"/>
        <v>-59.425802541672681</v>
      </c>
      <c r="AH425" s="229" t="str">
        <f t="shared" si="159"/>
        <v>0.0460719032076839-0.10445840777221i</v>
      </c>
    </row>
    <row r="426" spans="2:34" x14ac:dyDescent="0.2">
      <c r="B426" s="220"/>
      <c r="I426" s="227">
        <v>422</v>
      </c>
      <c r="J426" s="227">
        <f t="shared" si="147"/>
        <v>5.1145517063025947</v>
      </c>
      <c r="K426" s="227">
        <f t="shared" si="169"/>
        <v>130182.22989226661</v>
      </c>
      <c r="L426" s="227">
        <f t="shared" si="160"/>
        <v>817959.07411496469</v>
      </c>
      <c r="M426" s="227">
        <f t="shared" si="148"/>
        <v>127317.77791263285</v>
      </c>
      <c r="N426" s="227">
        <f>SQRT((ABS(AC426)-171.5+'Small Signal'!C$59)^2)</f>
        <v>72.060754298046277</v>
      </c>
      <c r="O426" s="227">
        <f t="shared" si="161"/>
        <v>60.229808571675605</v>
      </c>
      <c r="P426" s="227">
        <f t="shared" si="162"/>
        <v>18.870986464131725</v>
      </c>
      <c r="Q426" s="227">
        <f t="shared" si="170"/>
        <v>130182.22989226661</v>
      </c>
      <c r="R426" s="227" t="str">
        <f t="shared" si="149"/>
        <v>0.0945666666666667+3.84440764834033i</v>
      </c>
      <c r="S426" s="227" t="str">
        <f t="shared" si="150"/>
        <v>0.0085-0.0468212573860911i</v>
      </c>
      <c r="T426" s="227" t="str">
        <f t="shared" si="151"/>
        <v>0.00866161859469869-0.046759916561035i</v>
      </c>
      <c r="U426" s="227" t="str">
        <f t="shared" si="152"/>
        <v>-0.135979584746811+0.360261236454963i</v>
      </c>
      <c r="V426" s="227">
        <f t="shared" si="163"/>
        <v>-8.2892150563908036</v>
      </c>
      <c r="W426" s="227">
        <f t="shared" si="164"/>
        <v>-249.32112766891487</v>
      </c>
      <c r="X426" s="227" t="str">
        <f t="shared" si="153"/>
        <v>0.879485063255304-0.102229779391529i</v>
      </c>
      <c r="Y426" s="227" t="str">
        <f t="shared" si="154"/>
        <v>0.132208445870667-6.24768798556237i</v>
      </c>
      <c r="Z426" s="227" t="str">
        <f t="shared" si="155"/>
        <v>-0.272055850066219-2.86846362233929i</v>
      </c>
      <c r="AA426" s="227" t="str">
        <f t="shared" si="156"/>
        <v>-1.00998398274169-0.113988418576578i</v>
      </c>
      <c r="AB426" s="227">
        <f t="shared" si="165"/>
        <v>0.1412596850616388</v>
      </c>
      <c r="AC426" s="227">
        <f t="shared" si="166"/>
        <v>-173.56075429804628</v>
      </c>
      <c r="AD426" s="229">
        <f t="shared" si="167"/>
        <v>-19.012246149193363</v>
      </c>
      <c r="AE426" s="229">
        <f t="shared" si="168"/>
        <v>113.33094572637067</v>
      </c>
      <c r="AF426" s="227">
        <f t="shared" si="157"/>
        <v>-18.870986464131725</v>
      </c>
      <c r="AG426" s="227">
        <f t="shared" si="158"/>
        <v>-60.229808571675605</v>
      </c>
      <c r="AH426" s="229" t="str">
        <f t="shared" si="159"/>
        <v>0.0443739808521647-0.102882238584422i</v>
      </c>
    </row>
    <row r="427" spans="2:34" x14ac:dyDescent="0.2">
      <c r="B427" s="220"/>
      <c r="I427" s="227">
        <v>423</v>
      </c>
      <c r="J427" s="227">
        <f t="shared" si="147"/>
        <v>5.1243018288293776</v>
      </c>
      <c r="K427" s="227">
        <f t="shared" si="169"/>
        <v>133137.93873048807</v>
      </c>
      <c r="L427" s="227">
        <f t="shared" si="160"/>
        <v>836530.34045957855</v>
      </c>
      <c r="M427" s="227">
        <f t="shared" si="148"/>
        <v>130340.59433338404</v>
      </c>
      <c r="N427" s="227">
        <f>SQRT((ABS(AC427)-171.5+'Small Signal'!C$59)^2)</f>
        <v>72.399629204738545</v>
      </c>
      <c r="O427" s="227">
        <f t="shared" si="161"/>
        <v>61.030809202319588</v>
      </c>
      <c r="P427" s="227">
        <f t="shared" si="162"/>
        <v>18.991928190702499</v>
      </c>
      <c r="Q427" s="227">
        <f t="shared" si="170"/>
        <v>133137.93873048807</v>
      </c>
      <c r="R427" s="227" t="str">
        <f t="shared" si="149"/>
        <v>0.0945666666666667+3.93169260016002i</v>
      </c>
      <c r="S427" s="227" t="str">
        <f t="shared" si="150"/>
        <v>0.0085-0.0457818090846354i</v>
      </c>
      <c r="T427" s="227" t="str">
        <f t="shared" si="151"/>
        <v>0.00865428018579973-0.0457218556947534i</v>
      </c>
      <c r="U427" s="227" t="str">
        <f t="shared" si="152"/>
        <v>-0.132992709471574+0.352334733549812i</v>
      </c>
      <c r="V427" s="227">
        <f t="shared" si="163"/>
        <v>-8.4824161858095177</v>
      </c>
      <c r="W427" s="227">
        <f t="shared" si="164"/>
        <v>-249.32042155327662</v>
      </c>
      <c r="X427" s="227" t="str">
        <f t="shared" si="153"/>
        <v>0.8739505014798-0.104550844737598i</v>
      </c>
      <c r="Y427" s="227" t="str">
        <f t="shared" si="154"/>
        <v>0.126398468728097-6.10895277344003i</v>
      </c>
      <c r="Z427" s="227" t="str">
        <f t="shared" si="155"/>
        <v>-0.2750792349644-2.78715975152393i</v>
      </c>
      <c r="AA427" s="227" t="str">
        <f t="shared" si="156"/>
        <v>-1.01569376376913-0.108552998305852i</v>
      </c>
      <c r="AB427" s="227">
        <f t="shared" si="165"/>
        <v>0.18458147652213081</v>
      </c>
      <c r="AC427" s="227">
        <f t="shared" si="166"/>
        <v>-173.89962920473855</v>
      </c>
      <c r="AD427" s="229">
        <f t="shared" si="167"/>
        <v>-19.176509667224629</v>
      </c>
      <c r="AE427" s="229">
        <f t="shared" si="168"/>
        <v>112.86882000241896</v>
      </c>
      <c r="AF427" s="227">
        <f t="shared" si="157"/>
        <v>-18.991928190702499</v>
      </c>
      <c r="AG427" s="227">
        <f t="shared" si="158"/>
        <v>-61.030809202319588</v>
      </c>
      <c r="AH427" s="229" t="str">
        <f t="shared" si="159"/>
        <v>0.0427270154500695-0.101302770680149i</v>
      </c>
    </row>
    <row r="428" spans="2:34" x14ac:dyDescent="0.2">
      <c r="B428" s="220"/>
      <c r="I428" s="227">
        <v>424</v>
      </c>
      <c r="J428" s="227">
        <f t="shared" si="147"/>
        <v>5.1340519513561613</v>
      </c>
      <c r="K428" s="227">
        <f t="shared" si="169"/>
        <v>136160.75515123925</v>
      </c>
      <c r="L428" s="227">
        <f t="shared" si="160"/>
        <v>855523.25618074369</v>
      </c>
      <c r="M428" s="227">
        <f t="shared" si="148"/>
        <v>133432.04197376125</v>
      </c>
      <c r="N428" s="227">
        <f>SQRT((ABS(AC428)-171.5+'Small Signal'!C$59)^2)</f>
        <v>72.743276042307855</v>
      </c>
      <c r="O428" s="227">
        <f t="shared" si="161"/>
        <v>61.829517590073849</v>
      </c>
      <c r="P428" s="227">
        <f t="shared" si="162"/>
        <v>19.111566897836774</v>
      </c>
      <c r="Q428" s="227">
        <f t="shared" si="170"/>
        <v>136160.75515123925</v>
      </c>
      <c r="R428" s="227" t="str">
        <f t="shared" si="149"/>
        <v>0.0945666666666667+4.0209593040495i</v>
      </c>
      <c r="S428" s="227" t="str">
        <f t="shared" si="150"/>
        <v>0.0085-0.0447654368992798i</v>
      </c>
      <c r="T428" s="227" t="str">
        <f t="shared" si="151"/>
        <v>0.00864726398291871-0.0447068384725496i</v>
      </c>
      <c r="U428" s="227" t="str">
        <f t="shared" si="152"/>
        <v>-0.13013698999938+0.344579545378548i</v>
      </c>
      <c r="V428" s="227">
        <f t="shared" si="163"/>
        <v>-8.6751393659957099</v>
      </c>
      <c r="W428" s="227">
        <f t="shared" si="164"/>
        <v>-249.31000682818006</v>
      </c>
      <c r="X428" s="227" t="str">
        <f t="shared" si="153"/>
        <v>0.868161768936137-0.106924608469332i</v>
      </c>
      <c r="Y428" s="227" t="str">
        <f t="shared" si="154"/>
        <v>0.120844023700565-5.97329975946573i</v>
      </c>
      <c r="Z428" s="227" t="str">
        <f t="shared" si="155"/>
        <v>-0.277969645850242-2.70726232698031i</v>
      </c>
      <c r="AA428" s="227" t="str">
        <f t="shared" si="156"/>
        <v>-1.02169614917068-0.103000511046691i</v>
      </c>
      <c r="AB428" s="227">
        <f t="shared" si="165"/>
        <v>0.23035104260811387</v>
      </c>
      <c r="AC428" s="227">
        <f t="shared" si="166"/>
        <v>-174.24327604230785</v>
      </c>
      <c r="AD428" s="229">
        <f t="shared" si="167"/>
        <v>-19.341917940444887</v>
      </c>
      <c r="AE428" s="229">
        <f t="shared" si="168"/>
        <v>112.41375845223401</v>
      </c>
      <c r="AF428" s="227">
        <f t="shared" si="157"/>
        <v>-19.111566897836774</v>
      </c>
      <c r="AG428" s="227">
        <f t="shared" si="158"/>
        <v>-61.829517590073849</v>
      </c>
      <c r="AH428" s="229" t="str">
        <f t="shared" si="159"/>
        <v>0.0411303329885475-0.0997216932240869i</v>
      </c>
    </row>
    <row r="429" spans="2:34" x14ac:dyDescent="0.2">
      <c r="B429" s="220"/>
      <c r="I429" s="227">
        <v>425</v>
      </c>
      <c r="J429" s="227">
        <f t="shared" si="147"/>
        <v>5.1438020738829451</v>
      </c>
      <c r="K429" s="227">
        <f t="shared" si="169"/>
        <v>139252.20279161647</v>
      </c>
      <c r="L429" s="227">
        <f t="shared" si="160"/>
        <v>874947.39457267674</v>
      </c>
      <c r="M429" s="227">
        <f t="shared" si="148"/>
        <v>136593.6790641204</v>
      </c>
      <c r="N429" s="227">
        <f>SQRT((ABS(AC429)-171.5+'Small Signal'!C$59)^2)</f>
        <v>73.092481620913588</v>
      </c>
      <c r="O429" s="227">
        <f t="shared" si="161"/>
        <v>62.626710269774918</v>
      </c>
      <c r="P429" s="227">
        <f t="shared" si="162"/>
        <v>19.229767686202102</v>
      </c>
      <c r="Q429" s="227">
        <f t="shared" si="170"/>
        <v>139252.20279161647</v>
      </c>
      <c r="R429" s="227" t="str">
        <f t="shared" si="149"/>
        <v>0.0945666666666667+4.11225275449158i</v>
      </c>
      <c r="S429" s="227" t="str">
        <f t="shared" si="150"/>
        <v>0.0085-0.0437716285321705i</v>
      </c>
      <c r="T429" s="227" t="str">
        <f t="shared" si="151"/>
        <v>0.00864055583934513-0.0437143534262609i</v>
      </c>
      <c r="U429" s="227" t="str">
        <f t="shared" si="152"/>
        <v>-0.127406666841759+0.336992172449323i</v>
      </c>
      <c r="V429" s="227">
        <f t="shared" si="163"/>
        <v>-8.8673807876549517</v>
      </c>
      <c r="W429" s="227">
        <f t="shared" si="164"/>
        <v>-249.28989327459891</v>
      </c>
      <c r="X429" s="227" t="str">
        <f t="shared" si="153"/>
        <v>0.862107193014631-0.109352267071722i</v>
      </c>
      <c r="Y429" s="227" t="str">
        <f t="shared" si="154"/>
        <v>0.115533854113972-5.84066037367151i</v>
      </c>
      <c r="Z429" s="227" t="str">
        <f t="shared" si="155"/>
        <v>-0.280732940540669-2.62873097379442i</v>
      </c>
      <c r="AA429" s="227" t="str">
        <f t="shared" si="156"/>
        <v>-1.02800755807084-0.0973114275851404i</v>
      </c>
      <c r="AB429" s="227">
        <f t="shared" si="165"/>
        <v>0.27866804745763352</v>
      </c>
      <c r="AC429" s="227">
        <f t="shared" si="166"/>
        <v>-174.59248162091359</v>
      </c>
      <c r="AD429" s="229">
        <f t="shared" si="167"/>
        <v>-19.508435733659734</v>
      </c>
      <c r="AE429" s="229">
        <f t="shared" si="168"/>
        <v>111.96577135113867</v>
      </c>
      <c r="AF429" s="227">
        <f t="shared" si="157"/>
        <v>-19.229767686202102</v>
      </c>
      <c r="AG429" s="227">
        <f t="shared" si="158"/>
        <v>-62.626710269774918</v>
      </c>
      <c r="AH429" s="229" t="str">
        <f t="shared" si="159"/>
        <v>0.0395832017265066-0.0981406223560753i</v>
      </c>
    </row>
    <row r="430" spans="2:34" x14ac:dyDescent="0.2">
      <c r="B430" s="220"/>
      <c r="I430" s="227">
        <v>426</v>
      </c>
      <c r="J430" s="227">
        <f t="shared" si="147"/>
        <v>5.1535521964097288</v>
      </c>
      <c r="K430" s="227">
        <f t="shared" si="169"/>
        <v>142413.83988197561</v>
      </c>
      <c r="L430" s="227">
        <f t="shared" si="160"/>
        <v>894812.54628545535</v>
      </c>
      <c r="M430" s="227">
        <f t="shared" si="148"/>
        <v>139827.09921349556</v>
      </c>
      <c r="N430" s="227">
        <f>SQRT((ABS(AC430)-171.5+'Small Signal'!C$59)^2)</f>
        <v>73.448093860251561</v>
      </c>
      <c r="O430" s="227">
        <f t="shared" si="161"/>
        <v>63.423232386617897</v>
      </c>
      <c r="P430" s="227">
        <f t="shared" si="162"/>
        <v>19.346390969081991</v>
      </c>
      <c r="Q430" s="227">
        <f t="shared" si="170"/>
        <v>142413.83988197561</v>
      </c>
      <c r="R430" s="227" t="str">
        <f t="shared" si="149"/>
        <v>0.0945666666666667+4.20561896754164i</v>
      </c>
      <c r="S430" s="227" t="str">
        <f t="shared" si="150"/>
        <v>0.0085-0.0427998830586446i</v>
      </c>
      <c r="T430" s="227" t="str">
        <f t="shared" si="151"/>
        <v>0.00863414222946324-0.0427439004354101i</v>
      </c>
      <c r="U430" s="227" t="str">
        <f t="shared" si="152"/>
        <v>-0.124796233456993+0.32956917312596i</v>
      </c>
      <c r="V430" s="227">
        <f t="shared" si="163"/>
        <v>-9.0591358357719898</v>
      </c>
      <c r="W430" s="227">
        <f t="shared" si="164"/>
        <v>-249.260088780861</v>
      </c>
      <c r="X430" s="227" t="str">
        <f t="shared" si="153"/>
        <v>0.855774565049394-0.111835044195228i</v>
      </c>
      <c r="Y430" s="227" t="str">
        <f t="shared" si="154"/>
        <v>0.110457200712441-5.71096757764359i</v>
      </c>
      <c r="Z430" s="227" t="str">
        <f t="shared" si="155"/>
        <v>-0.283374717997969-2.55152601225307i</v>
      </c>
      <c r="AA430" s="227" t="str">
        <f t="shared" si="156"/>
        <v>-1.03464531037403-0.091464304415878i</v>
      </c>
      <c r="AB430" s="227">
        <f t="shared" si="165"/>
        <v>0.3296373774783013</v>
      </c>
      <c r="AC430" s="227">
        <f t="shared" si="166"/>
        <v>-174.94809386025156</v>
      </c>
      <c r="AD430" s="229">
        <f t="shared" si="167"/>
        <v>-19.676028346560294</v>
      </c>
      <c r="AE430" s="229">
        <f t="shared" si="168"/>
        <v>111.52486147363366</v>
      </c>
      <c r="AF430" s="227">
        <f t="shared" si="157"/>
        <v>-19.346390969081991</v>
      </c>
      <c r="AG430" s="227">
        <f t="shared" si="158"/>
        <v>-63.423232386617897</v>
      </c>
      <c r="AH430" s="229" t="str">
        <f t="shared" si="159"/>
        <v>0.0380848378572038-0.0965611004191703i</v>
      </c>
    </row>
    <row r="431" spans="2:34" x14ac:dyDescent="0.2">
      <c r="B431" s="220"/>
      <c r="I431" s="227">
        <v>427</v>
      </c>
      <c r="J431" s="227">
        <f t="shared" si="147"/>
        <v>5.1633023189365126</v>
      </c>
      <c r="K431" s="227">
        <f t="shared" si="169"/>
        <v>145647.26003135077</v>
      </c>
      <c r="L431" s="227">
        <f t="shared" si="160"/>
        <v>915128.72425994778</v>
      </c>
      <c r="M431" s="227">
        <f t="shared" si="148"/>
        <v>143133.9322128511</v>
      </c>
      <c r="N431" s="227">
        <f>SQRT((ABS(AC431)-171.5+'Small Signal'!C$59)^2)</f>
        <v>73.811027995250043</v>
      </c>
      <c r="O431" s="227">
        <f t="shared" si="161"/>
        <v>64.22000355389595</v>
      </c>
      <c r="P431" s="227">
        <f t="shared" si="162"/>
        <v>19.461292381130356</v>
      </c>
      <c r="Q431" s="227">
        <f t="shared" si="170"/>
        <v>145647.26003135077</v>
      </c>
      <c r="R431" s="227" t="str">
        <f t="shared" si="149"/>
        <v>0.0945666666666667+4.30110500402175i</v>
      </c>
      <c r="S431" s="227" t="str">
        <f t="shared" si="150"/>
        <v>0.0085-0.041849710674743i</v>
      </c>
      <c r="T431" s="227" t="str">
        <f t="shared" si="151"/>
        <v>0.00862801022148602-0.0417949904757456i</v>
      </c>
      <c r="U431" s="227" t="str">
        <f t="shared" si="152"/>
        <v>-0.122300425138834+0.322307163640703i</v>
      </c>
      <c r="V431" s="227">
        <f t="shared" si="163"/>
        <v>-9.2503990869123101</v>
      </c>
      <c r="W431" s="227">
        <f t="shared" si="164"/>
        <v>-249.22059940849118</v>
      </c>
      <c r="X431" s="227" t="str">
        <f t="shared" si="153"/>
        <v>0.849151115700339-0.114374191272554i</v>
      </c>
      <c r="Y431" s="227" t="str">
        <f t="shared" si="154"/>
        <v>0.10560377954607-5.58415582992831i</v>
      </c>
      <c r="Z431" s="227" t="str">
        <f t="shared" si="155"/>
        <v>-0.285900329837344-2.47560843741831i</v>
      </c>
      <c r="AA431" s="227" t="str">
        <f t="shared" si="156"/>
        <v>-1.04162765665225-0.0854355430597452i</v>
      </c>
      <c r="AB431" s="227">
        <f t="shared" si="165"/>
        <v>0.3833692674205621</v>
      </c>
      <c r="AC431" s="227">
        <f t="shared" si="166"/>
        <v>-175.31102799525004</v>
      </c>
      <c r="AD431" s="229">
        <f t="shared" si="167"/>
        <v>-19.844661648550918</v>
      </c>
      <c r="AE431" s="229">
        <f t="shared" si="168"/>
        <v>111.09102444135409</v>
      </c>
      <c r="AF431" s="227">
        <f t="shared" si="157"/>
        <v>-19.461292381130356</v>
      </c>
      <c r="AG431" s="227">
        <f t="shared" si="158"/>
        <v>-64.22000355389595</v>
      </c>
      <c r="AH431" s="229" t="str">
        <f t="shared" si="159"/>
        <v>0.0366344110062138-0.0949845955756292i</v>
      </c>
    </row>
    <row r="432" spans="2:34" x14ac:dyDescent="0.2">
      <c r="B432" s="220"/>
      <c r="I432" s="227">
        <v>428</v>
      </c>
      <c r="J432" s="227">
        <f t="shared" si="147"/>
        <v>5.1730524414632955</v>
      </c>
      <c r="K432" s="227">
        <f t="shared" si="169"/>
        <v>148954.09303070631</v>
      </c>
      <c r="L432" s="227">
        <f t="shared" si="160"/>
        <v>935906.16877479514</v>
      </c>
      <c r="M432" s="227">
        <f t="shared" si="148"/>
        <v>146515.8448565701</v>
      </c>
      <c r="N432" s="227">
        <f>SQRT((ABS(AC432)-171.5+'Small Signal'!C$59)^2)</f>
        <v>74.182273487057955</v>
      </c>
      <c r="O432" s="227">
        <f t="shared" si="161"/>
        <v>65.018024415160994</v>
      </c>
      <c r="P432" s="227">
        <f t="shared" si="162"/>
        <v>19.574322702522764</v>
      </c>
      <c r="Q432" s="227">
        <f t="shared" si="170"/>
        <v>148954.09303070631</v>
      </c>
      <c r="R432" s="227" t="str">
        <f t="shared" si="149"/>
        <v>0.0945666666666667+4.39875899324154i</v>
      </c>
      <c r="S432" s="227" t="str">
        <f t="shared" si="150"/>
        <v>0.0085-0.0409206324503253i</v>
      </c>
      <c r="T432" s="227" t="str">
        <f t="shared" si="151"/>
        <v>0.00862214745138589-0.0408671453733315i</v>
      </c>
      <c r="U432" s="227" t="str">
        <f t="shared" si="152"/>
        <v>-0.119914208393501+0.315202818021594i</v>
      </c>
      <c r="V432" s="227">
        <f t="shared" si="163"/>
        <v>-9.4411643060667085</v>
      </c>
      <c r="W432" s="227">
        <f t="shared" si="164"/>
        <v>-249.1714294672372</v>
      </c>
      <c r="X432" s="227" t="str">
        <f t="shared" si="153"/>
        <v>0.84222348920462-0.116970988149428i</v>
      </c>
      <c r="Y432" s="227" t="str">
        <f t="shared" si="154"/>
        <v>0.100963760853065-5.46016105224399i</v>
      </c>
      <c r="Z432" s="227" t="str">
        <f t="shared" si="155"/>
        <v>-0.28831489131697-2.40093989906901i</v>
      </c>
      <c r="AA432" s="227" t="str">
        <f t="shared" si="156"/>
        <v>-1.04897380171758-0.0791991165811032i</v>
      </c>
      <c r="AB432" s="227">
        <f t="shared" si="165"/>
        <v>0.4399794072349581</v>
      </c>
      <c r="AC432" s="227">
        <f t="shared" si="166"/>
        <v>-175.68227348705796</v>
      </c>
      <c r="AD432" s="229">
        <f t="shared" si="167"/>
        <v>-20.014302109757722</v>
      </c>
      <c r="AE432" s="229">
        <f t="shared" si="168"/>
        <v>110.66424907189696</v>
      </c>
      <c r="AF432" s="227">
        <f t="shared" si="157"/>
        <v>-19.574322702522764</v>
      </c>
      <c r="AG432" s="227">
        <f t="shared" si="158"/>
        <v>-65.018024415160994</v>
      </c>
      <c r="AH432" s="229" t="str">
        <f t="shared" si="159"/>
        <v>0.0352310495439286-0.0934125017815344i</v>
      </c>
    </row>
    <row r="433" spans="2:34" x14ac:dyDescent="0.2">
      <c r="B433" s="220"/>
      <c r="I433" s="227">
        <v>429</v>
      </c>
      <c r="J433" s="227">
        <f t="shared" si="147"/>
        <v>5.1828025639900792</v>
      </c>
      <c r="K433" s="227">
        <f t="shared" si="169"/>
        <v>152336.00567442531</v>
      </c>
      <c r="L433" s="227">
        <f t="shared" si="160"/>
        <v>957155.35260797513</v>
      </c>
      <c r="M433" s="227">
        <f t="shared" si="148"/>
        <v>149974.54178259347</v>
      </c>
      <c r="N433" s="227">
        <f>SQRT((ABS(AC433)-171.5+'Small Signal'!C$59)^2)</f>
        <v>74.562901726297355</v>
      </c>
      <c r="O433" s="227">
        <f t="shared" si="161"/>
        <v>65.818383999379066</v>
      </c>
      <c r="P433" s="227">
        <f t="shared" si="162"/>
        <v>19.685327805890381</v>
      </c>
      <c r="Q433" s="227">
        <f t="shared" si="170"/>
        <v>152336.00567442531</v>
      </c>
      <c r="R433" s="227" t="str">
        <f t="shared" si="149"/>
        <v>0.0945666666666667+4.49863015725748i</v>
      </c>
      <c r="S433" s="227" t="str">
        <f t="shared" si="150"/>
        <v>0.0085-0.0400121800876678i</v>
      </c>
      <c r="T433" s="227" t="str">
        <f t="shared" si="151"/>
        <v>0.00861654209796971-0.0399598975640708i</v>
      </c>
      <c r="U433" s="227" t="str">
        <f t="shared" si="152"/>
        <v>-0.117632770783471+0.308252867942041i</v>
      </c>
      <c r="V433" s="227">
        <f t="shared" si="163"/>
        <v>-9.6314244430735165</v>
      </c>
      <c r="W433" s="227">
        <f t="shared" si="164"/>
        <v>-249.11258159940871</v>
      </c>
      <c r="X433" s="227" t="str">
        <f t="shared" si="153"/>
        <v>0.834977716445593-0.119626743729701i</v>
      </c>
      <c r="Y433" s="227" t="str">
        <f t="shared" si="154"/>
        <v>0.0965277488903207-5.33892059647773i</v>
      </c>
      <c r="Z433" s="227" t="str">
        <f t="shared" si="155"/>
        <v>-0.290623291834409-2.32748268199771i</v>
      </c>
      <c r="AA433" s="227" t="str">
        <f t="shared" si="156"/>
        <v>-1.05670391919404-0.0727262584894518i</v>
      </c>
      <c r="AB433" s="227">
        <f t="shared" si="165"/>
        <v>0.49958902246602754</v>
      </c>
      <c r="AC433" s="227">
        <f t="shared" si="166"/>
        <v>-176.06290172629735</v>
      </c>
      <c r="AD433" s="229">
        <f t="shared" si="167"/>
        <v>-20.184916828356407</v>
      </c>
      <c r="AE433" s="229">
        <f t="shared" si="168"/>
        <v>110.24451772691829</v>
      </c>
      <c r="AF433" s="227">
        <f t="shared" si="157"/>
        <v>-19.685327805890381</v>
      </c>
      <c r="AG433" s="227">
        <f t="shared" si="158"/>
        <v>-65.818383999379066</v>
      </c>
      <c r="AH433" s="229" t="str">
        <f t="shared" si="159"/>
        <v>0.0338738456951981-0.0918461390905395i</v>
      </c>
    </row>
    <row r="434" spans="2:34" x14ac:dyDescent="0.2">
      <c r="B434" s="220"/>
      <c r="I434" s="227">
        <v>430</v>
      </c>
      <c r="J434" s="227">
        <f t="shared" si="147"/>
        <v>5.1925526865168621</v>
      </c>
      <c r="K434" s="227">
        <f t="shared" si="169"/>
        <v>155794.70260044868</v>
      </c>
      <c r="L434" s="227">
        <f t="shared" si="160"/>
        <v>978886.98631555249</v>
      </c>
      <c r="M434" s="227">
        <f t="shared" si="148"/>
        <v>153511.76633163815</v>
      </c>
      <c r="N434" s="227">
        <f>SQRT((ABS(AC434)-171.5+'Small Signal'!C$59)^2)</f>
        <v>74.95407462678159</v>
      </c>
      <c r="O434" s="227">
        <f t="shared" si="161"/>
        <v>66.622267968743486</v>
      </c>
      <c r="P434" s="227">
        <f t="shared" si="162"/>
        <v>19.794148635278532</v>
      </c>
      <c r="Q434" s="227">
        <f t="shared" si="170"/>
        <v>155794.70260044868</v>
      </c>
      <c r="R434" s="227" t="str">
        <f t="shared" si="149"/>
        <v>0.0945666666666667+4.6007688356831i</v>
      </c>
      <c r="S434" s="227" t="str">
        <f t="shared" si="150"/>
        <v>0.0085-0.0391238956854207i</v>
      </c>
      <c r="T434" s="227" t="str">
        <f t="shared" si="151"/>
        <v>0.00861118285904776-0.0390727898585406i</v>
      </c>
      <c r="U434" s="227" t="str">
        <f t="shared" si="152"/>
        <v>-0.115451511217537+0.301454102499513i</v>
      </c>
      <c r="V434" s="227">
        <f t="shared" si="163"/>
        <v>-9.8211716286603181</v>
      </c>
      <c r="W434" s="227">
        <f t="shared" si="164"/>
        <v>-249.04405687366364</v>
      </c>
      <c r="X434" s="227" t="str">
        <f t="shared" si="153"/>
        <v>0.82739918678498-0.122342796635095i</v>
      </c>
      <c r="Y434" s="227" t="str">
        <f t="shared" si="154"/>
        <v>0.09228676266915-5.2203732124477i</v>
      </c>
      <c r="Z434" s="227" t="str">
        <f t="shared" si="155"/>
        <v>-0.292830204951951-2.255199686651i</v>
      </c>
      <c r="AA434" s="227" t="str">
        <f t="shared" si="156"/>
        <v>-1.06483915361428-0.0659851084962862i</v>
      </c>
      <c r="AB434" s="227">
        <f t="shared" si="165"/>
        <v>0.56232491908997384</v>
      </c>
      <c r="AC434" s="227">
        <f t="shared" si="166"/>
        <v>-176.45407462678159</v>
      </c>
      <c r="AD434" s="229">
        <f t="shared" si="167"/>
        <v>-20.356473554368506</v>
      </c>
      <c r="AE434" s="229">
        <f t="shared" si="168"/>
        <v>109.8318066580381</v>
      </c>
      <c r="AF434" s="227">
        <f t="shared" si="157"/>
        <v>-19.794148635278532</v>
      </c>
      <c r="AG434" s="227">
        <f t="shared" si="158"/>
        <v>-66.622267968743486</v>
      </c>
      <c r="AH434" s="229" t="str">
        <f t="shared" si="159"/>
        <v>0.0325618604320201-0.0902867542573465i</v>
      </c>
    </row>
    <row r="435" spans="2:34" x14ac:dyDescent="0.2">
      <c r="B435" s="220"/>
      <c r="I435" s="227">
        <v>431</v>
      </c>
      <c r="J435" s="227">
        <f t="shared" si="147"/>
        <v>5.2023028090436458</v>
      </c>
      <c r="K435" s="227">
        <f t="shared" si="169"/>
        <v>159331.92714949336</v>
      </c>
      <c r="L435" s="227">
        <f t="shared" si="160"/>
        <v>1001112.023630305</v>
      </c>
      <c r="M435" s="227">
        <f t="shared" si="148"/>
        <v>157129.30142591623</v>
      </c>
      <c r="N435" s="227">
        <f>SQRT((ABS(AC435)-171.5+'Small Signal'!C$59)^2)</f>
        <v>75.357054220421958</v>
      </c>
      <c r="O435" s="227">
        <f t="shared" si="161"/>
        <v>67.430967871196188</v>
      </c>
      <c r="P435" s="227">
        <f t="shared" si="162"/>
        <v>19.900621228677249</v>
      </c>
      <c r="Q435" s="227">
        <f t="shared" si="170"/>
        <v>159331.92714949336</v>
      </c>
      <c r="R435" s="227" t="str">
        <f t="shared" si="149"/>
        <v>0.0945666666666667+4.70522651106243i</v>
      </c>
      <c r="S435" s="227" t="str">
        <f t="shared" si="150"/>
        <v>0.0085-0.0382553315078037i</v>
      </c>
      <c r="T435" s="227" t="str">
        <f t="shared" si="151"/>
        <v>0.00860605892864891-0.0382053752120223i</v>
      </c>
      <c r="U435" s="227" t="str">
        <f t="shared" si="152"/>
        <v>-0.113366030667527+0.294803367929775i</v>
      </c>
      <c r="V435" s="227">
        <f t="shared" si="163"/>
        <v>-10.010397170152947</v>
      </c>
      <c r="W435" s="227">
        <f t="shared" si="164"/>
        <v>-248.96585488838349</v>
      </c>
      <c r="X435" s="227" t="str">
        <f t="shared" si="153"/>
        <v>0.819472618601447-0.125120515879929i</v>
      </c>
      <c r="Y435" s="227" t="str">
        <f t="shared" si="154"/>
        <v>0.0882322175546866-5.10445901641226i</v>
      </c>
      <c r="Z435" s="227" t="str">
        <f t="shared" si="155"/>
        <v>-0.294940097972462-2.18405441010272i</v>
      </c>
      <c r="AA435" s="227" t="str">
        <f t="shared" si="156"/>
        <v>-1.07340160555918-0.0589403087928039i</v>
      </c>
      <c r="AB435" s="227">
        <f t="shared" si="165"/>
        <v>0.62831948140421567</v>
      </c>
      <c r="AC435" s="227">
        <f t="shared" si="166"/>
        <v>-176.85705422042196</v>
      </c>
      <c r="AD435" s="229">
        <f t="shared" si="167"/>
        <v>-20.528940710081464</v>
      </c>
      <c r="AE435" s="229">
        <f t="shared" si="168"/>
        <v>109.42608634922577</v>
      </c>
      <c r="AF435" s="227">
        <f t="shared" si="157"/>
        <v>-19.900621228677249</v>
      </c>
      <c r="AG435" s="227">
        <f t="shared" si="158"/>
        <v>-67.430967871196188</v>
      </c>
      <c r="AH435" s="229" t="str">
        <f t="shared" si="159"/>
        <v>0.0312941281382849-0.0887355216119638i</v>
      </c>
    </row>
    <row r="436" spans="2:34" x14ac:dyDescent="0.2">
      <c r="I436" s="227">
        <v>432</v>
      </c>
      <c r="J436" s="227">
        <f t="shared" si="147"/>
        <v>5.2120529315704287</v>
      </c>
      <c r="K436" s="227">
        <f t="shared" si="169"/>
        <v>162949.46224377144</v>
      </c>
      <c r="L436" s="227">
        <f t="shared" si="160"/>
        <v>1023841.6669828795</v>
      </c>
      <c r="M436" s="227">
        <f t="shared" si="148"/>
        <v>160828.97046781206</v>
      </c>
      <c r="N436" s="227">
        <f>SQRT((ABS(AC436)-171.5+'Small Signal'!C$59)^2)</f>
        <v>75.773213377957006</v>
      </c>
      <c r="O436" s="227">
        <f t="shared" si="161"/>
        <v>68.245891523483522</v>
      </c>
      <c r="P436" s="227">
        <f t="shared" si="162"/>
        <v>20.004576798518741</v>
      </c>
      <c r="Q436" s="227">
        <f t="shared" si="170"/>
        <v>162949.46224377144</v>
      </c>
      <c r="R436" s="227" t="str">
        <f t="shared" si="149"/>
        <v>0.0945666666666667+4.81205583481953i</v>
      </c>
      <c r="S436" s="227" t="str">
        <f t="shared" si="150"/>
        <v>0.0085-0.0374060497589281i</v>
      </c>
      <c r="T436" s="227" t="str">
        <f t="shared" si="151"/>
        <v>0.00860115997523575-0.0373572164996162i</v>
      </c>
      <c r="U436" s="227" t="str">
        <f t="shared" si="152"/>
        <v>-0.111372123292919+0.288297567262719i</v>
      </c>
      <c r="V436" s="227">
        <f t="shared" si="163"/>
        <v>-10.199091546902682</v>
      </c>
      <c r="W436" s="227">
        <f t="shared" si="164"/>
        <v>-248.87797388479544</v>
      </c>
      <c r="X436" s="227" t="str">
        <f t="shared" si="153"/>
        <v>0.8111820284762-0.127961301561164i</v>
      </c>
      <c r="Y436" s="227" t="str">
        <f t="shared" si="154"/>
        <v>0.0843559076894703-4.99111946030681i</v>
      </c>
      <c r="Z436" s="227" t="str">
        <f t="shared" si="155"/>
        <v>-0.29695724108628-2.11401092734845i</v>
      </c>
      <c r="AA436" s="227" t="str">
        <f t="shared" si="156"/>
        <v>-1.08241429407621-0.0515525436127018i</v>
      </c>
      <c r="AB436" s="227">
        <f t="shared" si="165"/>
        <v>0.69771060873971613</v>
      </c>
      <c r="AC436" s="227">
        <f t="shared" si="166"/>
        <v>-177.27321337795701</v>
      </c>
      <c r="AD436" s="229">
        <f t="shared" si="167"/>
        <v>-20.702287407258456</v>
      </c>
      <c r="AE436" s="229">
        <f t="shared" si="168"/>
        <v>109.02732185447348</v>
      </c>
      <c r="AF436" s="227">
        <f t="shared" si="157"/>
        <v>-20.004576798518741</v>
      </c>
      <c r="AG436" s="227">
        <f t="shared" si="158"/>
        <v>-68.245891523483522</v>
      </c>
      <c r="AH436" s="229" t="str">
        <f t="shared" si="159"/>
        <v>0.0300696610384332-0.087193544176414i</v>
      </c>
    </row>
    <row r="437" spans="2:34" x14ac:dyDescent="0.2">
      <c r="I437" s="227">
        <v>433</v>
      </c>
      <c r="J437" s="227">
        <f t="shared" si="147"/>
        <v>5.2218030540972125</v>
      </c>
      <c r="K437" s="227">
        <f t="shared" si="169"/>
        <v>166649.13128566727</v>
      </c>
      <c r="L437" s="227">
        <f t="shared" si="160"/>
        <v>1047087.3731483466</v>
      </c>
      <c r="M437" s="227">
        <f t="shared" si="148"/>
        <v>164612.6382589587</v>
      </c>
      <c r="N437" s="227">
        <f>SQRT((ABS(AC437)-171.5+'Small Signal'!C$59)^2)</f>
        <v>76.20404779537094</v>
      </c>
      <c r="O437" s="227">
        <f t="shared" si="161"/>
        <v>69.068574665677303</v>
      </c>
      <c r="P437" s="227">
        <f t="shared" si="162"/>
        <v>20.105841888094385</v>
      </c>
      <c r="Q437" s="227">
        <f t="shared" si="170"/>
        <v>166649.13128566727</v>
      </c>
      <c r="R437" s="227" t="str">
        <f t="shared" si="149"/>
        <v>0.0945666666666667+4.92131065379723i</v>
      </c>
      <c r="S437" s="227" t="str">
        <f t="shared" si="150"/>
        <v>0.0085-0.0365756223621271i</v>
      </c>
      <c r="T437" s="227" t="str">
        <f t="shared" si="151"/>
        <v>0.00859647612087616-0.0365278862963259i</v>
      </c>
      <c r="U437" s="227" t="str">
        <f t="shared" si="152"/>
        <v>-0.109465767955408+0.281933659925312i</v>
      </c>
      <c r="V437" s="227">
        <f t="shared" si="163"/>
        <v>-10.387244405490838</v>
      </c>
      <c r="W437" s="227">
        <f t="shared" si="164"/>
        <v>-248.78041087000241</v>
      </c>
      <c r="X437" s="227" t="str">
        <f t="shared" si="153"/>
        <v>0.802510698963431-0.130866585564116i</v>
      </c>
      <c r="Y437" s="227" t="str">
        <f t="shared" si="154"/>
        <v>0.0806499892037536-4.88029730169121i</v>
      </c>
      <c r="Z437" s="227" t="str">
        <f t="shared" si="155"/>
        <v>-0.298885716108712-2.04503387291101i</v>
      </c>
      <c r="AA437" s="227" t="str">
        <f t="shared" si="156"/>
        <v>-1.09190108897404-0.0437780138494641i</v>
      </c>
      <c r="AB437" s="227">
        <f t="shared" si="165"/>
        <v>0.77064157321078985</v>
      </c>
      <c r="AC437" s="227">
        <f t="shared" si="166"/>
        <v>-177.70404779537094</v>
      </c>
      <c r="AD437" s="229">
        <f t="shared" si="167"/>
        <v>-20.876483461305174</v>
      </c>
      <c r="AE437" s="229">
        <f t="shared" si="168"/>
        <v>108.63547312969364</v>
      </c>
      <c r="AF437" s="227">
        <f t="shared" si="157"/>
        <v>-20.105841888094385</v>
      </c>
      <c r="AG437" s="227">
        <f t="shared" si="158"/>
        <v>-69.068574665677303</v>
      </c>
      <c r="AH437" s="229" t="str">
        <f t="shared" si="159"/>
        <v>0.0288874533845354-0.0856618549964732i</v>
      </c>
    </row>
    <row r="438" spans="2:34" x14ac:dyDescent="0.2">
      <c r="I438" s="227">
        <v>434</v>
      </c>
      <c r="J438" s="227">
        <f t="shared" si="147"/>
        <v>5.2315531766239953</v>
      </c>
      <c r="K438" s="227">
        <f t="shared" si="169"/>
        <v>170432.79907681391</v>
      </c>
      <c r="L438" s="227">
        <f t="shared" si="160"/>
        <v>1070860.8590209277</v>
      </c>
      <c r="M438" s="227">
        <f t="shared" si="148"/>
        <v>168482.21194018325</v>
      </c>
      <c r="N438" s="227">
        <f>SQRT((ABS(AC438)-171.5+'Small Signal'!C$59)^2)</f>
        <v>76.651189402407056</v>
      </c>
      <c r="O438" s="227">
        <f t="shared" si="161"/>
        <v>69.90069404450584</v>
      </c>
      <c r="P438" s="227">
        <f t="shared" si="162"/>
        <v>20.204238626248898</v>
      </c>
      <c r="Q438" s="227">
        <f t="shared" si="170"/>
        <v>170432.79907681391</v>
      </c>
      <c r="R438" s="227" t="str">
        <f t="shared" si="149"/>
        <v>0.0945666666666667+5.03304603739836i</v>
      </c>
      <c r="S438" s="227" t="str">
        <f t="shared" si="150"/>
        <v>0.0085-0.0357636307441853i</v>
      </c>
      <c r="T438" s="227" t="str">
        <f t="shared" si="151"/>
        <v>0.00859199792132901-0.0357169666620045i</v>
      </c>
      <c r="U438" s="227" t="str">
        <f t="shared" si="152"/>
        <v>-0.1076431201063+0.275708661296778i</v>
      </c>
      <c r="V438" s="227">
        <f t="shared" si="163"/>
        <v>-10.574844554775684</v>
      </c>
      <c r="W438" s="227">
        <f t="shared" si="164"/>
        <v>-248.67316175007863</v>
      </c>
      <c r="X438" s="227" t="str">
        <f t="shared" si="153"/>
        <v>0.793441144880657-0.133837832284193i</v>
      </c>
      <c r="Y438" s="227" t="str">
        <f t="shared" si="154"/>
        <v>0.0771069641764678-4.77193657438911i</v>
      </c>
      <c r="Z438" s="227" t="str">
        <f t="shared" si="155"/>
        <v>-0.300729424826792-1.97708842274598i</v>
      </c>
      <c r="AA438" s="227" t="str">
        <f t="shared" si="156"/>
        <v>-1.10188660350563-0.0355678374182278i</v>
      </c>
      <c r="AB438" s="227">
        <f t="shared" si="165"/>
        <v>0.84726077631772301</v>
      </c>
      <c r="AC438" s="227">
        <f t="shared" si="166"/>
        <v>-178.15118940240706</v>
      </c>
      <c r="AD438" s="229">
        <f t="shared" si="167"/>
        <v>-21.05149940256662</v>
      </c>
      <c r="AE438" s="229">
        <f t="shared" si="168"/>
        <v>108.25049535790122</v>
      </c>
      <c r="AF438" s="227">
        <f t="shared" si="157"/>
        <v>-20.204238626248898</v>
      </c>
      <c r="AG438" s="227">
        <f t="shared" si="158"/>
        <v>-69.90069404450584</v>
      </c>
      <c r="AH438" s="229" t="str">
        <f t="shared" si="159"/>
        <v>0.0277464853986926-0.0841414186620406i</v>
      </c>
    </row>
    <row r="439" spans="2:34" x14ac:dyDescent="0.2">
      <c r="I439" s="227">
        <v>435</v>
      </c>
      <c r="J439" s="227">
        <f t="shared" si="147"/>
        <v>5.2413032991507791</v>
      </c>
      <c r="K439" s="227">
        <f t="shared" si="169"/>
        <v>174302.37275803846</v>
      </c>
      <c r="L439" s="227">
        <f t="shared" si="160"/>
        <v>1095174.1075198466</v>
      </c>
      <c r="M439" s="227">
        <f t="shared" si="148"/>
        <v>172439.64195279137</v>
      </c>
      <c r="N439" s="227">
        <f>SQRT((ABS(AC439)-171.5+'Small Signal'!C$59)^2)</f>
        <v>77.116421367199735</v>
      </c>
      <c r="O439" s="227">
        <f t="shared" si="161"/>
        <v>70.744082100334012</v>
      </c>
      <c r="P439" s="227">
        <f t="shared" si="162"/>
        <v>20.299585108197121</v>
      </c>
      <c r="Q439" s="227">
        <f t="shared" si="170"/>
        <v>174302.37275803846</v>
      </c>
      <c r="R439" s="227" t="str">
        <f t="shared" si="149"/>
        <v>0.0945666666666667+5.14731830534328i</v>
      </c>
      <c r="S439" s="227" t="str">
        <f t="shared" si="150"/>
        <v>0.0085-0.0349696656243596i</v>
      </c>
      <c r="T439" s="227" t="str">
        <f t="shared" si="151"/>
        <v>0.00858771634700415-0.0349240489310575i</v>
      </c>
      <c r="U439" s="227" t="str">
        <f t="shared" si="152"/>
        <v>-0.105900504030337+0.269619642220864i</v>
      </c>
      <c r="V439" s="227">
        <f t="shared" si="163"/>
        <v>-10.7618799608502</v>
      </c>
      <c r="W439" s="227">
        <f t="shared" si="164"/>
        <v>-248.55622147340318</v>
      </c>
      <c r="X439" s="227" t="str">
        <f t="shared" si="153"/>
        <v>0.783955078050971-0.136876539365016i</v>
      </c>
      <c r="Y439" s="227" t="str">
        <f t="shared" si="154"/>
        <v>0.0737196653130854-4.66598255980379i</v>
      </c>
      <c r="Z439" s="227" t="str">
        <f t="shared" si="155"/>
        <v>-0.302492096973025-1.91014027643765i</v>
      </c>
      <c r="AA439" s="227" t="str">
        <f t="shared" si="156"/>
        <v>-1.11239603529353-0.0268673649117041i</v>
      </c>
      <c r="AB439" s="227">
        <f t="shared" si="165"/>
        <v>0.92772137672931287</v>
      </c>
      <c r="AC439" s="227">
        <f t="shared" si="166"/>
        <v>-178.61642136719973</v>
      </c>
      <c r="AD439" s="229">
        <f t="shared" si="167"/>
        <v>-21.227306484926434</v>
      </c>
      <c r="AE439" s="229">
        <f t="shared" si="168"/>
        <v>107.87233926686572</v>
      </c>
      <c r="AF439" s="227">
        <f t="shared" si="157"/>
        <v>-20.299585108197121</v>
      </c>
      <c r="AG439" s="227">
        <f t="shared" si="158"/>
        <v>-70.744082100334012</v>
      </c>
      <c r="AH439" s="229" t="str">
        <f t="shared" si="159"/>
        <v>0.0266457269698383-0.082633132990949i</v>
      </c>
    </row>
    <row r="440" spans="2:34" x14ac:dyDescent="0.2">
      <c r="I440" s="227">
        <v>436</v>
      </c>
      <c r="J440" s="227">
        <f t="shared" si="147"/>
        <v>5.2510534216775619</v>
      </c>
      <c r="K440" s="227">
        <f t="shared" si="169"/>
        <v>178259.80277064658</v>
      </c>
      <c r="L440" s="227">
        <f t="shared" si="160"/>
        <v>1120039.3736292575</v>
      </c>
      <c r="M440" s="227">
        <f t="shared" si="148"/>
        <v>176486.92302168166</v>
      </c>
      <c r="N440" s="227">
        <f>SQRT((ABS(AC440)-171.5+'Small Signal'!C$59)^2)</f>
        <v>77.601694889345481</v>
      </c>
      <c r="O440" s="227">
        <f t="shared" si="161"/>
        <v>71.600743450819181</v>
      </c>
      <c r="P440" s="227">
        <f t="shared" si="162"/>
        <v>20.391695937131935</v>
      </c>
      <c r="Q440" s="227">
        <f t="shared" si="170"/>
        <v>178259.80277064658</v>
      </c>
      <c r="R440" s="227" t="str">
        <f t="shared" si="149"/>
        <v>0.0945666666666667+5.26418505605751i</v>
      </c>
      <c r="S440" s="227" t="str">
        <f t="shared" si="150"/>
        <v>0.0085-0.0341933268080828i</v>
      </c>
      <c r="T440" s="227" t="str">
        <f t="shared" si="151"/>
        <v>0.00858362276475813-0.0341487335067967i</v>
      </c>
      <c r="U440" s="227" t="str">
        <f t="shared" si="152"/>
        <v>-0.104234405430284+0.263663728479549i</v>
      </c>
      <c r="V440" s="227">
        <f t="shared" si="163"/>
        <v>-10.948337741988961</v>
      </c>
      <c r="W440" s="227">
        <f t="shared" si="164"/>
        <v>-248.42958418438917</v>
      </c>
      <c r="X440" s="227" t="str">
        <f t="shared" si="153"/>
        <v>0.774033370426099-0.139984238453295i</v>
      </c>
      <c r="Y440" s="227" t="str">
        <f t="shared" si="154"/>
        <v>0.0704812413073773-4.56238175889256i</v>
      </c>
      <c r="Z440" s="227" t="str">
        <f t="shared" si="155"/>
        <v>-0.304177297843127-1.84415563967466i</v>
      </c>
      <c r="AA440" s="227" t="str">
        <f t="shared" si="156"/>
        <v>-1.12345493996705-0.0176153989412187i</v>
      </c>
      <c r="AB440" s="227">
        <f t="shared" si="165"/>
        <v>1.0121807547501358</v>
      </c>
      <c r="AC440" s="227">
        <f t="shared" si="166"/>
        <v>-179.10169488934548</v>
      </c>
      <c r="AD440" s="229">
        <f t="shared" si="167"/>
        <v>-21.403876691882072</v>
      </c>
      <c r="AE440" s="229">
        <f t="shared" si="168"/>
        <v>107.5009514385263</v>
      </c>
      <c r="AF440" s="227">
        <f t="shared" si="157"/>
        <v>-20.391695937131935</v>
      </c>
      <c r="AG440" s="227">
        <f t="shared" si="158"/>
        <v>-71.600743450819181</v>
      </c>
      <c r="AH440" s="229" t="str">
        <f t="shared" si="159"/>
        <v>0.0255841411059446-0.0811378308523182i</v>
      </c>
    </row>
    <row r="441" spans="2:34" x14ac:dyDescent="0.2">
      <c r="I441" s="227">
        <v>437</v>
      </c>
      <c r="J441" s="227">
        <f t="shared" si="147"/>
        <v>5.2608035442043457</v>
      </c>
      <c r="K441" s="227">
        <f t="shared" si="169"/>
        <v>182307.08383953688</v>
      </c>
      <c r="L441" s="227">
        <f t="shared" si="160"/>
        <v>1145469.1905753352</v>
      </c>
      <c r="M441" s="227">
        <f t="shared" si="148"/>
        <v>180626.09516077369</v>
      </c>
      <c r="N441" s="227">
        <f>SQRT((ABS(AC441)-171.5+'Small Signal'!C$59)^2)</f>
        <v>78.109147992035048</v>
      </c>
      <c r="O441" s="227">
        <f t="shared" si="161"/>
        <v>72.472873382459397</v>
      </c>
      <c r="P441" s="227">
        <f t="shared" si="162"/>
        <v>20.480382969781736</v>
      </c>
      <c r="Q441" s="227">
        <f t="shared" si="170"/>
        <v>182307.08383953688</v>
      </c>
      <c r="R441" s="227" t="str">
        <f t="shared" si="149"/>
        <v>0.0945666666666667+5.38370519570408i</v>
      </c>
      <c r="S441" s="227" t="str">
        <f t="shared" si="150"/>
        <v>0.0085-0.0334342229852464i</v>
      </c>
      <c r="T441" s="227" t="str">
        <f t="shared" si="151"/>
        <v>0.00857970892048908-0.0333906296603408i</v>
      </c>
      <c r="U441" s="227" t="str">
        <f t="shared" si="152"/>
        <v>-0.102641464337293+0.257838100232298i</v>
      </c>
      <c r="V441" s="227">
        <f t="shared" si="163"/>
        <v>-11.134204163667308</v>
      </c>
      <c r="W441" s="227">
        <f t="shared" si="164"/>
        <v>-248.29324338776996</v>
      </c>
      <c r="X441" s="227" t="str">
        <f t="shared" si="153"/>
        <v>0.763656015515905-0.143162495970857i</v>
      </c>
      <c r="Y441" s="227" t="str">
        <f t="shared" si="154"/>
        <v>0.0673851428565148-4.46108186478442i</v>
      </c>
      <c r="Z441" s="227" t="str">
        <f t="shared" si="155"/>
        <v>-0.305788435573816-1.77910120699581i</v>
      </c>
      <c r="AA441" s="227" t="str">
        <f t="shared" si="156"/>
        <v>-1.13508891767602-0.00774330445217626i</v>
      </c>
      <c r="AB441" s="227">
        <f t="shared" si="165"/>
        <v>1.1007997704860559</v>
      </c>
      <c r="AC441" s="227">
        <f t="shared" si="166"/>
        <v>-179.60914799203505</v>
      </c>
      <c r="AD441" s="229">
        <f t="shared" si="167"/>
        <v>-21.581182740267792</v>
      </c>
      <c r="AE441" s="229">
        <f t="shared" si="168"/>
        <v>107.13627460957565</v>
      </c>
      <c r="AF441" s="227">
        <f t="shared" si="157"/>
        <v>-20.480382969781736</v>
      </c>
      <c r="AG441" s="227">
        <f t="shared" si="158"/>
        <v>-72.472873382459397</v>
      </c>
      <c r="AH441" s="229" t="str">
        <f t="shared" si="159"/>
        <v>0.0245606871443488-0.0796562821069333i</v>
      </c>
    </row>
    <row r="442" spans="2:34" x14ac:dyDescent="0.2">
      <c r="I442" s="227">
        <v>438</v>
      </c>
      <c r="J442" s="227">
        <f t="shared" si="147"/>
        <v>5.2705536667311286</v>
      </c>
      <c r="K442" s="227">
        <f t="shared" si="169"/>
        <v>186446.25597862891</v>
      </c>
      <c r="L442" s="227">
        <f t="shared" si="160"/>
        <v>1171476.3761435652</v>
      </c>
      <c r="M442" s="227">
        <f t="shared" si="148"/>
        <v>184859.24470127144</v>
      </c>
      <c r="N442" s="227">
        <f>SQRT((ABS(AC442)-171.5+'Small Signal'!C$59)^2)</f>
        <v>78.641126541045992</v>
      </c>
      <c r="O442" s="227">
        <f t="shared" si="161"/>
        <v>73.362878578326104</v>
      </c>
      <c r="P442" s="227">
        <f t="shared" si="162"/>
        <v>20.565456319627057</v>
      </c>
      <c r="Q442" s="227">
        <f t="shared" si="170"/>
        <v>186446.25597862891</v>
      </c>
      <c r="R442" s="227" t="str">
        <f t="shared" si="149"/>
        <v>0.0945666666666667+5.50593896787476i</v>
      </c>
      <c r="S442" s="227" t="str">
        <f t="shared" si="150"/>
        <v>0.0085-0.0326919715329643i</v>
      </c>
      <c r="T442" s="227" t="str">
        <f t="shared" si="151"/>
        <v>0.00857596692249561-0.0326493553339698i</v>
      </c>
      <c r="U442" s="227" t="str">
        <f t="shared" si="152"/>
        <v>-0.101118468332745+0.252139991424699i</v>
      </c>
      <c r="V442" s="227">
        <f t="shared" si="163"/>
        <v>-11.319464633741024</v>
      </c>
      <c r="W442" s="227">
        <f t="shared" si="164"/>
        <v>-248.14719212358989</v>
      </c>
      <c r="X442" s="227" t="str">
        <f t="shared" si="153"/>
        <v>0.752802088046589-0.146412913904189i</v>
      </c>
      <c r="Y442" s="227" t="str">
        <f t="shared" si="154"/>
        <v>0.0644251092995476-4.36203173602566i</v>
      </c>
      <c r="Z442" s="227" t="str">
        <f t="shared" si="155"/>
        <v>-0.307328768096151-1.71494414479662i</v>
      </c>
      <c r="AA442" s="227" t="str">
        <f t="shared" si="156"/>
        <v>-1.14732318717829+0.00282600362008157i</v>
      </c>
      <c r="AB442" s="227">
        <f t="shared" si="165"/>
        <v>1.1937417621675601</v>
      </c>
      <c r="AC442" s="227">
        <f t="shared" si="166"/>
        <v>-180.14112654104599</v>
      </c>
      <c r="AD442" s="229">
        <f t="shared" si="167"/>
        <v>-21.759198081794615</v>
      </c>
      <c r="AE442" s="229">
        <f t="shared" si="168"/>
        <v>106.77824796271989</v>
      </c>
      <c r="AF442" s="227">
        <f t="shared" si="157"/>
        <v>-20.565456319627057</v>
      </c>
      <c r="AG442" s="227">
        <f t="shared" si="158"/>
        <v>-73.362878578326104</v>
      </c>
      <c r="AH442" s="229" t="str">
        <f t="shared" si="159"/>
        <v>0.0235743237244075-0.0781891956435696i</v>
      </c>
    </row>
    <row r="443" spans="2:34" x14ac:dyDescent="0.2">
      <c r="I443" s="227">
        <v>439</v>
      </c>
      <c r="J443" s="227">
        <f t="shared" si="147"/>
        <v>5.2803037892579123</v>
      </c>
      <c r="K443" s="227">
        <f t="shared" si="169"/>
        <v>190679.40551912665</v>
      </c>
      <c r="L443" s="227">
        <f t="shared" si="160"/>
        <v>1198074.0391395148</v>
      </c>
      <c r="M443" s="227">
        <f t="shared" si="148"/>
        <v>189188.50534326717</v>
      </c>
      <c r="N443" s="227">
        <f>SQRT((ABS(AC443)-171.5+'Small Signal'!C$59)^2)</f>
        <v>79.200207732756951</v>
      </c>
      <c r="O443" s="227">
        <f t="shared" si="161"/>
        <v>74.273400324545051</v>
      </c>
      <c r="P443" s="227">
        <f t="shared" si="162"/>
        <v>20.646725684600462</v>
      </c>
      <c r="Q443" s="227">
        <f t="shared" si="170"/>
        <v>190679.40551912665</v>
      </c>
      <c r="R443" s="227" t="str">
        <f t="shared" si="149"/>
        <v>0.0945666666666667+5.63094798395572i</v>
      </c>
      <c r="S443" s="227" t="str">
        <f t="shared" si="150"/>
        <v>0.0085-0.0319661983227113i</v>
      </c>
      <c r="T443" s="227" t="str">
        <f t="shared" si="151"/>
        <v>0.00857238922556626-0.031924536948825i</v>
      </c>
      <c r="U443" s="227" t="str">
        <f t="shared" si="152"/>
        <v>-0.0996623460678536+0.246566689169921i</v>
      </c>
      <c r="V443" s="227">
        <f t="shared" si="163"/>
        <v>-11.504103697885412</v>
      </c>
      <c r="W443" s="227">
        <f t="shared" si="164"/>
        <v>-247.99142315303754</v>
      </c>
      <c r="X443" s="227" t="str">
        <f t="shared" si="153"/>
        <v>0.741449701766204-0.149737130611912i</v>
      </c>
      <c r="Y443" s="227" t="str">
        <f t="shared" si="154"/>
        <v>0.0615951558513985-4.2651813704372i</v>
      </c>
      <c r="Z443" s="227" t="str">
        <f t="shared" si="155"/>
        <v>-0.308801409778943-1.65165207458656i</v>
      </c>
      <c r="AA443" s="227" t="str">
        <f t="shared" si="156"/>
        <v>-1.16018201526653+0.0141792095426891i</v>
      </c>
      <c r="AB443" s="227">
        <f t="shared" si="165"/>
        <v>1.2911712179729782</v>
      </c>
      <c r="AC443" s="227">
        <f t="shared" si="166"/>
        <v>-180.70020773275695</v>
      </c>
      <c r="AD443" s="229">
        <f t="shared" si="167"/>
        <v>-21.937896902573438</v>
      </c>
      <c r="AE443" s="229">
        <f t="shared" si="168"/>
        <v>106.4268074082119</v>
      </c>
      <c r="AF443" s="227">
        <f t="shared" si="157"/>
        <v>-20.646725684600462</v>
      </c>
      <c r="AG443" s="227">
        <f t="shared" si="158"/>
        <v>-74.273400324545051</v>
      </c>
      <c r="AH443" s="229" t="str">
        <f t="shared" si="159"/>
        <v>0.0226240115279564-0.0767372214916487i</v>
      </c>
    </row>
    <row r="444" spans="2:34" x14ac:dyDescent="0.2">
      <c r="I444" s="227">
        <v>440</v>
      </c>
      <c r="J444" s="227">
        <f t="shared" si="147"/>
        <v>5.290053911784697</v>
      </c>
      <c r="K444" s="227">
        <f t="shared" si="169"/>
        <v>195008.66616112238</v>
      </c>
      <c r="L444" s="227">
        <f t="shared" si="160"/>
        <v>1225275.5859962532</v>
      </c>
      <c r="M444" s="227">
        <f t="shared" si="148"/>
        <v>193616.05923122255</v>
      </c>
      <c r="N444" s="227">
        <f>SQRT((ABS(AC444)-171.5+'Small Signal'!C$59)^2)</f>
        <v>79.789226302205037</v>
      </c>
      <c r="O444" s="227">
        <f t="shared" si="161"/>
        <v>75.20734044685473</v>
      </c>
      <c r="P444" s="227">
        <f t="shared" si="162"/>
        <v>20.72400208235652</v>
      </c>
      <c r="Q444" s="227">
        <f t="shared" si="170"/>
        <v>195008.66616112238</v>
      </c>
      <c r="R444" s="227" t="str">
        <f t="shared" si="149"/>
        <v>0.0945666666666667+5.75879525418239i</v>
      </c>
      <c r="S444" s="227" t="str">
        <f t="shared" si="150"/>
        <v>0.0085-0.0312565375317473i</v>
      </c>
      <c r="T444" s="227" t="str">
        <f t="shared" si="151"/>
        <v>0.00856896861576738-0.0312158092168695i</v>
      </c>
      <c r="U444" s="227" t="str">
        <f t="shared" si="152"/>
        <v>-0.0982701610679618+0.241115533106292i</v>
      </c>
      <c r="V444" s="227">
        <f t="shared" si="163"/>
        <v>-11.688105035395379</v>
      </c>
      <c r="W444" s="227">
        <f t="shared" si="164"/>
        <v>-247.82592915524168</v>
      </c>
      <c r="X444" s="227" t="str">
        <f t="shared" si="153"/>
        <v>0.729575965312426-0.153136821650588i</v>
      </c>
      <c r="Y444" s="227" t="str">
        <f t="shared" si="154"/>
        <v>0.058889561405196-4.17048187956996i</v>
      </c>
      <c r="Z444" s="227" t="str">
        <f t="shared" si="155"/>
        <v>-0.310209337776395-1.58919305648832i</v>
      </c>
      <c r="AA444" s="227" t="str">
        <f t="shared" si="156"/>
        <v>-1.17368796053886+0.026413896906355i</v>
      </c>
      <c r="AB444" s="227">
        <f t="shared" si="165"/>
        <v>1.3932520384268496</v>
      </c>
      <c r="AC444" s="227">
        <f t="shared" si="166"/>
        <v>-181.28922630220504</v>
      </c>
      <c r="AD444" s="229">
        <f t="shared" si="167"/>
        <v>-22.117254120783368</v>
      </c>
      <c r="AE444" s="229">
        <f t="shared" si="168"/>
        <v>106.08188585535031</v>
      </c>
      <c r="AF444" s="227">
        <f t="shared" si="157"/>
        <v>-20.72400208235652</v>
      </c>
      <c r="AG444" s="227">
        <f t="shared" si="158"/>
        <v>-75.20734044685473</v>
      </c>
      <c r="AH444" s="229" t="str">
        <f t="shared" si="159"/>
        <v>0.0217087157941486-0.0753009529920838i</v>
      </c>
    </row>
    <row r="445" spans="2:34" x14ac:dyDescent="0.2">
      <c r="I445" s="227">
        <v>441</v>
      </c>
      <c r="J445" s="227">
        <f t="shared" si="147"/>
        <v>5.2998040343114798</v>
      </c>
      <c r="K445" s="227">
        <f t="shared" si="169"/>
        <v>199436.22004907776</v>
      </c>
      <c r="L445" s="227">
        <f t="shared" si="160"/>
        <v>1253094.7275318003</v>
      </c>
      <c r="M445" s="227">
        <f t="shared" si="148"/>
        <v>198144.13805387335</v>
      </c>
      <c r="N445" s="227">
        <f>SQRT((ABS(AC445)-171.5+'Small Signal'!C$59)^2)</f>
        <v>80.411303701753155</v>
      </c>
      <c r="O445" s="227">
        <f t="shared" si="161"/>
        <v>76.167890228041486</v>
      </c>
      <c r="P445" s="227">
        <f t="shared" si="162"/>
        <v>20.797100096330244</v>
      </c>
      <c r="Q445" s="227">
        <f t="shared" si="170"/>
        <v>199436.22004907776</v>
      </c>
      <c r="R445" s="227" t="str">
        <f t="shared" si="149"/>
        <v>0.0945666666666667+5.88954521939946i</v>
      </c>
      <c r="S445" s="227" t="str">
        <f t="shared" si="150"/>
        <v>0.0085-0.0305626314587248i</v>
      </c>
      <c r="T445" s="227" t="str">
        <f t="shared" si="151"/>
        <v>0.00856569819589884-0.0305228149570088i</v>
      </c>
      <c r="U445" s="227" t="str">
        <f t="shared" si="152"/>
        <v>-0.0969391058090146+0.23578391473397i</v>
      </c>
      <c r="V445" s="227">
        <f t="shared" si="163"/>
        <v>-11.871451455457736</v>
      </c>
      <c r="W445" s="227">
        <f t="shared" si="164"/>
        <v>-247.65070293512801</v>
      </c>
      <c r="X445" s="227" t="str">
        <f t="shared" si="153"/>
        <v>0.717156936053588-0.15661370061928i</v>
      </c>
      <c r="Y445" s="227" t="str">
        <f t="shared" si="154"/>
        <v>0.0563028568775133-4.07788546374352i</v>
      </c>
      <c r="Z445" s="227" t="str">
        <f t="shared" si="155"/>
        <v>-0.311555398093231-1.52753557296971i</v>
      </c>
      <c r="AA445" s="227" t="str">
        <f t="shared" si="156"/>
        <v>-1.18786087948678+0.0396400125446196i</v>
      </c>
      <c r="AB445" s="227">
        <f t="shared" si="165"/>
        <v>1.5001452863101126</v>
      </c>
      <c r="AC445" s="227">
        <f t="shared" si="166"/>
        <v>-181.91130370175316</v>
      </c>
      <c r="AD445" s="229">
        <f t="shared" si="167"/>
        <v>-22.297245382640355</v>
      </c>
      <c r="AE445" s="229">
        <f t="shared" si="168"/>
        <v>105.74341347371167</v>
      </c>
      <c r="AF445" s="227">
        <f t="shared" si="157"/>
        <v>-20.797100096330244</v>
      </c>
      <c r="AG445" s="227">
        <f t="shared" si="158"/>
        <v>-76.167890228041486</v>
      </c>
      <c r="AH445" s="229" t="str">
        <f t="shared" si="159"/>
        <v>0.0208274086161389-0.0738809290096626i</v>
      </c>
    </row>
    <row r="446" spans="2:34" x14ac:dyDescent="0.2">
      <c r="I446" s="227">
        <v>442</v>
      </c>
      <c r="J446" s="227">
        <f t="shared" si="147"/>
        <v>5.3095541568382636</v>
      </c>
      <c r="K446" s="227">
        <f t="shared" si="169"/>
        <v>203964.29887172856</v>
      </c>
      <c r="L446" s="227">
        <f t="shared" si="160"/>
        <v>1281545.4858600309</v>
      </c>
      <c r="M446" s="227">
        <f t="shared" si="148"/>
        <v>202775.02416909594</v>
      </c>
      <c r="N446" s="227">
        <f>SQRT((ABS(AC446)-171.5+'Small Signal'!C$59)^2)</f>
        <v>81.069880485412284</v>
      </c>
      <c r="O446" s="227">
        <f t="shared" si="161"/>
        <v>77.158562541453449</v>
      </c>
      <c r="P446" s="227">
        <f t="shared" si="162"/>
        <v>20.865840760646666</v>
      </c>
      <c r="Q446" s="227">
        <f t="shared" si="170"/>
        <v>203964.29887172856</v>
      </c>
      <c r="R446" s="227" t="str">
        <f t="shared" si="149"/>
        <v>0.0945666666666667+6.02326378354214i</v>
      </c>
      <c r="S446" s="227" t="str">
        <f t="shared" si="150"/>
        <v>0.0085-0.0298841303433911i</v>
      </c>
      <c r="T446" s="227" t="str">
        <f t="shared" si="151"/>
        <v>0.0085625713715882-0.0298452049152803i</v>
      </c>
      <c r="U446" s="227" t="str">
        <f t="shared" si="152"/>
        <v>-0.0956664960542419+0.230569276733465i</v>
      </c>
      <c r="V446" s="227">
        <f t="shared" si="163"/>
        <v>-12.05412489401362</v>
      </c>
      <c r="W446" s="227">
        <f t="shared" si="164"/>
        <v>-247.46573764240935</v>
      </c>
      <c r="X446" s="227" t="str">
        <f t="shared" si="153"/>
        <v>0.704167571809879-0.160169520023281i</v>
      </c>
      <c r="Y446" s="227" t="str">
        <f t="shared" si="154"/>
        <v>0.0538298140719487-3.9873453876537i</v>
      </c>
      <c r="Z446" s="227" t="str">
        <f t="shared" si="155"/>
        <v>-0.312842311380018-1.46664851279906i</v>
      </c>
      <c r="AA446" s="227" t="str">
        <f t="shared" si="156"/>
        <v>-1.20271662906097+0.0539815041511295i</v>
      </c>
      <c r="AB446" s="227">
        <f t="shared" si="165"/>
        <v>1.6120062961735393</v>
      </c>
      <c r="AC446" s="227">
        <f t="shared" si="166"/>
        <v>-182.56988048541228</v>
      </c>
      <c r="AD446" s="229">
        <f t="shared" si="167"/>
        <v>-22.477847056820206</v>
      </c>
      <c r="AE446" s="229">
        <f t="shared" si="168"/>
        <v>105.41131794395884</v>
      </c>
      <c r="AF446" s="227">
        <f t="shared" si="157"/>
        <v>-20.865840760646666</v>
      </c>
      <c r="AG446" s="227">
        <f t="shared" si="158"/>
        <v>-77.158562541453449</v>
      </c>
      <c r="AH446" s="229" t="str">
        <f t="shared" si="159"/>
        <v>0.0199790710278024-0.0724776361717219i</v>
      </c>
    </row>
    <row r="447" spans="2:34" x14ac:dyDescent="0.2">
      <c r="I447" s="227">
        <v>443</v>
      </c>
      <c r="J447" s="227">
        <f t="shared" si="147"/>
        <v>5.3193042793650465</v>
      </c>
      <c r="K447" s="227">
        <f t="shared" si="169"/>
        <v>208595.18498695115</v>
      </c>
      <c r="L447" s="227">
        <f t="shared" si="160"/>
        <v>1310642.2014584192</v>
      </c>
      <c r="M447" s="227">
        <f t="shared" si="148"/>
        <v>207511.05175432545</v>
      </c>
      <c r="N447" s="227">
        <f>SQRT((ABS(AC447)-171.5+'Small Signal'!C$59)^2)</f>
        <v>81.768752095056243</v>
      </c>
      <c r="O447" s="227">
        <f t="shared" si="161"/>
        <v>78.183227396916692</v>
      </c>
      <c r="P447" s="227">
        <f t="shared" si="162"/>
        <v>20.930055242450898</v>
      </c>
      <c r="Q447" s="227">
        <f t="shared" si="170"/>
        <v>208595.18498695115</v>
      </c>
      <c r="R447" s="227" t="str">
        <f t="shared" si="149"/>
        <v>0.0945666666666667+6.16001834685457i</v>
      </c>
      <c r="S447" s="227" t="str">
        <f t="shared" si="150"/>
        <v>0.0085-0.0292206921902938i</v>
      </c>
      <c r="T447" s="227" t="str">
        <f t="shared" si="151"/>
        <v>0.00855958183799536-0.0291826375890272i</v>
      </c>
      <c r="U447" s="227" t="str">
        <f t="shared" si="152"/>
        <v>-0.0944497654396237+0.225469112268602i</v>
      </c>
      <c r="V447" s="227">
        <f t="shared" si="163"/>
        <v>-12.236106411334248</v>
      </c>
      <c r="W447" s="227">
        <f t="shared" si="164"/>
        <v>-247.27102700175215</v>
      </c>
      <c r="X447" s="227" t="str">
        <f t="shared" si="153"/>
        <v>0.690581680357402-0.163806072157456i</v>
      </c>
      <c r="Y447" s="227" t="str">
        <f t="shared" si="154"/>
        <v>0.0514654350377777-3.89881595653634i</v>
      </c>
      <c r="Z447" s="227" t="str">
        <f t="shared" si="155"/>
        <v>-0.314072678470901-1.40650115521594i</v>
      </c>
      <c r="AA447" s="227" t="str">
        <f t="shared" si="156"/>
        <v>-1.21826538270762+0.0695781358070174i</v>
      </c>
      <c r="AB447" s="227">
        <f t="shared" si="165"/>
        <v>1.7289809850269222</v>
      </c>
      <c r="AC447" s="227">
        <f t="shared" si="166"/>
        <v>-183.26875209505624</v>
      </c>
      <c r="AD447" s="229">
        <f t="shared" si="167"/>
        <v>-22.65903622747782</v>
      </c>
      <c r="AE447" s="229">
        <f t="shared" si="168"/>
        <v>105.08552469813955</v>
      </c>
      <c r="AF447" s="227">
        <f t="shared" si="157"/>
        <v>-20.930055242450898</v>
      </c>
      <c r="AG447" s="227">
        <f t="shared" si="158"/>
        <v>-78.183227396916692</v>
      </c>
      <c r="AH447" s="229" t="str">
        <f t="shared" si="159"/>
        <v>0.0191626948892669-0.0710915111193328i</v>
      </c>
    </row>
    <row r="448" spans="2:34" x14ac:dyDescent="0.2">
      <c r="I448" s="227">
        <v>444</v>
      </c>
      <c r="J448" s="227">
        <f t="shared" si="147"/>
        <v>5.3290544018918302</v>
      </c>
      <c r="K448" s="227">
        <f t="shared" si="169"/>
        <v>213331.21257218067</v>
      </c>
      <c r="L448" s="227">
        <f t="shared" si="160"/>
        <v>1340399.5403963306</v>
      </c>
      <c r="M448" s="227">
        <f t="shared" si="148"/>
        <v>212354.60798308233</v>
      </c>
      <c r="N448" s="227">
        <f>SQRT((ABS(AC448)-171.5+'Small Signal'!C$59)^2)</f>
        <v>82.512108170961767</v>
      </c>
      <c r="O448" s="227">
        <f t="shared" si="161"/>
        <v>79.246151021516454</v>
      </c>
      <c r="P448" s="227">
        <f t="shared" si="162"/>
        <v>20.989589517472997</v>
      </c>
      <c r="Q448" s="227">
        <f t="shared" si="170"/>
        <v>213331.21257218067</v>
      </c>
      <c r="R448" s="227" t="str">
        <f t="shared" si="149"/>
        <v>0.0945666666666667+6.29987783986275i</v>
      </c>
      <c r="S448" s="227" t="str">
        <f t="shared" si="150"/>
        <v>0.0085-0.0285719825963992i</v>
      </c>
      <c r="T448" s="227" t="str">
        <f t="shared" si="151"/>
        <v>0.00855672356710088-0.0285347790549624i</v>
      </c>
      <c r="U448" s="227" t="str">
        <f t="shared" si="152"/>
        <v>-0.0932864602971956+0.220480964276246i</v>
      </c>
      <c r="V448" s="227">
        <f t="shared" si="163"/>
        <v>-12.41737619044275</v>
      </c>
      <c r="W448" s="227">
        <f t="shared" si="164"/>
        <v>-247.06656555412152</v>
      </c>
      <c r="X448" s="227" t="str">
        <f t="shared" si="153"/>
        <v>0.676371866613213-0.167525190009646i</v>
      </c>
      <c r="Y448" s="227" t="str">
        <f t="shared" si="154"/>
        <v>0.0492049419013519-3.81225249287304i</v>
      </c>
      <c r="Z448" s="227" t="str">
        <f t="shared" si="155"/>
        <v>-0.315248985675276-1.3470631543079i</v>
      </c>
      <c r="AA448" s="227" t="str">
        <f t="shared" si="156"/>
        <v>-1.23450945575061+0.0865874758360603i</v>
      </c>
      <c r="AB448" s="227">
        <f t="shared" si="165"/>
        <v>1.851201168531337</v>
      </c>
      <c r="AC448" s="227">
        <f t="shared" si="166"/>
        <v>-184.01210817096177</v>
      </c>
      <c r="AD448" s="229">
        <f t="shared" si="167"/>
        <v>-22.840790686004333</v>
      </c>
      <c r="AE448" s="229">
        <f t="shared" si="168"/>
        <v>104.76595714944531</v>
      </c>
      <c r="AF448" s="227">
        <f t="shared" si="157"/>
        <v>-20.989589517472997</v>
      </c>
      <c r="AG448" s="227">
        <f t="shared" si="158"/>
        <v>-79.246151021516454</v>
      </c>
      <c r="AH448" s="229" t="str">
        <f t="shared" si="159"/>
        <v>0.0183772845804471-0.0697229427585285i</v>
      </c>
    </row>
    <row r="449" spans="9:34" x14ac:dyDescent="0.2">
      <c r="I449" s="227">
        <v>445</v>
      </c>
      <c r="J449" s="227">
        <f t="shared" si="147"/>
        <v>5.3388045244186131</v>
      </c>
      <c r="K449" s="227">
        <f t="shared" si="169"/>
        <v>218174.76880093754</v>
      </c>
      <c r="L449" s="227">
        <f t="shared" si="160"/>
        <v>1370832.501727354</v>
      </c>
      <c r="M449" s="227">
        <f t="shared" si="148"/>
        <v>217308.1342282205</v>
      </c>
      <c r="N449" s="227">
        <f>SQRT((ABS(AC449)-171.5+'Small Signal'!C$59)^2)</f>
        <v>83.304575383613809</v>
      </c>
      <c r="O449" s="227">
        <f t="shared" si="161"/>
        <v>80.352038472154831</v>
      </c>
      <c r="P449" s="227">
        <f t="shared" si="162"/>
        <v>21.044310279707279</v>
      </c>
      <c r="Q449" s="227">
        <f t="shared" si="170"/>
        <v>218174.76880093754</v>
      </c>
      <c r="R449" s="227" t="str">
        <f t="shared" si="149"/>
        <v>0.0945666666666667+6.44291275811856i</v>
      </c>
      <c r="S449" s="227" t="str">
        <f t="shared" si="150"/>
        <v>0.0085-0.0279376745825382i</v>
      </c>
      <c r="T449" s="227" t="str">
        <f t="shared" si="151"/>
        <v>0.00855399079555236-0.0279013028010423i</v>
      </c>
      <c r="U449" s="227" t="str">
        <f t="shared" si="152"/>
        <v>-0.0921742347057527+0.215602424744981i</v>
      </c>
      <c r="V449" s="227">
        <f t="shared" si="163"/>
        <v>-12.597913536519629</v>
      </c>
      <c r="W449" s="227">
        <f t="shared" si="164"/>
        <v>-246.85234890926736</v>
      </c>
      <c r="X449" s="227" t="str">
        <f t="shared" si="153"/>
        <v>0.661509477394897-0.171328748184568i</v>
      </c>
      <c r="Y449" s="227" t="str">
        <f t="shared" si="154"/>
        <v>0.0470437671490481-3.72761131362682i</v>
      </c>
      <c r="Z449" s="227" t="str">
        <f t="shared" si="155"/>
        <v>-0.316373609834472-1.28830452358517i</v>
      </c>
      <c r="AA449" s="227" t="str">
        <f t="shared" si="156"/>
        <v>-1.25144051038902+0.105187035515465i</v>
      </c>
      <c r="AB449" s="227">
        <f t="shared" si="165"/>
        <v>1.9787786419452258</v>
      </c>
      <c r="AC449" s="227">
        <f t="shared" si="166"/>
        <v>-184.80457538361381</v>
      </c>
      <c r="AD449" s="229">
        <f t="shared" si="167"/>
        <v>-23.023088921652505</v>
      </c>
      <c r="AE449" s="229">
        <f t="shared" si="168"/>
        <v>104.45253691145898</v>
      </c>
      <c r="AF449" s="227">
        <f t="shared" si="157"/>
        <v>-21.044310279707279</v>
      </c>
      <c r="AG449" s="227">
        <f t="shared" si="158"/>
        <v>-80.352038472154831</v>
      </c>
      <c r="AH449" s="229" t="str">
        <f t="shared" si="159"/>
        <v>0.0176218585120856-0.0683722745004572i</v>
      </c>
    </row>
    <row r="450" spans="9:34" x14ac:dyDescent="0.2">
      <c r="I450" s="227">
        <v>446</v>
      </c>
      <c r="J450" s="227">
        <f t="shared" si="147"/>
        <v>5.3485546469453968</v>
      </c>
      <c r="K450" s="227">
        <f t="shared" si="169"/>
        <v>223128.29504607571</v>
      </c>
      <c r="L450" s="227">
        <f t="shared" si="160"/>
        <v>1401956.4250495345</v>
      </c>
      <c r="M450" s="227">
        <f t="shared" si="148"/>
        <v>222374.12729248701</v>
      </c>
      <c r="N450" s="227">
        <f>SQRT((ABS(AC450)-171.5+'Small Signal'!C$59)^2)</f>
        <v>84.151263583375737</v>
      </c>
      <c r="O450" s="227">
        <f t="shared" si="161"/>
        <v>81.506079576409491</v>
      </c>
      <c r="P450" s="227">
        <f t="shared" si="162"/>
        <v>21.094112379961604</v>
      </c>
      <c r="Q450" s="227">
        <f t="shared" si="170"/>
        <v>223128.29504607571</v>
      </c>
      <c r="R450" s="227" t="str">
        <f t="shared" si="149"/>
        <v>0.0945666666666667+6.58919519773281i</v>
      </c>
      <c r="S450" s="227" t="str">
        <f t="shared" si="150"/>
        <v>0.0085-0.0273174484285932i</v>
      </c>
      <c r="T450" s="227" t="str">
        <f t="shared" si="151"/>
        <v>0.00855137801304434-0.0272818895620615i</v>
      </c>
      <c r="U450" s="227" t="str">
        <f t="shared" si="152"/>
        <v>-0.0911108457589518+0.210831133984737i</v>
      </c>
      <c r="V450" s="227">
        <f t="shared" si="163"/>
        <v>-12.777696877437075</v>
      </c>
      <c r="W450" s="227">
        <f t="shared" si="164"/>
        <v>-246.62837400926341</v>
      </c>
      <c r="X450" s="227" t="str">
        <f t="shared" si="153"/>
        <v>0.645964543643246-0.175218663848708i</v>
      </c>
      <c r="Y450" s="227" t="str">
        <f t="shared" si="154"/>
        <v>0.0449775443415504-3.6448497079947i</v>
      </c>
      <c r="Z450" s="227" t="str">
        <f t="shared" si="155"/>
        <v>-0.317448823153995-1.23019562074494i</v>
      </c>
      <c r="AA450" s="227" t="str">
        <f t="shared" si="156"/>
        <v>-1.26903598016366+0.125576512382101i</v>
      </c>
      <c r="AB450" s="227">
        <f t="shared" si="165"/>
        <v>2.1117977311953404</v>
      </c>
      <c r="AC450" s="227">
        <f t="shared" si="166"/>
        <v>-185.65126358337574</v>
      </c>
      <c r="AD450" s="229">
        <f t="shared" si="167"/>
        <v>-23.205910111156946</v>
      </c>
      <c r="AE450" s="229">
        <f t="shared" si="168"/>
        <v>104.14518400696625</v>
      </c>
      <c r="AF450" s="227">
        <f t="shared" si="157"/>
        <v>-21.094112379961604</v>
      </c>
      <c r="AG450" s="227">
        <f t="shared" si="158"/>
        <v>-81.506079576409491</v>
      </c>
      <c r="AH450" s="229" t="str">
        <f t="shared" si="159"/>
        <v>0.016895450463981-0.0670398064805654i</v>
      </c>
    </row>
    <row r="451" spans="9:34" x14ac:dyDescent="0.2">
      <c r="I451" s="227">
        <v>447</v>
      </c>
      <c r="J451" s="227">
        <f t="shared" si="147"/>
        <v>5.3583047694721797</v>
      </c>
      <c r="K451" s="227">
        <f t="shared" si="169"/>
        <v>228194.28811034223</v>
      </c>
      <c r="L451" s="227">
        <f t="shared" si="160"/>
        <v>1433786.9982372075</v>
      </c>
      <c r="M451" s="227">
        <f t="shared" si="148"/>
        <v>227555.14066702873</v>
      </c>
      <c r="N451" s="227">
        <f>SQRT((ABS(AC451)-171.5+'Small Signal'!C$59)^2)</f>
        <v>85.057814757300321</v>
      </c>
      <c r="O451" s="227">
        <f t="shared" si="161"/>
        <v>82.713997690847819</v>
      </c>
      <c r="P451" s="227">
        <f t="shared" si="162"/>
        <v>21.138928151355515</v>
      </c>
      <c r="Q451" s="227">
        <f t="shared" si="170"/>
        <v>228194.28811034223</v>
      </c>
      <c r="R451" s="227" t="str">
        <f t="shared" si="149"/>
        <v>0.0945666666666667+6.73879889171488i</v>
      </c>
      <c r="S451" s="227" t="str">
        <f t="shared" si="150"/>
        <v>0.0085-0.0267109915123456i</v>
      </c>
      <c r="T451" s="227" t="str">
        <f t="shared" si="151"/>
        <v>0.00854887995120838-0.0266762271588919i</v>
      </c>
      <c r="U451" s="227" t="str">
        <f t="shared" si="152"/>
        <v>-0.0900941490412625+0.206164779889214i</v>
      </c>
      <c r="V451" s="227">
        <f t="shared" si="163"/>
        <v>-12.95670376557322</v>
      </c>
      <c r="W451" s="227">
        <f t="shared" si="164"/>
        <v>-246.39463940295749</v>
      </c>
      <c r="X451" s="227" t="str">
        <f t="shared" si="153"/>
        <v>0.629705719991567-0.179196897696658i</v>
      </c>
      <c r="Y451" s="227" t="str">
        <f t="shared" si="154"/>
        <v>0.0430020992400261-3.563925915665i</v>
      </c>
      <c r="Z451" s="227" t="str">
        <f t="shared" si="155"/>
        <v>-0.31847679782138-1.17270713261677i</v>
      </c>
      <c r="AA451" s="227" t="str">
        <f t="shared" si="156"/>
        <v>-1.28725451868759+0.147980054291568i</v>
      </c>
      <c r="AB451" s="227">
        <f t="shared" si="165"/>
        <v>2.2503059561113297</v>
      </c>
      <c r="AC451" s="227">
        <f t="shared" si="166"/>
        <v>-186.55781475730032</v>
      </c>
      <c r="AD451" s="229">
        <f t="shared" si="167"/>
        <v>-23.389234107466844</v>
      </c>
      <c r="AE451" s="229">
        <f t="shared" si="168"/>
        <v>103.8438170664525</v>
      </c>
      <c r="AF451" s="227">
        <f t="shared" si="157"/>
        <v>-21.138928151355515</v>
      </c>
      <c r="AG451" s="227">
        <f t="shared" si="158"/>
        <v>-82.713997690847819</v>
      </c>
      <c r="AH451" s="229" t="str">
        <f t="shared" si="159"/>
        <v>0.0161971107601763-0.0657257977481165i</v>
      </c>
    </row>
    <row r="452" spans="9:34" x14ac:dyDescent="0.2">
      <c r="I452" s="227">
        <v>448</v>
      </c>
      <c r="J452" s="227">
        <f t="shared" ref="J452:J504" si="171">1+I452*(LOG(fsw)-1)/500</f>
        <v>5.3680548919989635</v>
      </c>
      <c r="K452" s="227">
        <f t="shared" si="169"/>
        <v>233375.30148488394</v>
      </c>
      <c r="L452" s="227">
        <f t="shared" si="160"/>
        <v>1466340.2653484291</v>
      </c>
      <c r="M452" s="227">
        <f t="shared" ref="M452:M504" si="172">SQRT((Fco_target-K453)^2)</f>
        <v>232853.78581846273</v>
      </c>
      <c r="N452" s="227">
        <f>SQRT((ABS(AC452)-171.5+'Small Signal'!C$59)^2)</f>
        <v>86.030453824388132</v>
      </c>
      <c r="O452" s="227">
        <f t="shared" si="161"/>
        <v>83.982100307948897</v>
      </c>
      <c r="P452" s="227">
        <f t="shared" si="162"/>
        <v>21.178739052472199</v>
      </c>
      <c r="Q452" s="227">
        <f t="shared" si="170"/>
        <v>233375.30148488394</v>
      </c>
      <c r="R452" s="227" t="str">
        <f t="shared" ref="R452:R503" si="173">IMSUM(COMPLEX(DCRss,Lss*L452),COMPLEX(Rdsonss,0),COMPLEX(40/3*Risense,0))</f>
        <v>0.0945666666666667+6.89179924713762i</v>
      </c>
      <c r="S452" s="227" t="str">
        <f t="shared" ref="S452:S504" si="174">IMSUM(COMPLEX(ESRss,0),IMDIV(COMPLEX(1,0),COMPLEX(0,L452*Cbulkss)))</f>
        <v>0.0085-0.0261179981518991i</v>
      </c>
      <c r="T452" s="227" t="str">
        <f t="shared" ref="T452:T504" si="175">IMDIV(IMPRODUCT(S452,COMPLEX(Ross,0)),IMSUM(S452,COMPLEX(Ross,0)))</f>
        <v>0.00854649157299088-0.0260840103412803i</v>
      </c>
      <c r="U452" s="227" t="str">
        <f t="shared" ref="U452:U504" si="176">IMPRODUCT(COMPLEX(Vinss,0),COMPLEX(M^2,0),IMDIV(IMSUB(COMPLEX(1,0),IMDIV(IMPRODUCT(R452,COMPLEX(M^2,0)),COMPLEX(Ross,0))),IMSUM(COMPLEX(1,0),IMDIV(IMPRODUCT(R452,COMPLEX(M^2,0)),T452))))</f>
        <v>-0.0891220943026328+0.201601097192782i</v>
      </c>
      <c r="V452" s="227">
        <f t="shared" si="163"/>
        <v>-13.134910881064187</v>
      </c>
      <c r="W452" s="227">
        <f t="shared" si="164"/>
        <v>-246.1511455311263</v>
      </c>
      <c r="X452" s="227" t="str">
        <f t="shared" ref="X452:X504" si="177">IMSUM(COMPLEX(1,L452/(wn*q0)),IMPOWER(COMPLEX(0,L452/wn),2))</f>
        <v>0.612700221559748-0.183265454939396i</v>
      </c>
      <c r="Y452" s="227" t="str">
        <f t="shared" ref="Y452:Y504" si="178">IMPRODUCT(COMPLEX(2*Ioutss*M^2,0),IMDIV(IMSUM(COMPLEX(1,0),IMDIV(COMPLEX(Ross,0),IMPRODUCT(COMPLEX(2,0),S452))),IMSUM(COMPLEX(1,0),IMDIV(IMPRODUCT(R452,COMPLEX(M^2,0)),T452))))</f>
        <v>0.0411134413258111-3.48479910556754i</v>
      </c>
      <c r="Z452" s="227" t="str">
        <f t="shared" ref="Z452:Z504" si="179">IMPRODUCT(COMPLEX(Fm*40/3*Risense,0),Y452,X452)</f>
        <v>-0.319459610419267-1.11581006028129i</v>
      </c>
      <c r="AA452" s="227" t="str">
        <f t="shared" ref="AA452:AA504" si="180">IMDIV(IMPRODUCT(COMPLEX(Fm,0),U452),IMSUM(COMPLEX(1,0),Z452))</f>
        <v>-1.30603023887226+0.172648404707697i</v>
      </c>
      <c r="AB452" s="227">
        <f t="shared" si="165"/>
        <v>2.394302375231701</v>
      </c>
      <c r="AC452" s="227">
        <f t="shared" si="166"/>
        <v>-187.53045382438813</v>
      </c>
      <c r="AD452" s="229">
        <f t="shared" si="167"/>
        <v>-23.573041427703899</v>
      </c>
      <c r="AE452" s="229">
        <f t="shared" si="168"/>
        <v>103.54835351643924</v>
      </c>
      <c r="AF452" s="227">
        <f t="shared" ref="AF452:AF504" si="181">AD452+AB452</f>
        <v>-21.178739052472199</v>
      </c>
      <c r="AG452" s="227">
        <f t="shared" ref="AG452:AG504" si="182">AE452+AC452</f>
        <v>-83.982100307948897</v>
      </c>
      <c r="AH452" s="229" t="str">
        <f t="shared" ref="AH452:AH504" si="183">IMDIV(IMPRODUCT(COMPLEX(gea*Rea*Rslss/(Rslss+Rshss),0),COMPLEX(1,L452*Ccompss*Rcompss),COMPLEX(1,k_3*L452*Cffss*Rshss)),IMPRODUCT(COMPLEX(1,L452*Rea*Ccompss),COMPLEX(1,L452*Rcompss*Chfss),COMPLEX(1,k_3*L452*Rffss*Cffss)))</f>
        <v>0.0155259072908641-0.0644304684184488i</v>
      </c>
    </row>
    <row r="453" spans="9:34" x14ac:dyDescent="0.2">
      <c r="I453" s="227">
        <v>449</v>
      </c>
      <c r="J453" s="227">
        <f t="shared" si="171"/>
        <v>5.3778050145257463</v>
      </c>
      <c r="K453" s="227">
        <f t="shared" si="169"/>
        <v>238673.94663631794</v>
      </c>
      <c r="L453" s="227">
        <f t="shared" ref="L453:L503" si="184">2*PI()*K453</f>
        <v>1499632.6347118774</v>
      </c>
      <c r="M453" s="227">
        <f t="shared" si="172"/>
        <v>238272.73350517862</v>
      </c>
      <c r="N453" s="227">
        <f>SQRT((ABS(AC453)-171.5+'Small Signal'!C$59)^2)</f>
        <v>87.076039633635162</v>
      </c>
      <c r="O453" s="227">
        <f t="shared" ref="O453:O504" si="185">ABS(AG453)</f>
        <v>85.317329875781795</v>
      </c>
      <c r="P453" s="227">
        <f t="shared" ref="P453:P504" si="186">ABS(AF453)</f>
        <v>21.213590139137175</v>
      </c>
      <c r="Q453" s="227">
        <f t="shared" si="170"/>
        <v>238673.94663631794</v>
      </c>
      <c r="R453" s="227" t="str">
        <f t="shared" si="173"/>
        <v>0.0945666666666667+7.04827338314582i</v>
      </c>
      <c r="S453" s="227" t="str">
        <f t="shared" si="174"/>
        <v>0.0085-0.0255381694516029i</v>
      </c>
      <c r="T453" s="227" t="str">
        <f t="shared" si="175"/>
        <v>0.00854420806249719-0.0255049406341312i</v>
      </c>
      <c r="U453" s="227" t="str">
        <f t="shared" si="176"/>
        <v>-0.0881927213231454+0.197137866723435i</v>
      </c>
      <c r="V453" s="227">
        <f t="shared" ref="V453:V504" si="187">20*LOG(IMABS(U453))</f>
        <v>-13.312294036655889</v>
      </c>
      <c r="W453" s="227">
        <f t="shared" ref="W453:W504" si="188">IF(DEGREES(IMARGUMENT(U453))&gt;0,DEGREES(IMARGUMENT(U453))-360, DEGREES(IMARGUMENT(U453)))</f>
        <v>-245.89789502206176</v>
      </c>
      <c r="X453" s="227" t="str">
        <f t="shared" si="177"/>
        <v>0.594913757845646-0.187426386315002i</v>
      </c>
      <c r="Y453" s="227" t="str">
        <f t="shared" si="178"/>
        <v>0.0393077556960521-3.40742935510547i</v>
      </c>
      <c r="Z453" s="227" t="str">
        <f t="shared" si="179"/>
        <v>-0.320399246142864-1.05947570435423i</v>
      </c>
      <c r="AA453" s="227" t="str">
        <f t="shared" si="180"/>
        <v>-1.32526546970279+0.199860708893081i</v>
      </c>
      <c r="AB453" s="227">
        <f t="shared" ref="AB453:AB504" si="189">20*LOG(IMABS(AA453))</f>
        <v>2.5437231013118344</v>
      </c>
      <c r="AC453" s="227">
        <f t="shared" ref="AC453:AC504" si="190">IF(DEGREES(IMARGUMENT(AA453))&gt;0,DEGREES(IMARGUMENT(AA453))-360, DEGREES(IMARGUMENT(AA453)))</f>
        <v>-188.57603963363516</v>
      </c>
      <c r="AD453" s="229">
        <f t="shared" ref="AD453:AD504" si="191">20*LOG(IMABS(AH453))</f>
        <v>-23.757313240449008</v>
      </c>
      <c r="AE453" s="229">
        <f t="shared" ref="AE453:AE504" si="192">180+DEGREES(IMARGUMENT(AH453))</f>
        <v>103.25870975785337</v>
      </c>
      <c r="AF453" s="227">
        <f t="shared" si="181"/>
        <v>-21.213590139137175</v>
      </c>
      <c r="AG453" s="227">
        <f t="shared" si="182"/>
        <v>-85.317329875781795</v>
      </c>
      <c r="AH453" s="229" t="str">
        <f t="shared" si="183"/>
        <v>0.0148809263906939-0.0631540017814335i</v>
      </c>
    </row>
    <row r="454" spans="9:34" x14ac:dyDescent="0.2">
      <c r="I454" s="227">
        <v>450</v>
      </c>
      <c r="J454" s="227">
        <f t="shared" si="171"/>
        <v>5.3875551370525301</v>
      </c>
      <c r="K454" s="227">
        <f t="shared" si="169"/>
        <v>244092.89432303383</v>
      </c>
      <c r="L454" s="227">
        <f t="shared" si="184"/>
        <v>1533680.8871974256</v>
      </c>
      <c r="M454" s="227">
        <f t="shared" si="172"/>
        <v>243814.71512352055</v>
      </c>
      <c r="N454" s="227">
        <f>SQRT((ABS(AC454)-171.5+'Small Signal'!C$59)^2)</f>
        <v>88.202113577142541</v>
      </c>
      <c r="O454" s="227">
        <f t="shared" si="185"/>
        <v>86.727312242496637</v>
      </c>
      <c r="P454" s="227">
        <f t="shared" si="186"/>
        <v>21.243607959418426</v>
      </c>
      <c r="Q454" s="227">
        <f t="shared" si="170"/>
        <v>244092.89432303383</v>
      </c>
      <c r="R454" s="227" t="str">
        <f t="shared" si="173"/>
        <v>0.0945666666666667+7.2083001698279i</v>
      </c>
      <c r="S454" s="227" t="str">
        <f t="shared" si="174"/>
        <v>0.0085-0.0249712131513937i</v>
      </c>
      <c r="T454" s="227" t="str">
        <f t="shared" si="175"/>
        <v>0.00854202481528165-0.0249387261871925i</v>
      </c>
      <c r="U454" s="227" t="str">
        <f t="shared" si="176"/>
        <v>-0.0873041559592994+0.192772914653187i</v>
      </c>
      <c r="V454" s="227">
        <f t="shared" si="187"/>
        <v>-13.488828184325284</v>
      </c>
      <c r="W454" s="227">
        <f t="shared" si="188"/>
        <v>-245.63489299723889</v>
      </c>
      <c r="X454" s="227" t="str">
        <f t="shared" si="177"/>
        <v>0.576310463580474-0.191681789122326i</v>
      </c>
      <c r="Y454" s="227" t="str">
        <f t="shared" si="178"/>
        <v>0.0375813953183157-3.3317776298565i</v>
      </c>
      <c r="Z454" s="227" t="str">
        <f t="shared" si="179"/>
        <v>-0.321297602830529-1.00367565042761i</v>
      </c>
      <c r="AA454" s="227" t="str">
        <f t="shared" si="180"/>
        <v>-1.34482172370506+0.229925645762059i</v>
      </c>
      <c r="AB454" s="227">
        <f t="shared" si="189"/>
        <v>2.6984233930389419</v>
      </c>
      <c r="AC454" s="227">
        <f t="shared" si="190"/>
        <v>-189.70211357714254</v>
      </c>
      <c r="AD454" s="229">
        <f t="shared" si="191"/>
        <v>-23.94203135245737</v>
      </c>
      <c r="AE454" s="229">
        <f t="shared" si="192"/>
        <v>102.9748013346459</v>
      </c>
      <c r="AF454" s="227">
        <f t="shared" si="181"/>
        <v>-21.243607959418426</v>
      </c>
      <c r="AG454" s="227">
        <f t="shared" si="182"/>
        <v>-86.727312242496637</v>
      </c>
      <c r="AH454" s="229" t="str">
        <f t="shared" si="183"/>
        <v>0.0142612735830048-0.0618965463605436i</v>
      </c>
    </row>
    <row r="455" spans="9:34" x14ac:dyDescent="0.2">
      <c r="I455" s="227">
        <v>451</v>
      </c>
      <c r="J455" s="227">
        <f t="shared" si="171"/>
        <v>5.397305259579313</v>
      </c>
      <c r="K455" s="227">
        <f t="shared" si="169"/>
        <v>249634.87594137577</v>
      </c>
      <c r="L455" s="227">
        <f t="shared" si="184"/>
        <v>1568502.1846744509</v>
      </c>
      <c r="M455" s="227">
        <f t="shared" si="172"/>
        <v>249482.52408453595</v>
      </c>
      <c r="N455" s="227">
        <f>SQRT((ABS(AC455)-171.5+'Small Signal'!C$59)^2)</f>
        <v>89.416941897442371</v>
      </c>
      <c r="O455" s="227">
        <f t="shared" si="185"/>
        <v>88.220398804540594</v>
      </c>
      <c r="P455" s="227">
        <f t="shared" si="186"/>
        <v>21.269022544663702</v>
      </c>
      <c r="Q455" s="227">
        <f t="shared" si="170"/>
        <v>249634.87594137577</v>
      </c>
      <c r="R455" s="227" t="str">
        <f t="shared" si="173"/>
        <v>0.0945666666666667+7.37196026796992i</v>
      </c>
      <c r="S455" s="227" t="str">
        <f t="shared" si="174"/>
        <v>0.0085-0.0244168434794845i</v>
      </c>
      <c r="T455" s="227" t="str">
        <f t="shared" si="175"/>
        <v>0.00853993742906387-0.0243850816280744i</v>
      </c>
      <c r="U455" s="227" t="str">
        <f t="shared" si="176"/>
        <v>-0.0864546063639597+0.188504111747263i</v>
      </c>
      <c r="V455" s="227">
        <f t="shared" si="187"/>
        <v>-13.664487423841189</v>
      </c>
      <c r="W455" s="227">
        <f t="shared" si="188"/>
        <v>-245.36214738663227</v>
      </c>
      <c r="X455" s="227" t="str">
        <f t="shared" si="177"/>
        <v>0.556852826408775-0.196033808278119i</v>
      </c>
      <c r="Y455" s="227" t="str">
        <f t="shared" si="178"/>
        <v>0.0359308736283517-3.25780576373378i</v>
      </c>
      <c r="Z455" s="227" t="str">
        <f t="shared" si="179"/>
        <v>-0.32215649481585-0.948381754660767i</v>
      </c>
      <c r="AA455" s="227" t="str">
        <f t="shared" si="180"/>
        <v>-1.36450855037315+0.263181390327932i</v>
      </c>
      <c r="AB455" s="227">
        <f t="shared" si="189"/>
        <v>2.8581556502275069</v>
      </c>
      <c r="AC455" s="227">
        <f t="shared" si="190"/>
        <v>-190.91694189744237</v>
      </c>
      <c r="AD455" s="229">
        <f t="shared" si="191"/>
        <v>-24.127178194891208</v>
      </c>
      <c r="AE455" s="229">
        <f t="shared" si="192"/>
        <v>102.69654309290178</v>
      </c>
      <c r="AF455" s="227">
        <f t="shared" si="181"/>
        <v>-21.269022544663702</v>
      </c>
      <c r="AG455" s="227">
        <f t="shared" si="182"/>
        <v>-88.220398804540594</v>
      </c>
      <c r="AH455" s="229" t="str">
        <f t="shared" si="183"/>
        <v>0.0136660741993093-0.0606582179178662i</v>
      </c>
    </row>
    <row r="456" spans="9:34" x14ac:dyDescent="0.2">
      <c r="I456" s="227">
        <v>452</v>
      </c>
      <c r="J456" s="227">
        <f t="shared" si="171"/>
        <v>5.4070553821060967</v>
      </c>
      <c r="K456" s="227">
        <f t="shared" si="169"/>
        <v>255302.68490239116</v>
      </c>
      <c r="L456" s="227">
        <f t="shared" si="184"/>
        <v>1604114.0786622036</v>
      </c>
      <c r="M456" s="227">
        <f t="shared" si="172"/>
        <v>255279.01722197983</v>
      </c>
      <c r="N456" s="227">
        <f>SQRT((ABS(AC456)-171.5+'Small Signal'!C$59)^2)</f>
        <v>90.729545939228643</v>
      </c>
      <c r="O456" s="227">
        <f t="shared" si="185"/>
        <v>89.805696608523462</v>
      </c>
      <c r="P456" s="227">
        <f t="shared" si="186"/>
        <v>21.290194226410787</v>
      </c>
      <c r="Q456" s="227">
        <f t="shared" si="170"/>
        <v>255302.68490239116</v>
      </c>
      <c r="R456" s="227" t="str">
        <f t="shared" si="173"/>
        <v>0.0945666666666667+7.53933616971236i</v>
      </c>
      <c r="S456" s="227" t="str">
        <f t="shared" si="174"/>
        <v>0.0085-0.0238747810083215i</v>
      </c>
      <c r="T456" s="227" t="str">
        <f t="shared" si="175"/>
        <v>0.00853794169485258-0.0238437279185238i</v>
      </c>
      <c r="U456" s="227" t="str">
        <f t="shared" si="176"/>
        <v>-0.085642359372323+0.184329372613237i</v>
      </c>
      <c r="V456" s="227">
        <f t="shared" si="187"/>
        <v>-13.839245013442483</v>
      </c>
      <c r="W456" s="227">
        <f t="shared" si="188"/>
        <v>-245.0796692531581</v>
      </c>
      <c r="X456" s="227" t="str">
        <f t="shared" si="177"/>
        <v>0.536501611247149-0.200484637398172i</v>
      </c>
      <c r="Y456" s="227" t="str">
        <f t="shared" si="178"/>
        <v>0.0343528574554849-3.18547643959469i</v>
      </c>
      <c r="Z456" s="227" t="str">
        <f t="shared" si="179"/>
        <v>-0.322977656609181-0.893566129513275i</v>
      </c>
      <c r="AA456" s="227" t="str">
        <f t="shared" si="180"/>
        <v>-1.38406996738939+0.299993695105339i</v>
      </c>
      <c r="AB456" s="227">
        <f t="shared" si="189"/>
        <v>3.0225425827467616</v>
      </c>
      <c r="AC456" s="227">
        <f t="shared" si="190"/>
        <v>-192.22954593922864</v>
      </c>
      <c r="AD456" s="229">
        <f t="shared" si="191"/>
        <v>-24.312736809157549</v>
      </c>
      <c r="AE456" s="229">
        <f t="shared" si="192"/>
        <v>102.42384933070518</v>
      </c>
      <c r="AF456" s="227">
        <f t="shared" si="181"/>
        <v>-21.290194226410787</v>
      </c>
      <c r="AG456" s="227">
        <f t="shared" si="182"/>
        <v>-89.805696608523462</v>
      </c>
      <c r="AH456" s="229" t="str">
        <f t="shared" si="183"/>
        <v>0.0130944738830942-0.0594391014011836i</v>
      </c>
    </row>
    <row r="457" spans="9:34" x14ac:dyDescent="0.2">
      <c r="I457" s="227">
        <v>453</v>
      </c>
      <c r="J457" s="227">
        <f t="shared" si="171"/>
        <v>5.4168055046328796</v>
      </c>
      <c r="K457" s="227">
        <f t="shared" si="169"/>
        <v>261099.17803983504</v>
      </c>
      <c r="L457" s="227">
        <f t="shared" si="184"/>
        <v>1640534.5191765584</v>
      </c>
      <c r="M457" s="227">
        <f t="shared" si="172"/>
        <v>261207.11623229389</v>
      </c>
      <c r="N457" s="227">
        <f>SQRT((ABS(AC457)-171.5+'Small Signal'!C$59)^2)</f>
        <v>92.149712144360223</v>
      </c>
      <c r="O457" s="227">
        <f t="shared" si="185"/>
        <v>91.493078205324196</v>
      </c>
      <c r="P457" s="227">
        <f t="shared" si="186"/>
        <v>21.307646018130026</v>
      </c>
      <c r="Q457" s="227">
        <f t="shared" si="170"/>
        <v>261099.17803983504</v>
      </c>
      <c r="R457" s="227" t="str">
        <f t="shared" si="173"/>
        <v>0.0945666666666667+7.71051224012982i</v>
      </c>
      <c r="S457" s="227" t="str">
        <f t="shared" si="174"/>
        <v>0.0085-0.0233447525137408i</v>
      </c>
      <c r="T457" s="227" t="str">
        <f t="shared" si="175"/>
        <v>0.00853603358845924-0.0233143922138846i</v>
      </c>
      <c r="U457" s="227" t="str">
        <f t="shared" si="176"/>
        <v>-0.0848657770466289+0.180246654951253i</v>
      </c>
      <c r="V457" s="227">
        <f t="shared" si="187"/>
        <v>-14.01307338280988</v>
      </c>
      <c r="W457" s="227">
        <f t="shared" si="188"/>
        <v>-244.78747312562172</v>
      </c>
      <c r="X457" s="227" t="str">
        <f t="shared" si="177"/>
        <v>0.515215781169227-0.205036519902994i</v>
      </c>
      <c r="Y457" s="227" t="str">
        <f t="shared" si="178"/>
        <v>0.0328441602611659-3.11475317028742i</v>
      </c>
      <c r="Z457" s="227" t="str">
        <f t="shared" si="179"/>
        <v>-0.323762746416204-0.839201129612293i</v>
      </c>
      <c r="AA457" s="227" t="str">
        <f t="shared" si="180"/>
        <v>-1.40316824224248+0.340751095005409i</v>
      </c>
      <c r="AB457" s="227">
        <f t="shared" si="189"/>
        <v>3.1910448142970544</v>
      </c>
      <c r="AC457" s="227">
        <f t="shared" si="190"/>
        <v>-193.64971214436022</v>
      </c>
      <c r="AD457" s="229">
        <f t="shared" si="191"/>
        <v>-24.49869083242708</v>
      </c>
      <c r="AE457" s="229">
        <f t="shared" si="192"/>
        <v>102.15663393903603</v>
      </c>
      <c r="AF457" s="227">
        <f t="shared" si="181"/>
        <v>-21.307646018130026</v>
      </c>
      <c r="AG457" s="227">
        <f t="shared" si="182"/>
        <v>-91.493078205324196</v>
      </c>
      <c r="AH457" s="229" t="str">
        <f t="shared" si="183"/>
        <v>0.0125456389867167-0.0582392528300393i</v>
      </c>
    </row>
    <row r="458" spans="9:34" x14ac:dyDescent="0.2">
      <c r="I458" s="227">
        <v>454</v>
      </c>
      <c r="J458" s="227">
        <f t="shared" si="171"/>
        <v>5.4265556271596633</v>
      </c>
      <c r="K458" s="227">
        <f t="shared" si="169"/>
        <v>267027.2770501491</v>
      </c>
      <c r="L458" s="227">
        <f t="shared" si="184"/>
        <v>1677781.8637776696</v>
      </c>
      <c r="M458" s="227">
        <f t="shared" si="172"/>
        <v>267269.80914726865</v>
      </c>
      <c r="N458" s="227">
        <f>SQRT((ABS(AC458)-171.5+'Small Signal'!C$59)^2)</f>
        <v>93.687970397274569</v>
      </c>
      <c r="O458" s="227">
        <f t="shared" si="185"/>
        <v>93.293159863285112</v>
      </c>
      <c r="P458" s="227">
        <f t="shared" si="186"/>
        <v>21.322102219471368</v>
      </c>
      <c r="Q458" s="227">
        <f t="shared" si="170"/>
        <v>267027.2770501491</v>
      </c>
      <c r="R458" s="227" t="str">
        <f t="shared" si="173"/>
        <v>0.0945666666666667+7.88557475975505i</v>
      </c>
      <c r="S458" s="227" t="str">
        <f t="shared" si="174"/>
        <v>0.0085-0.0228264908372502i</v>
      </c>
      <c r="T458" s="227" t="str">
        <f t="shared" si="175"/>
        <v>0.00853420926238415-0.0227968077256725i</v>
      </c>
      <c r="U458" s="227" t="str">
        <f t="shared" si="176"/>
        <v>-0.0841232933726132+0.176253958806275i</v>
      </c>
      <c r="V458" s="227">
        <f t="shared" si="187"/>
        <v>-14.185944148513478</v>
      </c>
      <c r="W458" s="227">
        <f t="shared" si="188"/>
        <v>-244.48557733944753</v>
      </c>
      <c r="X458" s="227" t="str">
        <f t="shared" si="177"/>
        <v>0.4929524146573-0.209691750148605i</v>
      </c>
      <c r="Y458" s="227" t="str">
        <f t="shared" si="178"/>
        <v>0.0314017356766227-3.04560028012552i</v>
      </c>
      <c r="Z458" s="227" t="str">
        <f t="shared" si="179"/>
        <v>-0.324513349500885-0.785259337746931i</v>
      </c>
      <c r="AA458" s="227" t="str">
        <f t="shared" si="180"/>
        <v>-1.42136498753328+0.385855884998862i</v>
      </c>
      <c r="AB458" s="227">
        <f t="shared" si="189"/>
        <v>3.3629222634373139</v>
      </c>
      <c r="AC458" s="227">
        <f t="shared" si="190"/>
        <v>-195.18797039727457</v>
      </c>
      <c r="AD458" s="229">
        <f t="shared" si="191"/>
        <v>-24.68502448290868</v>
      </c>
      <c r="AE458" s="229">
        <f t="shared" si="192"/>
        <v>101.89481053398946</v>
      </c>
      <c r="AF458" s="227">
        <f t="shared" si="181"/>
        <v>-21.322102219471368</v>
      </c>
      <c r="AG458" s="227">
        <f t="shared" si="182"/>
        <v>-93.293159863285112</v>
      </c>
      <c r="AH458" s="229" t="str">
        <f t="shared" si="183"/>
        <v>0.0120187568698464-0.0570587011183603i</v>
      </c>
    </row>
    <row r="459" spans="9:34" x14ac:dyDescent="0.2">
      <c r="I459" s="227">
        <v>455</v>
      </c>
      <c r="J459" s="227">
        <f t="shared" si="171"/>
        <v>5.4363057496864471</v>
      </c>
      <c r="K459" s="227">
        <f t="shared" si="169"/>
        <v>273089.96996512386</v>
      </c>
      <c r="L459" s="227">
        <f t="shared" si="184"/>
        <v>1715874.8868229808</v>
      </c>
      <c r="M459" s="227">
        <f t="shared" si="172"/>
        <v>273470.15184015024</v>
      </c>
      <c r="N459" s="227">
        <f>SQRT((ABS(AC459)-171.5+'Small Signal'!C$59)^2)</f>
        <v>95.355525328459805</v>
      </c>
      <c r="O459" s="227">
        <f t="shared" si="185"/>
        <v>95.217232747839347</v>
      </c>
      <c r="P459" s="227">
        <f t="shared" si="186"/>
        <v>21.334533664499666</v>
      </c>
      <c r="Q459" s="227">
        <f t="shared" si="170"/>
        <v>273089.96996512386</v>
      </c>
      <c r="R459" s="227" t="str">
        <f t="shared" si="173"/>
        <v>0.0945666666666667+8.06461196806801i</v>
      </c>
      <c r="S459" s="227" t="str">
        <f t="shared" si="174"/>
        <v>0.0085-0.0223197347513697i</v>
      </c>
      <c r="T459" s="227" t="str">
        <f t="shared" si="175"/>
        <v>0.00853246503805883-0.0222907135871955i</v>
      </c>
      <c r="U459" s="227" t="str">
        <f t="shared" si="176"/>
        <v>-0.0834134111010684+0.172349325823324i</v>
      </c>
      <c r="V459" s="227">
        <f t="shared" si="187"/>
        <v>-14.357828132113434</v>
      </c>
      <c r="W459" s="227">
        <f t="shared" si="188"/>
        <v>-244.17400438435556</v>
      </c>
      <c r="X459" s="227" t="str">
        <f t="shared" si="177"/>
        <v>0.469666619053851-0.214452674582987i</v>
      </c>
      <c r="Y459" s="227" t="str">
        <f t="shared" si="178"/>
        <v>0.0300226713263641-2.97798288677972i</v>
      </c>
      <c r="Z459" s="227" t="str">
        <f t="shared" si="179"/>
        <v>-0.325230981399614-0.731713550982181i</v>
      </c>
      <c r="AA459" s="227" t="str">
        <f t="shared" si="180"/>
        <v>-1.43809990000066+0.435709104784069i</v>
      </c>
      <c r="AB459" s="227">
        <f t="shared" si="189"/>
        <v>3.5371888804451093</v>
      </c>
      <c r="AC459" s="227">
        <f t="shared" si="190"/>
        <v>-196.85552532845981</v>
      </c>
      <c r="AD459" s="229">
        <f t="shared" si="191"/>
        <v>-24.871722544944777</v>
      </c>
      <c r="AE459" s="229">
        <f t="shared" si="192"/>
        <v>101.63829258062046</v>
      </c>
      <c r="AF459" s="227">
        <f t="shared" si="181"/>
        <v>-21.334533664499666</v>
      </c>
      <c r="AG459" s="227">
        <f t="shared" si="182"/>
        <v>-95.217232747839347</v>
      </c>
      <c r="AH459" s="229" t="str">
        <f t="shared" si="183"/>
        <v>0.0115130361075646-0.0558974498318546i</v>
      </c>
    </row>
    <row r="460" spans="9:34" x14ac:dyDescent="0.2">
      <c r="I460" s="227">
        <v>456</v>
      </c>
      <c r="J460" s="227">
        <f t="shared" si="171"/>
        <v>5.44605587221323</v>
      </c>
      <c r="K460" s="227">
        <f t="shared" si="169"/>
        <v>279290.31265800545</v>
      </c>
      <c r="L460" s="227">
        <f t="shared" si="184"/>
        <v>1754832.7889303726</v>
      </c>
      <c r="M460" s="227">
        <f t="shared" si="172"/>
        <v>279811.2695659431</v>
      </c>
      <c r="N460" s="227">
        <f>SQRT((ABS(AC460)-171.5+'Small Signal'!C$59)^2)</f>
        <v>97.16412043838983</v>
      </c>
      <c r="O460" s="227">
        <f t="shared" si="185"/>
        <v>97.277126929670956</v>
      </c>
      <c r="P460" s="227">
        <f t="shared" si="186"/>
        <v>21.34620955203145</v>
      </c>
      <c r="Q460" s="227">
        <f t="shared" si="170"/>
        <v>279290.31265800545</v>
      </c>
      <c r="R460" s="227" t="str">
        <f t="shared" si="173"/>
        <v>0.0945666666666667+8.24771410797275i</v>
      </c>
      <c r="S460" s="227" t="str">
        <f t="shared" si="174"/>
        <v>0.0085-0.021824228827961i</v>
      </c>
      <c r="T460" s="227" t="str">
        <f t="shared" si="175"/>
        <v>0.00853079739842898-0.0217958547221547i</v>
      </c>
      <c r="U460" s="227" t="str">
        <f t="shared" si="176"/>
        <v>-0.0827346987281146+0.1685308385065i</v>
      </c>
      <c r="V460" s="227">
        <f t="shared" si="187"/>
        <v>-14.52869538109374</v>
      </c>
      <c r="W460" s="227">
        <f t="shared" si="188"/>
        <v>-243.85278125803615</v>
      </c>
      <c r="X460" s="227" t="str">
        <f t="shared" si="177"/>
        <v>0.445311440038355-0.219321692928807i</v>
      </c>
      <c r="Y460" s="227" t="str">
        <f t="shared" si="178"/>
        <v>0.0287041829247075-2.91186688357821i</v>
      </c>
      <c r="Z460" s="227" t="str">
        <f t="shared" si="179"/>
        <v>-0.325917090993312-0.678536766885193i</v>
      </c>
      <c r="AA460" s="227" t="str">
        <f t="shared" si="180"/>
        <v>-1.45266810472822+0.490687333776802i</v>
      </c>
      <c r="AB460" s="227">
        <f t="shared" si="189"/>
        <v>3.7125608019578236</v>
      </c>
      <c r="AC460" s="227">
        <f t="shared" si="190"/>
        <v>-198.66412043838983</v>
      </c>
      <c r="AD460" s="229">
        <f t="shared" si="191"/>
        <v>-25.058770353989274</v>
      </c>
      <c r="AE460" s="229">
        <f t="shared" si="192"/>
        <v>101.38699350871887</v>
      </c>
      <c r="AF460" s="227">
        <f t="shared" si="181"/>
        <v>-21.34620955203145</v>
      </c>
      <c r="AG460" s="227">
        <f t="shared" si="182"/>
        <v>-97.277126929670956</v>
      </c>
      <c r="AH460" s="229" t="str">
        <f t="shared" si="183"/>
        <v>0.0110277066158609-0.0547554788789481i</v>
      </c>
    </row>
    <row r="461" spans="9:34" x14ac:dyDescent="0.2">
      <c r="I461" s="227">
        <v>457</v>
      </c>
      <c r="J461" s="227">
        <f t="shared" si="171"/>
        <v>5.4558059947400146</v>
      </c>
      <c r="K461" s="227">
        <f t="shared" si="169"/>
        <v>285631.43038379832</v>
      </c>
      <c r="L461" s="227">
        <f t="shared" si="184"/>
        <v>1794675.2066561705</v>
      </c>
      <c r="M461" s="227">
        <f t="shared" si="172"/>
        <v>286296.35853667249</v>
      </c>
      <c r="N461" s="227">
        <f>SQRT((ABS(AC461)-171.5+'Small Signal'!C$59)^2)</f>
        <v>99.125809737541687</v>
      </c>
      <c r="O461" s="227">
        <f t="shared" si="185"/>
        <v>99.484982916713221</v>
      </c>
      <c r="P461" s="227">
        <f t="shared" si="186"/>
        <v>21.358754942406005</v>
      </c>
      <c r="Q461" s="227">
        <f t="shared" si="170"/>
        <v>285631.43038379832</v>
      </c>
      <c r="R461" s="227" t="str">
        <f t="shared" si="173"/>
        <v>0.0945666666666667+8.434973471284i</v>
      </c>
      <c r="S461" s="227" t="str">
        <f t="shared" si="174"/>
        <v>0.0085-0.0213397233094794i</v>
      </c>
      <c r="T461" s="227" t="str">
        <f t="shared" si="175"/>
        <v>0.00852920298086305-0.0213119817161548i</v>
      </c>
      <c r="U461" s="227" t="str">
        <f t="shared" si="176"/>
        <v>-0.0820857876080917+0.16479661948252i</v>
      </c>
      <c r="V461" s="227">
        <f t="shared" si="187"/>
        <v>-14.698515192805582</v>
      </c>
      <c r="W461" s="227">
        <f t="shared" si="188"/>
        <v>-243.52193982474722</v>
      </c>
      <c r="X461" s="227" t="str">
        <f t="shared" si="177"/>
        <v>0.419837766946882-0.224301259392986i</v>
      </c>
      <c r="Y461" s="227" t="str">
        <f t="shared" si="178"/>
        <v>0.027443608633327-2.84721892220502i</v>
      </c>
      <c r="Z461" s="227" t="str">
        <f t="shared" si="179"/>
        <v>-0.326573063443674-0.625702169856535i</v>
      </c>
      <c r="AA461" s="227" t="str">
        <f t="shared" si="180"/>
        <v>-1.46419806761433+0.551108754503851i</v>
      </c>
      <c r="AB461" s="227">
        <f t="shared" si="189"/>
        <v>3.8873988391180774</v>
      </c>
      <c r="AC461" s="227">
        <f t="shared" si="190"/>
        <v>-200.62580973754169</v>
      </c>
      <c r="AD461" s="229">
        <f t="shared" si="191"/>
        <v>-25.246153781524082</v>
      </c>
      <c r="AE461" s="229">
        <f t="shared" si="192"/>
        <v>101.14082682082847</v>
      </c>
      <c r="AF461" s="227">
        <f t="shared" si="181"/>
        <v>-21.358754942406005</v>
      </c>
      <c r="AG461" s="227">
        <f t="shared" si="182"/>
        <v>-99.484982916713221</v>
      </c>
      <c r="AH461" s="229" t="str">
        <f t="shared" si="183"/>
        <v>0.010562019701897-0.0536327461345306i</v>
      </c>
    </row>
    <row r="462" spans="9:34" x14ac:dyDescent="0.2">
      <c r="I462" s="227">
        <v>458</v>
      </c>
      <c r="J462" s="227">
        <f t="shared" si="171"/>
        <v>5.4655561172667975</v>
      </c>
      <c r="K462" s="227">
        <f t="shared" si="169"/>
        <v>292116.5193545277</v>
      </c>
      <c r="L462" s="227">
        <f t="shared" si="184"/>
        <v>1835422.2223928096</v>
      </c>
      <c r="M462" s="227">
        <f t="shared" si="172"/>
        <v>292928.68753242964</v>
      </c>
      <c r="N462" s="227">
        <f>SQRT((ABS(AC462)-171.5+'Small Signal'!C$59)^2)</f>
        <v>101.25260679764443</v>
      </c>
      <c r="O462" s="227">
        <f t="shared" si="185"/>
        <v>101.85290060481906</v>
      </c>
      <c r="P462" s="227">
        <f t="shared" si="186"/>
        <v>21.374211632645945</v>
      </c>
      <c r="Q462" s="227">
        <f t="shared" si="170"/>
        <v>292116.5193545277</v>
      </c>
      <c r="R462" s="227" t="str">
        <f t="shared" si="173"/>
        <v>0.0945666666666667+8.6264844452462i</v>
      </c>
      <c r="S462" s="227" t="str">
        <f t="shared" si="174"/>
        <v>0.0085-0.0208659739830856i</v>
      </c>
      <c r="T462" s="227" t="str">
        <f t="shared" si="175"/>
        <v>0.00852767857037219-0.0208388506910672i</v>
      </c>
      <c r="U462" s="227" t="str">
        <f t="shared" si="176"/>
        <v>-0.0814653691932565+0.161144830769515i</v>
      </c>
      <c r="V462" s="227">
        <f t="shared" si="187"/>
        <v>-14.867256141588417</v>
      </c>
      <c r="W462" s="227">
        <f t="shared" si="188"/>
        <v>-243.18151717764016</v>
      </c>
      <c r="X462" s="227" t="str">
        <f t="shared" si="177"/>
        <v>0.393194233743615-0.229393883903725i</v>
      </c>
      <c r="Y462" s="227" t="str">
        <f t="shared" si="178"/>
        <v>0.0262384036680209-2.78400639578825i</v>
      </c>
      <c r="Z462" s="227" t="str">
        <f t="shared" si="179"/>
        <v>-0.327200222999728-0.57318311755958i</v>
      </c>
      <c r="AA462" s="227" t="str">
        <f t="shared" si="180"/>
        <v>-1.47163351059218+0.61718587664992i</v>
      </c>
      <c r="AB462" s="227">
        <f t="shared" si="189"/>
        <v>4.0596475873175732</v>
      </c>
      <c r="AC462" s="227">
        <f t="shared" si="190"/>
        <v>-202.75260679764443</v>
      </c>
      <c r="AD462" s="229">
        <f t="shared" si="191"/>
        <v>-25.433859219963519</v>
      </c>
      <c r="AE462" s="229">
        <f t="shared" si="192"/>
        <v>100.89970619282538</v>
      </c>
      <c r="AF462" s="227">
        <f t="shared" si="181"/>
        <v>-21.374211632645945</v>
      </c>
      <c r="AG462" s="227">
        <f t="shared" si="182"/>
        <v>-101.85290060481906</v>
      </c>
      <c r="AH462" s="229" t="str">
        <f t="shared" si="183"/>
        <v>0.010115248046027-0.0525291889962369i</v>
      </c>
    </row>
    <row r="463" spans="9:34" x14ac:dyDescent="0.2">
      <c r="I463" s="227">
        <v>459</v>
      </c>
      <c r="J463" s="227">
        <f t="shared" si="171"/>
        <v>5.4753062397935812</v>
      </c>
      <c r="K463" s="227">
        <f t="shared" si="169"/>
        <v>298748.84835028485</v>
      </c>
      <c r="L463" s="227">
        <f t="shared" si="184"/>
        <v>1877094.3744913321</v>
      </c>
      <c r="M463" s="227">
        <f t="shared" si="172"/>
        <v>299711.59954897879</v>
      </c>
      <c r="N463" s="227">
        <f>SQRT((ABS(AC463)-171.5+'Small Signal'!C$59)^2)</f>
        <v>103.55597819636466</v>
      </c>
      <c r="O463" s="227">
        <f t="shared" si="185"/>
        <v>104.39243262899629</v>
      </c>
      <c r="P463" s="227">
        <f t="shared" si="186"/>
        <v>21.395098082870764</v>
      </c>
      <c r="Q463" s="227">
        <f t="shared" si="170"/>
        <v>298748.84835028485</v>
      </c>
      <c r="R463" s="227" t="str">
        <f t="shared" si="173"/>
        <v>0.0945666666666667+8.82234356010926i</v>
      </c>
      <c r="S463" s="227" t="str">
        <f t="shared" si="174"/>
        <v>0.0085-0.0204027420575504i</v>
      </c>
      <c r="T463" s="227" t="str">
        <f t="shared" si="175"/>
        <v>0.00852622109312786-0.0203762231821746i</v>
      </c>
      <c r="U463" s="227" t="str">
        <f t="shared" si="176"/>
        <v>-0.0808721923947022+0.157573673051607i</v>
      </c>
      <c r="V463" s="227">
        <f t="shared" si="187"/>
        <v>-15.034886109237346</v>
      </c>
      <c r="W463" s="227">
        <f t="shared" si="188"/>
        <v>-242.83155600347675</v>
      </c>
      <c r="X463" s="227" t="str">
        <f t="shared" si="177"/>
        <v>0.365327115444469-0.234602133375634i</v>
      </c>
      <c r="Y463" s="227" t="str">
        <f t="shared" si="178"/>
        <v>0.0250861351438384-2.72219742236829i</v>
      </c>
      <c r="Z463" s="227" t="str">
        <f t="shared" si="179"/>
        <v>-0.327799835680374-0.520953127440527i</v>
      </c>
      <c r="AA463" s="227" t="str">
        <f t="shared" si="180"/>
        <v>-1.47372474430337+0.688962850274i</v>
      </c>
      <c r="AB463" s="227">
        <f t="shared" si="189"/>
        <v>4.2267754847236061</v>
      </c>
      <c r="AC463" s="227">
        <f t="shared" si="190"/>
        <v>-205.05597819636466</v>
      </c>
      <c r="AD463" s="229">
        <f t="shared" si="191"/>
        <v>-25.621873567594371</v>
      </c>
      <c r="AE463" s="229">
        <f t="shared" si="192"/>
        <v>100.66354556736837</v>
      </c>
      <c r="AF463" s="227">
        <f t="shared" si="181"/>
        <v>-21.395098082870764</v>
      </c>
      <c r="AG463" s="227">
        <f t="shared" si="182"/>
        <v>-104.39243262899629</v>
      </c>
      <c r="AH463" s="229" t="str">
        <f t="shared" si="183"/>
        <v>0.00968668562217121-0.0514447258733632i</v>
      </c>
    </row>
    <row r="464" spans="9:34" x14ac:dyDescent="0.2">
      <c r="I464" s="227">
        <v>460</v>
      </c>
      <c r="J464" s="227">
        <f t="shared" si="171"/>
        <v>5.4850563623203641</v>
      </c>
      <c r="K464" s="227">
        <f t="shared" si="169"/>
        <v>305531.760366834</v>
      </c>
      <c r="L464" s="227">
        <f t="shared" si="184"/>
        <v>1919712.6676136057</v>
      </c>
      <c r="M464" s="227">
        <f t="shared" si="172"/>
        <v>306648.51348278596</v>
      </c>
      <c r="N464" s="227">
        <f>SQRT((ABS(AC464)-171.5+'Small Signal'!C$59)^2)</f>
        <v>106.04614985351154</v>
      </c>
      <c r="O464" s="227">
        <f t="shared" si="185"/>
        <v>107.11389061297413</v>
      </c>
      <c r="P464" s="227">
        <f t="shared" si="186"/>
        <v>21.424461272848806</v>
      </c>
      <c r="Q464" s="227">
        <f t="shared" si="170"/>
        <v>305531.760366834</v>
      </c>
      <c r="R464" s="227" t="str">
        <f t="shared" si="173"/>
        <v>0.0945666666666667+9.02264953778395i</v>
      </c>
      <c r="S464" s="227" t="str">
        <f t="shared" si="174"/>
        <v>0.0085-0.0199497940428937i</v>
      </c>
      <c r="T464" s="227" t="str">
        <f t="shared" si="175"/>
        <v>0.008524827610264-0.0199238660180428i</v>
      </c>
      <c r="U464" s="227" t="str">
        <f t="shared" si="176"/>
        <v>-0.08030506105918+0.154081384959896i</v>
      </c>
      <c r="V464" s="227">
        <f t="shared" si="187"/>
        <v>-15.201372318969346</v>
      </c>
      <c r="W464" s="227">
        <f t="shared" si="188"/>
        <v>-242.47210494828261</v>
      </c>
      <c r="X464" s="227" t="str">
        <f t="shared" si="177"/>
        <v>0.336180219784132-0.239928633003562i</v>
      </c>
      <c r="Y464" s="227" t="str">
        <f t="shared" si="178"/>
        <v>0.0239844771477378-2.66176082873793i</v>
      </c>
      <c r="Z464" s="227" t="str">
        <f t="shared" si="179"/>
        <v>-0.328373111838472-0.46898586333244i</v>
      </c>
      <c r="AA464" s="227" t="str">
        <f t="shared" si="180"/>
        <v>-1.46903719653941+0.766236904475198i</v>
      </c>
      <c r="AB464" s="227">
        <f t="shared" si="189"/>
        <v>4.3857229407422054</v>
      </c>
      <c r="AC464" s="227">
        <f t="shared" si="190"/>
        <v>-207.54614985351154</v>
      </c>
      <c r="AD464" s="229">
        <f t="shared" si="191"/>
        <v>-25.810184213591011</v>
      </c>
      <c r="AE464" s="229">
        <f t="shared" si="192"/>
        <v>100.43225924053741</v>
      </c>
      <c r="AF464" s="227">
        <f t="shared" si="181"/>
        <v>-21.424461272848806</v>
      </c>
      <c r="AG464" s="227">
        <f t="shared" si="182"/>
        <v>-107.11389061297413</v>
      </c>
      <c r="AH464" s="229" t="str">
        <f t="shared" si="183"/>
        <v>0.00927564756276727-0.050379257608889i</v>
      </c>
    </row>
    <row r="465" spans="9:34" x14ac:dyDescent="0.2">
      <c r="I465" s="227">
        <v>461</v>
      </c>
      <c r="J465" s="227">
        <f t="shared" si="171"/>
        <v>5.4948064848471478</v>
      </c>
      <c r="K465" s="227">
        <f t="shared" si="169"/>
        <v>312468.67430064117</v>
      </c>
      <c r="L465" s="227">
        <f t="shared" si="184"/>
        <v>1963298.5833196722</v>
      </c>
      <c r="M465" s="227">
        <f t="shared" si="172"/>
        <v>313742.92585429107</v>
      </c>
      <c r="N465" s="227">
        <f>SQRT((ABS(AC465)-171.5+'Small Signal'!C$59)^2)</f>
        <v>108.73120442029483</v>
      </c>
      <c r="O465" s="227">
        <f t="shared" si="185"/>
        <v>110.0254424783261</v>
      </c>
      <c r="P465" s="227">
        <f t="shared" si="186"/>
        <v>21.465909902359765</v>
      </c>
      <c r="Q465" s="227">
        <f t="shared" si="170"/>
        <v>312468.67430064117</v>
      </c>
      <c r="R465" s="227" t="str">
        <f t="shared" si="173"/>
        <v>0.0945666666666667+9.22750334160246i</v>
      </c>
      <c r="S465" s="227" t="str">
        <f t="shared" si="174"/>
        <v>0.0085-0.0195069016326946i</v>
      </c>
      <c r="T465" s="227" t="str">
        <f t="shared" si="175"/>
        <v>0.0085234953119514-0.0194815512030538i</v>
      </c>
      <c r="U465" s="227" t="str">
        <f t="shared" si="176"/>
        <v>-0.0797628315567377+0.150666242360307i</v>
      </c>
      <c r="V465" s="227">
        <f t="shared" si="187"/>
        <v>-15.366681373035153</v>
      </c>
      <c r="W465" s="227">
        <f t="shared" si="188"/>
        <v>-242.1032189823311</v>
      </c>
      <c r="X465" s="227" t="str">
        <f t="shared" si="177"/>
        <v>0.30569477390791-0.245376067585824i</v>
      </c>
      <c r="Y465" s="227" t="str">
        <f t="shared" si="178"/>
        <v>0.0229312060289094-2.60266613464529i</v>
      </c>
      <c r="Z465" s="227" t="str">
        <f t="shared" si="179"/>
        <v>-0.328921208611692-0.417255122136003i</v>
      </c>
      <c r="AA465" s="227" t="str">
        <f t="shared" si="180"/>
        <v>-1.45598721007757+0.848466695458399i</v>
      </c>
      <c r="AB465" s="227">
        <f t="shared" si="189"/>
        <v>4.5328691207843805</v>
      </c>
      <c r="AC465" s="227">
        <f t="shared" si="190"/>
        <v>-210.23120442029483</v>
      </c>
      <c r="AD465" s="229">
        <f t="shared" si="191"/>
        <v>-25.998779023144145</v>
      </c>
      <c r="AE465" s="229">
        <f t="shared" si="192"/>
        <v>100.20576194196873</v>
      </c>
      <c r="AF465" s="227">
        <f t="shared" si="181"/>
        <v>-21.465909902359765</v>
      </c>
      <c r="AG465" s="227">
        <f t="shared" si="182"/>
        <v>-110.0254424783261</v>
      </c>
      <c r="AH465" s="229" t="str">
        <f t="shared" si="183"/>
        <v>0.00888146997413346-0.0493326688353558i</v>
      </c>
    </row>
    <row r="466" spans="9:34" x14ac:dyDescent="0.2">
      <c r="I466" s="227">
        <v>462</v>
      </c>
      <c r="J466" s="227">
        <f t="shared" si="171"/>
        <v>5.5045566073739307</v>
      </c>
      <c r="K466" s="227">
        <f t="shared" si="169"/>
        <v>319563.08667214628</v>
      </c>
      <c r="L466" s="227">
        <f t="shared" si="184"/>
        <v>2007874.0908953862</v>
      </c>
      <c r="M466" s="227">
        <f t="shared" si="172"/>
        <v>320998.41257031984</v>
      </c>
      <c r="N466" s="227">
        <f>SQRT((ABS(AC466)-171.5+'Small Signal'!C$59)^2)</f>
        <v>111.61597031133351</v>
      </c>
      <c r="O466" s="227">
        <f t="shared" si="185"/>
        <v>113.13200140253873</v>
      </c>
      <c r="P466" s="227">
        <f t="shared" si="186"/>
        <v>21.523614639509717</v>
      </c>
      <c r="Q466" s="227">
        <f t="shared" si="170"/>
        <v>319563.08667214628</v>
      </c>
      <c r="R466" s="227" t="str">
        <f t="shared" si="173"/>
        <v>0.0945666666666667+9.43700822720831i</v>
      </c>
      <c r="S466" s="227" t="str">
        <f t="shared" si="174"/>
        <v>0.0085-0.0190738415890147i</v>
      </c>
      <c r="T466" s="227" t="str">
        <f t="shared" si="175"/>
        <v>0.00852222151173214-0.0190490558025449i</v>
      </c>
      <c r="U466" s="227" t="str">
        <f t="shared" si="176"/>
        <v>-0.0792444104742944+0.147326557648748i</v>
      </c>
      <c r="V466" s="227">
        <f t="shared" si="187"/>
        <v>-15.530779294108543</v>
      </c>
      <c r="W466" s="227">
        <f t="shared" si="188"/>
        <v>-241.72495976272984</v>
      </c>
      <c r="X466" s="227" t="str">
        <f t="shared" si="177"/>
        <v>0.273809305860056-0.250947182877456i</v>
      </c>
      <c r="Y466" s="227" t="str">
        <f t="shared" si="178"/>
        <v>0.021924195896937-2.54488353735171i</v>
      </c>
      <c r="Z466" s="227" t="str">
        <f t="shared" si="179"/>
        <v>-0.329445232265202-0.365734820570374i</v>
      </c>
      <c r="AA466" s="227" t="str">
        <f t="shared" si="180"/>
        <v>-1.43291644018845+0.934675713932193i</v>
      </c>
      <c r="AB466" s="227">
        <f t="shared" si="189"/>
        <v>4.6640316832254189</v>
      </c>
      <c r="AC466" s="227">
        <f t="shared" si="190"/>
        <v>-213.11597031133351</v>
      </c>
      <c r="AD466" s="229">
        <f t="shared" si="191"/>
        <v>-26.187646322735134</v>
      </c>
      <c r="AE466" s="229">
        <f t="shared" si="192"/>
        <v>99.983968908794779</v>
      </c>
      <c r="AF466" s="227">
        <f t="shared" si="181"/>
        <v>-21.523614639509717</v>
      </c>
      <c r="AG466" s="227">
        <f t="shared" si="182"/>
        <v>-113.13200140253873</v>
      </c>
      <c r="AH466" s="229" t="str">
        <f t="shared" si="183"/>
        <v>0.00850350970771347-0.0483048292656282i</v>
      </c>
    </row>
    <row r="467" spans="9:34" x14ac:dyDescent="0.2">
      <c r="I467" s="227">
        <v>463</v>
      </c>
      <c r="J467" s="227">
        <f t="shared" si="171"/>
        <v>5.5143067299007145</v>
      </c>
      <c r="K467" s="227">
        <f t="shared" si="169"/>
        <v>326818.57338817505</v>
      </c>
      <c r="L467" s="227">
        <f t="shared" si="184"/>
        <v>2053461.6584259749</v>
      </c>
      <c r="M467" s="227">
        <f t="shared" si="172"/>
        <v>328418.63072649797</v>
      </c>
      <c r="N467" s="227">
        <f>SQRT((ABS(AC467)-171.5+'Small Signal'!C$59)^2)</f>
        <v>114.70074248836124</v>
      </c>
      <c r="O467" s="227">
        <f t="shared" si="185"/>
        <v>116.4339465346726</v>
      </c>
      <c r="P467" s="227">
        <f t="shared" si="186"/>
        <v>21.602258140540478</v>
      </c>
      <c r="Q467" s="227">
        <f t="shared" si="170"/>
        <v>326818.57338817505</v>
      </c>
      <c r="R467" s="227" t="str">
        <f t="shared" si="173"/>
        <v>0.0945666666666667+9.65126979460208i</v>
      </c>
      <c r="S467" s="227" t="str">
        <f t="shared" si="174"/>
        <v>0.0085-0.0186503956298759i</v>
      </c>
      <c r="T467" s="227" t="str">
        <f t="shared" si="175"/>
        <v>0.00852100364110282-0.0186261618304945i</v>
      </c>
      <c r="U467" s="227" t="str">
        <f t="shared" si="176"/>
        <v>-0.0787487524105104+0.144060679053966i</v>
      </c>
      <c r="V467" s="227">
        <f t="shared" si="187"/>
        <v>-15.693631570569282</v>
      </c>
      <c r="W467" s="227">
        <f t="shared" si="188"/>
        <v>-241.33739599173668</v>
      </c>
      <c r="X467" s="227" t="str">
        <f t="shared" si="177"/>
        <v>0.240459520629462-0.256644786974202i</v>
      </c>
      <c r="Y467" s="227" t="str">
        <f t="shared" si="178"/>
        <v>0.0209614143186642-2.48838389653613i</v>
      </c>
      <c r="Z467" s="227" t="str">
        <f t="shared" si="179"/>
        <v>-0.329946240430955-0.31439898198702i</v>
      </c>
      <c r="AA467" s="227" t="str">
        <f t="shared" si="180"/>
        <v>-1.39821479732285+1.02336636062113i</v>
      </c>
      <c r="AB467" s="227">
        <f t="shared" si="189"/>
        <v>4.7745167450456156</v>
      </c>
      <c r="AC467" s="227">
        <f t="shared" si="190"/>
        <v>-216.20074248836124</v>
      </c>
      <c r="AD467" s="229">
        <f t="shared" si="191"/>
        <v>-26.376774885586094</v>
      </c>
      <c r="AE467" s="229">
        <f t="shared" si="192"/>
        <v>99.766795953688643</v>
      </c>
      <c r="AF467" s="227">
        <f t="shared" si="181"/>
        <v>-21.602258140540478</v>
      </c>
      <c r="AG467" s="227">
        <f t="shared" si="182"/>
        <v>-116.4339465346726</v>
      </c>
      <c r="AH467" s="229" t="str">
        <f t="shared" si="183"/>
        <v>0.00814114409230304-0.047295594919775i</v>
      </c>
    </row>
    <row r="468" spans="9:34" x14ac:dyDescent="0.2">
      <c r="I468" s="227">
        <v>464</v>
      </c>
      <c r="J468" s="227">
        <f t="shared" si="171"/>
        <v>5.5240568524274973</v>
      </c>
      <c r="K468" s="227">
        <f t="shared" si="169"/>
        <v>334238.79154435318</v>
      </c>
      <c r="L468" s="227">
        <f t="shared" si="184"/>
        <v>2100084.2641209406</v>
      </c>
      <c r="M468" s="227">
        <f t="shared" si="172"/>
        <v>336007.32045060099</v>
      </c>
      <c r="N468" s="227">
        <f>SQRT((ABS(AC468)-171.5+'Small Signal'!C$59)^2)</f>
        <v>117.97993315776378</v>
      </c>
      <c r="O468" s="227">
        <f t="shared" si="185"/>
        <v>119.92577363045433</v>
      </c>
      <c r="P468" s="227">
        <f t="shared" si="186"/>
        <v>21.706916964953983</v>
      </c>
      <c r="Q468" s="227">
        <f t="shared" si="170"/>
        <v>334238.79154435318</v>
      </c>
      <c r="R468" s="227" t="str">
        <f t="shared" si="173"/>
        <v>0.0945666666666667+9.87039604136842i</v>
      </c>
      <c r="S468" s="227" t="str">
        <f t="shared" si="174"/>
        <v>0.0085-0.0182363503192365i</v>
      </c>
      <c r="T468" s="227" t="str">
        <f t="shared" si="175"/>
        <v>0.00851983924433564-0.0182126561396989i</v>
      </c>
      <c r="U468" s="227" t="str">
        <f t="shared" si="176"/>
        <v>-0.0782748578674967+0.14086698994847i</v>
      </c>
      <c r="V468" s="227">
        <f t="shared" si="187"/>
        <v>-15.855203205776744</v>
      </c>
      <c r="W468" s="227">
        <f t="shared" si="188"/>
        <v>-240.94060376881259</v>
      </c>
      <c r="X468" s="227" t="str">
        <f t="shared" si="177"/>
        <v>0.205578170502901-0.262471751727924i</v>
      </c>
      <c r="Y468" s="227" t="str">
        <f t="shared" si="178"/>
        <v>0.0200409182048393-2.43313871953817i</v>
      </c>
      <c r="Z468" s="227" t="str">
        <f t="shared" si="179"/>
        <v>-0.330425244248193-0.263221723239896i</v>
      </c>
      <c r="AA468" s="227" t="str">
        <f t="shared" si="180"/>
        <v>-1.35049581674528+1.11246867299695i</v>
      </c>
      <c r="AB468" s="227">
        <f t="shared" si="189"/>
        <v>4.8592369523569356</v>
      </c>
      <c r="AC468" s="227">
        <f t="shared" si="190"/>
        <v>-219.47993315776378</v>
      </c>
      <c r="AD468" s="229">
        <f t="shared" si="191"/>
        <v>-26.56615391731092</v>
      </c>
      <c r="AE468" s="229">
        <f t="shared" si="192"/>
        <v>99.554159527309452</v>
      </c>
      <c r="AF468" s="227">
        <f t="shared" si="181"/>
        <v>-21.706916964953983</v>
      </c>
      <c r="AG468" s="227">
        <f t="shared" si="182"/>
        <v>-119.92577363045433</v>
      </c>
      <c r="AH468" s="229" t="str">
        <f t="shared" si="183"/>
        <v>0.00779377063200999-0.0463048092895031i</v>
      </c>
    </row>
    <row r="469" spans="9:34" x14ac:dyDescent="0.2">
      <c r="I469" s="227">
        <v>465</v>
      </c>
      <c r="J469" s="227">
        <f t="shared" si="171"/>
        <v>5.5338069749542811</v>
      </c>
      <c r="K469" s="227">
        <f t="shared" ref="K469:K504" si="193">10^(J469)</f>
        <v>341827.48126845621</v>
      </c>
      <c r="L469" s="227">
        <f t="shared" si="184"/>
        <v>2147765.4078961695</v>
      </c>
      <c r="M469" s="227">
        <f t="shared" si="172"/>
        <v>343768.3067877405</v>
      </c>
      <c r="N469" s="227">
        <f>SQRT((ABS(AC469)-171.5+'Small Signal'!C$59)^2)</f>
        <v>121.44082166974098</v>
      </c>
      <c r="O469" s="227">
        <f t="shared" si="185"/>
        <v>123.59484489430574</v>
      </c>
      <c r="P469" s="227">
        <f t="shared" si="186"/>
        <v>21.84286147773356</v>
      </c>
      <c r="Q469" s="227">
        <f t="shared" ref="Q469:Q504" si="194">K469</f>
        <v>341827.48126845621</v>
      </c>
      <c r="R469" s="227" t="str">
        <f t="shared" si="173"/>
        <v>0.0945666666666667+10.094497417112i</v>
      </c>
      <c r="S469" s="227" t="str">
        <f t="shared" si="174"/>
        <v>0.0085-0.0178314969594095i</v>
      </c>
      <c r="T469" s="227" t="str">
        <f t="shared" si="175"/>
        <v>0.00851872597352677-0.0178083303143842i</v>
      </c>
      <c r="U469" s="227" t="str">
        <f t="shared" si="176"/>
        <v>-0.0778217712351105+0.137743908167802i</v>
      </c>
      <c r="V469" s="227">
        <f t="shared" si="187"/>
        <v>-16.015458771412284</v>
      </c>
      <c r="W469" s="227">
        <f t="shared" si="188"/>
        <v>-240.53466693428322</v>
      </c>
      <c r="X469" s="227" t="str">
        <f t="shared" si="177"/>
        <v>0.169094919464271-0.268431014194144i</v>
      </c>
      <c r="Y469" s="227" t="str">
        <f t="shared" si="178"/>
        <v>0.0191608498783203-2.37912014693203i</v>
      </c>
      <c r="Z469" s="227" t="str">
        <f t="shared" si="179"/>
        <v>-0.330883210409491-0.21217724160504i</v>
      </c>
      <c r="AA469" s="227" t="str">
        <f t="shared" si="180"/>
        <v>-1.28881594927092+1.19935398971845i</v>
      </c>
      <c r="AB469" s="227">
        <f t="shared" si="189"/>
        <v>4.91291156405702</v>
      </c>
      <c r="AC469" s="227">
        <f t="shared" si="190"/>
        <v>-222.94082166974098</v>
      </c>
      <c r="AD469" s="229">
        <f t="shared" si="191"/>
        <v>-26.755773041790579</v>
      </c>
      <c r="AE469" s="229">
        <f t="shared" si="192"/>
        <v>99.345976775435247</v>
      </c>
      <c r="AF469" s="227">
        <f t="shared" si="181"/>
        <v>-21.84286147773356</v>
      </c>
      <c r="AG469" s="227">
        <f t="shared" si="182"/>
        <v>-123.59484489430574</v>
      </c>
      <c r="AH469" s="229" t="str">
        <f t="shared" si="183"/>
        <v>0.00746080667435407-0.0453323044417243i</v>
      </c>
    </row>
    <row r="470" spans="9:34" x14ac:dyDescent="0.2">
      <c r="I470" s="227">
        <v>466</v>
      </c>
      <c r="J470" s="227">
        <f t="shared" si="171"/>
        <v>5.543557097481064</v>
      </c>
      <c r="K470" s="227">
        <f t="shared" si="193"/>
        <v>349588.46760559571</v>
      </c>
      <c r="L470" s="227">
        <f t="shared" si="184"/>
        <v>2196529.1232189056</v>
      </c>
      <c r="M470" s="227">
        <f t="shared" si="172"/>
        <v>351705.50162836764</v>
      </c>
      <c r="N470" s="227">
        <f>SQRT((ABS(AC470)-171.5+'Small Signal'!C$59)^2)</f>
        <v>125.06264057295556</v>
      </c>
      <c r="O470" s="227">
        <f t="shared" si="185"/>
        <v>127.42047498189105</v>
      </c>
      <c r="P470" s="227">
        <f t="shared" si="186"/>
        <v>22.015270402915625</v>
      </c>
      <c r="Q470" s="227">
        <f t="shared" si="194"/>
        <v>349588.46760559571</v>
      </c>
      <c r="R470" s="227" t="str">
        <f t="shared" si="173"/>
        <v>0.0945666666666667+10.3236868791289i</v>
      </c>
      <c r="S470" s="227" t="str">
        <f t="shared" si="174"/>
        <v>0.0085-0.0174356314858698i</v>
      </c>
      <c r="T470" s="227" t="str">
        <f t="shared" si="175"/>
        <v>0.00851766158386226-0.0174129805652009i</v>
      </c>
      <c r="U470" s="227" t="str">
        <f t="shared" si="176"/>
        <v>-0.0773885788637761+0.134689885338439i</v>
      </c>
      <c r="V470" s="227">
        <f t="shared" si="187"/>
        <v>-16.174362464942728</v>
      </c>
      <c r="W470" s="227">
        <f t="shared" si="188"/>
        <v>-240.11967740236844</v>
      </c>
      <c r="X470" s="227" t="str">
        <f t="shared" si="177"/>
        <v>0.130936201366552-0.274525578112453i</v>
      </c>
      <c r="Y470" s="227" t="str">
        <f t="shared" si="178"/>
        <v>0.0183194333156211-2.32630093842393i</v>
      </c>
      <c r="Z470" s="227" t="str">
        <f t="shared" si="179"/>
        <v>-0.331321063116605-0.161239801743026i</v>
      </c>
      <c r="AA470" s="227" t="str">
        <f t="shared" si="180"/>
        <v>-1.21291092301347+1.28094323255032i</v>
      </c>
      <c r="AB470" s="227">
        <f t="shared" si="189"/>
        <v>4.9303518843757166</v>
      </c>
      <c r="AC470" s="227">
        <f t="shared" si="190"/>
        <v>-226.56264057295556</v>
      </c>
      <c r="AD470" s="229">
        <f t="shared" si="191"/>
        <v>-26.945622287291343</v>
      </c>
      <c r="AE470" s="229">
        <f t="shared" si="192"/>
        <v>99.142165591064511</v>
      </c>
      <c r="AF470" s="227">
        <f t="shared" si="181"/>
        <v>-22.015270402915625</v>
      </c>
      <c r="AG470" s="227">
        <f t="shared" si="182"/>
        <v>-127.42047498189105</v>
      </c>
      <c r="AH470" s="229" t="str">
        <f t="shared" si="183"/>
        <v>0.00714168905258947-0.0443779020629724i</v>
      </c>
    </row>
    <row r="471" spans="9:34" x14ac:dyDescent="0.2">
      <c r="I471" s="227">
        <v>467</v>
      </c>
      <c r="J471" s="227">
        <f t="shared" si="171"/>
        <v>5.5533072200078477</v>
      </c>
      <c r="K471" s="227">
        <f t="shared" si="193"/>
        <v>357525.66244622285</v>
      </c>
      <c r="L471" s="227">
        <f t="shared" si="184"/>
        <v>2246399.9892217559</v>
      </c>
      <c r="M471" s="227">
        <f t="shared" si="172"/>
        <v>359822.9056800417</v>
      </c>
      <c r="N471" s="227">
        <f>SQRT((ABS(AC471)-171.5+'Small Signal'!C$59)^2)</f>
        <v>128.81627037393949</v>
      </c>
      <c r="O471" s="227">
        <f t="shared" si="185"/>
        <v>131.37362571218111</v>
      </c>
      <c r="P471" s="227">
        <f t="shared" si="186"/>
        <v>22.228874407231601</v>
      </c>
      <c r="Q471" s="227">
        <f t="shared" si="194"/>
        <v>357525.66244622285</v>
      </c>
      <c r="R471" s="227" t="str">
        <f t="shared" si="173"/>
        <v>0.0945666666666667+10.5580799493423i</v>
      </c>
      <c r="S471" s="227" t="str">
        <f t="shared" si="174"/>
        <v>0.0085-0.0170485543643959i</v>
      </c>
      <c r="T471" s="227" t="str">
        <f t="shared" si="175"/>
        <v>0.00851664392909162-0.017026407626546i</v>
      </c>
      <c r="U471" s="227" t="str">
        <f t="shared" si="176"/>
        <v>-0.0769744072219293+0.131703406214538i</v>
      </c>
      <c r="V471" s="227">
        <f t="shared" si="187"/>
        <v>-16.331878171233186</v>
      </c>
      <c r="W471" s="227">
        <f t="shared" si="188"/>
        <v>-239.69573548122725</v>
      </c>
      <c r="X471" s="227" t="str">
        <f t="shared" si="177"/>
        <v>0.091025071590325-0.280758515420536i</v>
      </c>
      <c r="Y471" s="227" t="str">
        <f t="shared" si="178"/>
        <v>0.017514970554184-2.27465445906532i</v>
      </c>
      <c r="Z471" s="227" t="str">
        <f t="shared" si="179"/>
        <v>-0.331739685950041-0.110383722697312i</v>
      </c>
      <c r="AA471" s="227" t="str">
        <f t="shared" si="180"/>
        <v>-1.12340232728657+1.35392676241327i</v>
      </c>
      <c r="AB471" s="227">
        <f t="shared" si="189"/>
        <v>4.9068176656123077</v>
      </c>
      <c r="AC471" s="227">
        <f t="shared" si="190"/>
        <v>-230.31627037393949</v>
      </c>
      <c r="AD471" s="229">
        <f t="shared" si="191"/>
        <v>-27.135692072843909</v>
      </c>
      <c r="AE471" s="229">
        <f t="shared" si="192"/>
        <v>98.942644661758379</v>
      </c>
      <c r="AF471" s="227">
        <f t="shared" si="181"/>
        <v>-22.228874407231601</v>
      </c>
      <c r="AG471" s="227">
        <f t="shared" si="182"/>
        <v>-131.37362571218111</v>
      </c>
      <c r="AH471" s="229" t="str">
        <f t="shared" si="183"/>
        <v>0.00683587370601533-0.0434414144464762i</v>
      </c>
    </row>
    <row r="472" spans="9:34" x14ac:dyDescent="0.2">
      <c r="I472" s="227">
        <v>468</v>
      </c>
      <c r="J472" s="227">
        <f t="shared" si="171"/>
        <v>5.5630573425346315</v>
      </c>
      <c r="K472" s="227">
        <f t="shared" si="193"/>
        <v>365643.06649789691</v>
      </c>
      <c r="L472" s="227">
        <f t="shared" si="184"/>
        <v>2297403.1430916744</v>
      </c>
      <c r="M472" s="227">
        <f t="shared" si="172"/>
        <v>368124.61048396683</v>
      </c>
      <c r="N472" s="227">
        <f>SQRT((ABS(AC472)-171.5+'Small Signal'!C$59)^2)</f>
        <v>132.66478511296737</v>
      </c>
      <c r="O472" s="227">
        <f t="shared" si="185"/>
        <v>135.41745160048191</v>
      </c>
      <c r="P472" s="227">
        <f t="shared" si="186"/>
        <v>22.487565348219313</v>
      </c>
      <c r="Q472" s="227">
        <f t="shared" si="194"/>
        <v>365643.06649789691</v>
      </c>
      <c r="R472" s="227" t="str">
        <f t="shared" si="173"/>
        <v>0.0945666666666667+10.7977947725309i</v>
      </c>
      <c r="S472" s="227" t="str">
        <f t="shared" si="174"/>
        <v>0.0085-0.0166700704904961i</v>
      </c>
      <c r="T472" s="227" t="str">
        <f t="shared" si="175"/>
        <v>0.00851567095720032-0.0166484166561643i</v>
      </c>
      <c r="U472" s="227" t="str">
        <f t="shared" si="176"/>
        <v>-0.0765784211343884+0.12878298802376i</v>
      </c>
      <c r="V472" s="227">
        <f t="shared" si="187"/>
        <v>-16.487969528304451</v>
      </c>
      <c r="W472" s="227">
        <f t="shared" si="188"/>
        <v>-239.26295017757258</v>
      </c>
      <c r="X472" s="227" t="str">
        <f t="shared" si="177"/>
        <v>0.049281051889881-0.287132967802564i</v>
      </c>
      <c r="Y472" s="227" t="str">
        <f t="shared" si="178"/>
        <v>0.0167458382580717-2.22415466577499i</v>
      </c>
      <c r="Z472" s="227" t="str">
        <f t="shared" si="179"/>
        <v>-0.332139923656219-0.0595833649220379i</v>
      </c>
      <c r="AA472" s="227" t="str">
        <f t="shared" si="180"/>
        <v>-1.02191481630024+1.41508583607688i</v>
      </c>
      <c r="AB472" s="227">
        <f t="shared" si="189"/>
        <v>4.8384078466776721</v>
      </c>
      <c r="AC472" s="227">
        <f t="shared" si="190"/>
        <v>-234.16478511296737</v>
      </c>
      <c r="AD472" s="229">
        <f t="shared" si="191"/>
        <v>-27.325973194896985</v>
      </c>
      <c r="AE472" s="229">
        <f t="shared" si="192"/>
        <v>98.74733351248544</v>
      </c>
      <c r="AF472" s="227">
        <f t="shared" si="181"/>
        <v>-22.487565348219313</v>
      </c>
      <c r="AG472" s="227">
        <f t="shared" si="182"/>
        <v>-135.41745160048191</v>
      </c>
      <c r="AH472" s="229" t="str">
        <f t="shared" si="183"/>
        <v>0.00654283528174191-0.0425226454237835i</v>
      </c>
    </row>
    <row r="473" spans="9:34" x14ac:dyDescent="0.2">
      <c r="I473" s="227">
        <v>469</v>
      </c>
      <c r="J473" s="227">
        <f t="shared" si="171"/>
        <v>5.5728074650614143</v>
      </c>
      <c r="K473" s="227">
        <f t="shared" si="193"/>
        <v>373944.77130182204</v>
      </c>
      <c r="L473" s="227">
        <f t="shared" si="184"/>
        <v>2349564.2927402388</v>
      </c>
      <c r="M473" s="227">
        <f t="shared" si="172"/>
        <v>376614.80047731893</v>
      </c>
      <c r="N473" s="227">
        <f>SQRT((ABS(AC473)-171.5+'Small Signal'!C$59)^2)</f>
        <v>136.56497181187041</v>
      </c>
      <c r="O473" s="227">
        <f t="shared" si="185"/>
        <v>139.50881926764467</v>
      </c>
      <c r="P473" s="227">
        <f t="shared" si="186"/>
        <v>22.794028071205062</v>
      </c>
      <c r="Q473" s="227">
        <f t="shared" si="194"/>
        <v>373944.77130182204</v>
      </c>
      <c r="R473" s="227" t="str">
        <f t="shared" si="173"/>
        <v>0.0945666666666667+11.0429521758791i</v>
      </c>
      <c r="S473" s="227" t="str">
        <f t="shared" si="174"/>
        <v>0.0085-0.0162999890910666i</v>
      </c>
      <c r="T473" s="227" t="str">
        <f t="shared" si="175"/>
        <v>0.00851474070627215-0.016278817136975i</v>
      </c>
      <c r="U473" s="227" t="str">
        <f t="shared" si="176"/>
        <v>-0.0761998220980764+0.125927179822295i</v>
      </c>
      <c r="V473" s="227">
        <f t="shared" si="187"/>
        <v>-16.642599997203952</v>
      </c>
      <c r="W473" s="227">
        <f t="shared" si="188"/>
        <v>-238.82143948332248</v>
      </c>
      <c r="X473" s="227" t="str">
        <f t="shared" si="177"/>
        <v>0.00561996811397703-0.29365214827275i</v>
      </c>
      <c r="Y473" s="227" t="str">
        <f t="shared" si="178"/>
        <v>0.0160104844350307-2.1747760941629i</v>
      </c>
      <c r="Z473" s="227" t="str">
        <f t="shared" si="179"/>
        <v>-0.332522583855854-0.00881311733246845i</v>
      </c>
      <c r="AA473" s="227" t="str">
        <f t="shared" si="180"/>
        <v>-0.911049596565417+1.46166977612778i</v>
      </c>
      <c r="AB473" s="227">
        <f t="shared" si="189"/>
        <v>4.7224287430522818</v>
      </c>
      <c r="AC473" s="227">
        <f t="shared" si="190"/>
        <v>-238.06497181187041</v>
      </c>
      <c r="AD473" s="229">
        <f t="shared" si="191"/>
        <v>-27.516456814257346</v>
      </c>
      <c r="AE473" s="229">
        <f t="shared" si="192"/>
        <v>98.556152544225739</v>
      </c>
      <c r="AF473" s="227">
        <f t="shared" si="181"/>
        <v>-22.794028071205062</v>
      </c>
      <c r="AG473" s="227">
        <f t="shared" si="182"/>
        <v>-139.50881926764467</v>
      </c>
      <c r="AH473" s="229" t="str">
        <f t="shared" si="183"/>
        <v>0.0062620667210966-0.0416213912428818i</v>
      </c>
    </row>
    <row r="474" spans="9:34" x14ac:dyDescent="0.2">
      <c r="I474" s="227">
        <v>470</v>
      </c>
      <c r="J474" s="227">
        <f t="shared" si="171"/>
        <v>5.5825575875881981</v>
      </c>
      <c r="K474" s="227">
        <f t="shared" si="193"/>
        <v>382434.96129517414</v>
      </c>
      <c r="L474" s="227">
        <f t="shared" si="184"/>
        <v>2402909.7297616317</v>
      </c>
      <c r="M474" s="227">
        <f t="shared" si="172"/>
        <v>385297.75510238996</v>
      </c>
      <c r="N474" s="227">
        <f>SQRT((ABS(AC474)-171.5+'Small Signal'!C$59)^2)</f>
        <v>140.46974918017264</v>
      </c>
      <c r="O474" s="227">
        <f t="shared" si="185"/>
        <v>143.60072611159561</v>
      </c>
      <c r="P474" s="227">
        <f t="shared" si="186"/>
        <v>23.149460869750502</v>
      </c>
      <c r="Q474" s="227">
        <f t="shared" si="194"/>
        <v>382434.96129517414</v>
      </c>
      <c r="R474" s="227" t="str">
        <f t="shared" si="173"/>
        <v>0.0945666666666667+11.2936757298797i</v>
      </c>
      <c r="S474" s="227" t="str">
        <f t="shared" si="174"/>
        <v>0.0085-0.0159381236282333i</v>
      </c>
      <c r="T474" s="227" t="str">
        <f t="shared" si="175"/>
        <v>0.00851385130053334-0.0159174227810776i</v>
      </c>
      <c r="U474" s="227" t="str">
        <f t="shared" si="176"/>
        <v>-0.0758378466717145+0.123134561859274i</v>
      </c>
      <c r="V474" s="227">
        <f t="shared" si="187"/>
        <v>-16.795732935919105</v>
      </c>
      <c r="W474" s="227">
        <f t="shared" si="188"/>
        <v>-238.37133064169399</v>
      </c>
      <c r="X474" s="227" t="str">
        <f t="shared" si="177"/>
        <v>-0.0400462195259901-0.30031934279485i</v>
      </c>
      <c r="Y474" s="227" t="str">
        <f t="shared" si="178"/>
        <v>0.0153074252982259-2.12649384564887i</v>
      </c>
      <c r="Z474" s="227" t="str">
        <f t="shared" si="179"/>
        <v>-0.332888438677046+0.0419526156285599i</v>
      </c>
      <c r="AA474" s="227" t="str">
        <f t="shared" si="180"/>
        <v>-0.794189133568274+1.49175193004834i</v>
      </c>
      <c r="AB474" s="227">
        <f t="shared" si="189"/>
        <v>4.5576735735762588</v>
      </c>
      <c r="AC474" s="227">
        <f t="shared" si="190"/>
        <v>-241.96974918017264</v>
      </c>
      <c r="AD474" s="229">
        <f t="shared" si="191"/>
        <v>-27.707134443326762</v>
      </c>
      <c r="AE474" s="229">
        <f t="shared" si="192"/>
        <v>98.369023068577036</v>
      </c>
      <c r="AF474" s="227">
        <f t="shared" si="181"/>
        <v>-23.149460869750502</v>
      </c>
      <c r="AG474" s="227">
        <f t="shared" si="182"/>
        <v>-143.60072611159561</v>
      </c>
      <c r="AH474" s="229" t="str">
        <f t="shared" si="183"/>
        <v>0.0059930788335818-0.0407374413948001i</v>
      </c>
    </row>
    <row r="475" spans="9:34" x14ac:dyDescent="0.2">
      <c r="I475" s="227">
        <v>471</v>
      </c>
      <c r="J475" s="227">
        <f t="shared" si="171"/>
        <v>5.592307710114981</v>
      </c>
      <c r="K475" s="227">
        <f t="shared" si="193"/>
        <v>391117.91592024517</v>
      </c>
      <c r="L475" s="227">
        <f t="shared" si="184"/>
        <v>2457466.3426847854</v>
      </c>
      <c r="M475" s="227">
        <f t="shared" si="172"/>
        <v>394177.85096362373</v>
      </c>
      <c r="N475" s="227">
        <f>SQRT((ABS(AC475)-171.5+'Small Signal'!C$59)^2)</f>
        <v>144.33118806261334</v>
      </c>
      <c r="O475" s="227">
        <f t="shared" si="185"/>
        <v>147.64532072401235</v>
      </c>
      <c r="P475" s="227">
        <f t="shared" si="186"/>
        <v>23.553441667245121</v>
      </c>
      <c r="Q475" s="227">
        <f t="shared" si="194"/>
        <v>391117.91592024517</v>
      </c>
      <c r="R475" s="227" t="str">
        <f t="shared" si="173"/>
        <v>0.0945666666666667+11.5500918106185i</v>
      </c>
      <c r="S475" s="227" t="str">
        <f t="shared" si="174"/>
        <v>0.0085-0.0155842917053281i</v>
      </c>
      <c r="T475" s="227" t="str">
        <f t="shared" si="175"/>
        <v>0.00851300094657029-0.0155640514358858i</v>
      </c>
      <c r="U475" s="227" t="str">
        <f t="shared" si="176"/>
        <v>-0.0754917649362242+0.120403744950647i</v>
      </c>
      <c r="V475" s="227">
        <f t="shared" si="187"/>
        <v>-16.947331677230558</v>
      </c>
      <c r="W475" s="227">
        <f t="shared" si="188"/>
        <v>-237.91276039009739</v>
      </c>
      <c r="X475" s="227" t="str">
        <f t="shared" si="177"/>
        <v>-0.0878095939825401-0.307137911938444i</v>
      </c>
      <c r="Y475" s="227" t="str">
        <f t="shared" si="178"/>
        <v>0.0146352422662364-2.07928357486953i</v>
      </c>
      <c r="Z475" s="227" t="str">
        <f t="shared" si="179"/>
        <v>-0.333238226316419+0.0927394269146938i</v>
      </c>
      <c r="AA475" s="227" t="str">
        <f t="shared" si="180"/>
        <v>-0.675155384192063+1.50447859400807i</v>
      </c>
      <c r="AB475" s="227">
        <f t="shared" si="189"/>
        <v>4.3445562663973512</v>
      </c>
      <c r="AC475" s="227">
        <f t="shared" si="190"/>
        <v>-245.83118806261334</v>
      </c>
      <c r="AD475" s="229">
        <f t="shared" si="191"/>
        <v>-27.897997933642472</v>
      </c>
      <c r="AE475" s="229">
        <f t="shared" si="192"/>
        <v>98.185867338600985</v>
      </c>
      <c r="AF475" s="227">
        <f t="shared" si="181"/>
        <v>-23.553441667245121</v>
      </c>
      <c r="AG475" s="227">
        <f t="shared" si="182"/>
        <v>-147.64532072401235</v>
      </c>
      <c r="AH475" s="229" t="str">
        <f t="shared" si="183"/>
        <v>0.00573539986104563-0.0398705793907048i</v>
      </c>
    </row>
    <row r="476" spans="9:34" x14ac:dyDescent="0.2">
      <c r="I476" s="227">
        <v>472</v>
      </c>
      <c r="J476" s="227">
        <f t="shared" si="171"/>
        <v>5.6020578326417656</v>
      </c>
      <c r="K476" s="227">
        <f t="shared" si="193"/>
        <v>399998.01178147894</v>
      </c>
      <c r="L476" s="227">
        <f t="shared" si="184"/>
        <v>2513261.6305264356</v>
      </c>
      <c r="M476" s="227">
        <f t="shared" si="172"/>
        <v>403259.5640336182</v>
      </c>
      <c r="N476" s="227">
        <f>SQRT((ABS(AC476)-171.5+'Small Signal'!C$59)^2)</f>
        <v>148.10366969595583</v>
      </c>
      <c r="O476" s="227">
        <f t="shared" si="185"/>
        <v>151.59706111982166</v>
      </c>
      <c r="P476" s="227">
        <f t="shared" si="186"/>
        <v>24.003969134313984</v>
      </c>
      <c r="Q476" s="227">
        <f t="shared" si="194"/>
        <v>399998.01178147894</v>
      </c>
      <c r="R476" s="227" t="str">
        <f t="shared" si="173"/>
        <v>0.0945666666666667+11.8123296634742i</v>
      </c>
      <c r="S476" s="227" t="str">
        <f t="shared" si="174"/>
        <v>0.0085-0.0152383149749529i</v>
      </c>
      <c r="T476" s="227" t="str">
        <f t="shared" si="175"/>
        <v>0.00851218792971341-0.0152185249923447i</v>
      </c>
      <c r="U476" s="227" t="str">
        <f t="shared" si="176"/>
        <v>-0.0751608790227463+0.117733369862643i</v>
      </c>
      <c r="V476" s="227">
        <f t="shared" si="187"/>
        <v>-17.097359610360023</v>
      </c>
      <c r="W476" s="227">
        <f t="shared" si="188"/>
        <v>-237.4458751771638</v>
      </c>
      <c r="X476" s="227" t="str">
        <f t="shared" si="177"/>
        <v>-0.13776646705163-0.314111292572812i</v>
      </c>
      <c r="Y476" s="227" t="str">
        <f t="shared" si="178"/>
        <v>0.0139925790953191-2.03312147736679i</v>
      </c>
      <c r="Z476" s="227" t="str">
        <f t="shared" si="179"/>
        <v>-0.333572652531461+0.143572919797516i</v>
      </c>
      <c r="AA476" s="227" t="str">
        <f t="shared" si="180"/>
        <v>-0.557790703697823+1.50014808489829i</v>
      </c>
      <c r="AB476" s="227">
        <f t="shared" si="189"/>
        <v>4.0850703294147976</v>
      </c>
      <c r="AC476" s="227">
        <f t="shared" si="190"/>
        <v>-249.60366969595583</v>
      </c>
      <c r="AD476" s="229">
        <f t="shared" si="191"/>
        <v>-28.089039463728781</v>
      </c>
      <c r="AE476" s="229">
        <f t="shared" si="192"/>
        <v>98.00660857613417</v>
      </c>
      <c r="AF476" s="227">
        <f t="shared" si="181"/>
        <v>-24.003969134313984</v>
      </c>
      <c r="AG476" s="227">
        <f t="shared" si="182"/>
        <v>-151.59706111982166</v>
      </c>
      <c r="AH476" s="229" t="str">
        <f t="shared" si="183"/>
        <v>0.00548857503448329-0.039020583491499i</v>
      </c>
    </row>
    <row r="477" spans="9:34" x14ac:dyDescent="0.2">
      <c r="I477" s="227">
        <v>473</v>
      </c>
      <c r="J477" s="227">
        <f t="shared" si="171"/>
        <v>5.6118079551685485</v>
      </c>
      <c r="K477" s="227">
        <f t="shared" si="193"/>
        <v>409079.72485147341</v>
      </c>
      <c r="L477" s="227">
        <f t="shared" si="184"/>
        <v>2570323.7166518457</v>
      </c>
      <c r="M477" s="227">
        <f t="shared" si="172"/>
        <v>412547.47190922772</v>
      </c>
      <c r="N477" s="227">
        <f>SQRT((ABS(AC477)-171.5+'Small Signal'!C$59)^2)</f>
        <v>151.7466779971582</v>
      </c>
      <c r="O477" s="227">
        <f t="shared" si="185"/>
        <v>155.415507001376</v>
      </c>
      <c r="P477" s="227">
        <f t="shared" si="186"/>
        <v>24.497669659971013</v>
      </c>
      <c r="Q477" s="227">
        <f t="shared" si="194"/>
        <v>409079.72485147341</v>
      </c>
      <c r="R477" s="227" t="str">
        <f t="shared" si="173"/>
        <v>0.0945666666666667+12.0805214682637i</v>
      </c>
      <c r="S477" s="227" t="str">
        <f t="shared" si="174"/>
        <v>0.0085-0.0149000190490843i</v>
      </c>
      <c r="T477" s="227" t="str">
        <f t="shared" si="175"/>
        <v>0.00851141061057974-0.0148806692951839i</v>
      </c>
      <c r="U477" s="227" t="str">
        <f t="shared" si="176"/>
        <v>-0.0748445217052941+0.115122106704866i</v>
      </c>
      <c r="V477" s="227">
        <f t="shared" si="187"/>
        <v>-17.245780266230064</v>
      </c>
      <c r="W477" s="227">
        <f t="shared" si="188"/>
        <v>-236.9708313512443</v>
      </c>
      <c r="X477" s="227" t="str">
        <f t="shared" si="177"/>
        <v>-0.19001757357908-0.32124299959927i</v>
      </c>
      <c r="Y477" s="227" t="str">
        <f t="shared" si="178"/>
        <v>0.0133781391378821-1.98798427755161i</v>
      </c>
      <c r="Z477" s="227" t="str">
        <f t="shared" si="179"/>
        <v>-0.333892392067122+0.194478720791509i</v>
      </c>
      <c r="AA477" s="227" t="str">
        <f t="shared" si="180"/>
        <v>-0.445554775171981+1.48010546709171i</v>
      </c>
      <c r="AB477" s="227">
        <f t="shared" si="189"/>
        <v>3.7825818672918969</v>
      </c>
      <c r="AC477" s="227">
        <f t="shared" si="190"/>
        <v>-253.2466779971582</v>
      </c>
      <c r="AD477" s="229">
        <f t="shared" si="191"/>
        <v>-28.280251527262909</v>
      </c>
      <c r="AE477" s="229">
        <f t="shared" si="192"/>
        <v>97.831170995782188</v>
      </c>
      <c r="AF477" s="227">
        <f t="shared" si="181"/>
        <v>-24.497669659971013</v>
      </c>
      <c r="AG477" s="227">
        <f t="shared" si="182"/>
        <v>-155.415507001376</v>
      </c>
      <c r="AH477" s="229" t="str">
        <f t="shared" si="183"/>
        <v>0.00525216612566545-0.0381872273919442i</v>
      </c>
    </row>
    <row r="478" spans="9:34" x14ac:dyDescent="0.2">
      <c r="I478" s="227">
        <v>474</v>
      </c>
      <c r="J478" s="227">
        <f t="shared" si="171"/>
        <v>5.6215580776953322</v>
      </c>
      <c r="K478" s="227">
        <f t="shared" si="193"/>
        <v>418367.63272708294</v>
      </c>
      <c r="L478" s="227">
        <f t="shared" si="184"/>
        <v>2628681.3629503129</v>
      </c>
      <c r="M478" s="227">
        <f t="shared" si="172"/>
        <v>422046.25611887494</v>
      </c>
      <c r="N478" s="227">
        <f>SQRT((ABS(AC478)-171.5+'Small Signal'!C$59)^2)</f>
        <v>155.22682651170697</v>
      </c>
      <c r="O478" s="227">
        <f t="shared" si="185"/>
        <v>159.06734668590278</v>
      </c>
      <c r="P478" s="227">
        <f t="shared" si="186"/>
        <v>25.030126101987701</v>
      </c>
      <c r="Q478" s="227">
        <f t="shared" si="194"/>
        <v>418367.63272708294</v>
      </c>
      <c r="R478" s="227" t="str">
        <f t="shared" si="173"/>
        <v>0.0945666666666667+12.3548024058665i</v>
      </c>
      <c r="S478" s="227" t="str">
        <f t="shared" si="174"/>
        <v>0.0085-0.0145692334111738i</v>
      </c>
      <c r="T478" s="227" t="str">
        <f t="shared" si="175"/>
        <v>0.0085106674217673-0.0145503140551611i</v>
      </c>
      <c r="U478" s="227" t="str">
        <f t="shared" si="176"/>
        <v>-0.0745420550552064+0.112568654333082i</v>
      </c>
      <c r="V478" s="227">
        <f t="shared" si="187"/>
        <v>-17.392557406109578</v>
      </c>
      <c r="W478" s="227">
        <f t="shared" si="188"/>
        <v>-236.48779531774363</v>
      </c>
      <c r="X478" s="227" t="str">
        <f t="shared" si="177"/>
        <v>-0.24466827458604-0.328536627722849i</v>
      </c>
      <c r="Y478" s="227" t="str">
        <f t="shared" si="178"/>
        <v>0.0127906827217696-1.94384921693694i</v>
      </c>
      <c r="Z478" s="227" t="str">
        <f t="shared" si="179"/>
        <v>-0.334198090019623+0.245482492589726i</v>
      </c>
      <c r="AA478" s="227" t="str">
        <f t="shared" si="180"/>
        <v>-0.34122094936664+1.44649098271916i</v>
      </c>
      <c r="AB478" s="227">
        <f t="shared" si="189"/>
        <v>3.4415008195707641</v>
      </c>
      <c r="AC478" s="227">
        <f t="shared" si="190"/>
        <v>-256.72682651170697</v>
      </c>
      <c r="AD478" s="229">
        <f t="shared" si="191"/>
        <v>-28.471626921558464</v>
      </c>
      <c r="AE478" s="229">
        <f t="shared" si="192"/>
        <v>97.659479825804198</v>
      </c>
      <c r="AF478" s="227">
        <f t="shared" si="181"/>
        <v>-25.030126101987701</v>
      </c>
      <c r="AG478" s="227">
        <f t="shared" si="182"/>
        <v>-159.06734668590278</v>
      </c>
      <c r="AH478" s="229" t="str">
        <f t="shared" si="183"/>
        <v>0.00502575099557717-0.0373702808612985i</v>
      </c>
    </row>
    <row r="479" spans="9:34" x14ac:dyDescent="0.2">
      <c r="I479" s="227">
        <v>475</v>
      </c>
      <c r="J479" s="227">
        <f t="shared" si="171"/>
        <v>5.6313082002221151</v>
      </c>
      <c r="K479" s="227">
        <f t="shared" si="193"/>
        <v>427866.41693673015</v>
      </c>
      <c r="L479" s="227">
        <f t="shared" si="184"/>
        <v>2688363.9843324376</v>
      </c>
      <c r="M479" s="227">
        <f t="shared" si="172"/>
        <v>431760.70448225609</v>
      </c>
      <c r="N479" s="227">
        <f>SQRT((ABS(AC479)-171.5+'Small Signal'!C$59)^2)</f>
        <v>158.5189236810773</v>
      </c>
      <c r="O479" s="227">
        <f t="shared" si="185"/>
        <v>162.52746235499148</v>
      </c>
      <c r="P479" s="227">
        <f t="shared" si="186"/>
        <v>25.596264563934039</v>
      </c>
      <c r="Q479" s="227">
        <f t="shared" si="194"/>
        <v>427866.41693673015</v>
      </c>
      <c r="R479" s="227" t="str">
        <f t="shared" si="173"/>
        <v>0.0945666666666667+12.6353107263625i</v>
      </c>
      <c r="S479" s="227" t="str">
        <f t="shared" si="174"/>
        <v>0.0085-0.0142457913302002i</v>
      </c>
      <c r="T479" s="227" t="str">
        <f t="shared" si="175"/>
        <v>0.00850995686469469-0.0142272927632535i</v>
      </c>
      <c r="U479" s="227" t="str">
        <f t="shared" si="176"/>
        <v>-0.0742528691546947+0.110071739761739i</v>
      </c>
      <c r="V479" s="227">
        <f t="shared" si="187"/>
        <v>-17.537655113375429</v>
      </c>
      <c r="W479" s="227">
        <f t="shared" si="188"/>
        <v>-235.99694366270893</v>
      </c>
      <c r="X479" s="227" t="str">
        <f t="shared" si="177"/>
        <v>-0.30182876972285-0.335995853264181i</v>
      </c>
      <c r="Y479" s="227" t="str">
        <f t="shared" si="178"/>
        <v>0.0122290246449786-1.90069404263326i</v>
      </c>
      <c r="Z479" s="227" t="str">
        <f t="shared" si="179"/>
        <v>-0.334490363140131+0.296609947016432i</v>
      </c>
      <c r="AA479" s="227" t="str">
        <f t="shared" si="180"/>
        <v>-0.246717905238098+1.40191420193296i</v>
      </c>
      <c r="AB479" s="227">
        <f t="shared" si="189"/>
        <v>3.0668941724346195</v>
      </c>
      <c r="AC479" s="227">
        <f t="shared" si="190"/>
        <v>-260.0189236810773</v>
      </c>
      <c r="AD479" s="229">
        <f t="shared" si="191"/>
        <v>-28.663158736368658</v>
      </c>
      <c r="AE479" s="229">
        <f t="shared" si="192"/>
        <v>97.491461326085798</v>
      </c>
      <c r="AF479" s="227">
        <f t="shared" si="181"/>
        <v>-25.596264563934039</v>
      </c>
      <c r="AG479" s="227">
        <f t="shared" si="182"/>
        <v>-162.52746235499148</v>
      </c>
      <c r="AH479" s="229" t="str">
        <f t="shared" si="183"/>
        <v>0.0048089231414544-0.036569510342442i</v>
      </c>
    </row>
    <row r="480" spans="9:34" x14ac:dyDescent="0.2">
      <c r="I480" s="227">
        <v>476</v>
      </c>
      <c r="J480" s="227">
        <f t="shared" si="171"/>
        <v>5.6410583227488988</v>
      </c>
      <c r="K480" s="227">
        <f t="shared" si="193"/>
        <v>437580.8653001113</v>
      </c>
      <c r="L480" s="227">
        <f t="shared" si="184"/>
        <v>2749401.6635565888</v>
      </c>
      <c r="M480" s="227">
        <f t="shared" si="172"/>
        <v>441695.71352361655</v>
      </c>
      <c r="N480" s="227">
        <f>SQRT((ABS(AC480)-171.5+'Small Signal'!C$59)^2)</f>
        <v>161.60610048420597</v>
      </c>
      <c r="O480" s="227">
        <f t="shared" si="185"/>
        <v>165.77905768081527</v>
      </c>
      <c r="P480" s="227">
        <f t="shared" si="186"/>
        <v>26.190735410947205</v>
      </c>
      <c r="Q480" s="227">
        <f t="shared" si="194"/>
        <v>437580.8653001113</v>
      </c>
      <c r="R480" s="227" t="str">
        <f t="shared" si="173"/>
        <v>0.0945666666666667+12.922187818716i</v>
      </c>
      <c r="S480" s="227" t="str">
        <f t="shared" si="174"/>
        <v>0.0085-0.0139295297766293i</v>
      </c>
      <c r="T480" s="227" t="str">
        <f t="shared" si="175"/>
        <v>0.00850927750657933-0.013911442606753i</v>
      </c>
      <c r="U480" s="227" t="str">
        <f t="shared" si="176"/>
        <v>-0.0739763808668761+0.107630117586223i</v>
      </c>
      <c r="V480" s="227">
        <f t="shared" si="187"/>
        <v>-17.681037888079125</v>
      </c>
      <c r="W480" s="227">
        <f t="shared" si="188"/>
        <v>-235.49846324018529</v>
      </c>
      <c r="X480" s="227" t="str">
        <f t="shared" si="177"/>
        <v>-0.36161431947942-0.343624436012539i</v>
      </c>
      <c r="Y480" s="227" t="str">
        <f t="shared" si="178"/>
        <v>0.0116920317805867-1.85849699610152i</v>
      </c>
      <c r="Z480" s="227" t="str">
        <f t="shared" si="179"/>
        <v>-0.334769801081102+0.347886858003187i</v>
      </c>
      <c r="AA480" s="227" t="str">
        <f t="shared" si="180"/>
        <v>-0.163116976231303+1.34913045922484i</v>
      </c>
      <c r="AB480" s="227">
        <f t="shared" si="189"/>
        <v>2.6641049320616976</v>
      </c>
      <c r="AC480" s="227">
        <f t="shared" si="190"/>
        <v>-263.10610048420597</v>
      </c>
      <c r="AD480" s="229">
        <f t="shared" si="191"/>
        <v>-28.854840343008902</v>
      </c>
      <c r="AE480" s="229">
        <f t="shared" si="192"/>
        <v>97.327042803390697</v>
      </c>
      <c r="AF480" s="227">
        <f t="shared" si="181"/>
        <v>-26.190735410947205</v>
      </c>
      <c r="AG480" s="227">
        <f t="shared" si="182"/>
        <v>-165.77905768081527</v>
      </c>
      <c r="AH480" s="229" t="str">
        <f t="shared" si="183"/>
        <v>0.00460129124402353-0.0357846795114337i</v>
      </c>
    </row>
    <row r="481" spans="9:34" x14ac:dyDescent="0.2">
      <c r="I481" s="227">
        <v>477</v>
      </c>
      <c r="J481" s="227">
        <f t="shared" si="171"/>
        <v>5.6508084452756817</v>
      </c>
      <c r="K481" s="227">
        <f t="shared" si="193"/>
        <v>447515.87434147176</v>
      </c>
      <c r="L481" s="227">
        <f t="shared" si="184"/>
        <v>2811825.1663919613</v>
      </c>
      <c r="M481" s="227">
        <f t="shared" si="172"/>
        <v>451856.29093983019</v>
      </c>
      <c r="N481" s="227">
        <f>SQRT((ABS(AC481)-171.5+'Small Signal'!C$59)^2)</f>
        <v>164.47918986809498</v>
      </c>
      <c r="O481" s="227">
        <f t="shared" si="185"/>
        <v>168.8130372440242</v>
      </c>
      <c r="P481" s="227">
        <f t="shared" si="186"/>
        <v>26.808240189985284</v>
      </c>
      <c r="Q481" s="227">
        <f t="shared" si="194"/>
        <v>447515.87434147176</v>
      </c>
      <c r="R481" s="227" t="str">
        <f t="shared" si="173"/>
        <v>0.0945666666666667+13.2155782820422i</v>
      </c>
      <c r="S481" s="227" t="str">
        <f t="shared" si="174"/>
        <v>0.0085-0.0136202893402395i</v>
      </c>
      <c r="T481" s="227" t="str">
        <f t="shared" si="175"/>
        <v>0.00850862797754846-0.0136026043872217i</v>
      </c>
      <c r="U481" s="227" t="str">
        <f t="shared" si="176"/>
        <v>-0.0737120326598179+0.105242569414834i</v>
      </c>
      <c r="V481" s="227">
        <f t="shared" si="187"/>
        <v>-17.82267074396372</v>
      </c>
      <c r="W481" s="227">
        <f t="shared" si="188"/>
        <v>-234.99255122096233</v>
      </c>
      <c r="X481" s="227" t="str">
        <f t="shared" si="177"/>
        <v>-0.42414547760079-0.351426221120934i</v>
      </c>
      <c r="Y481" s="227" t="str">
        <f t="shared" si="178"/>
        <v>0.0111786207872888-1.81723680215687i</v>
      </c>
      <c r="Z481" s="227" t="str">
        <f t="shared" si="179"/>
        <v>-0.335036967587693+0.399339074595417i</v>
      </c>
      <c r="AA481" s="227" t="str">
        <f t="shared" si="180"/>
        <v>-0.0907309944544891+1.29077632357825i</v>
      </c>
      <c r="AB481" s="227">
        <f t="shared" si="189"/>
        <v>2.2384251938131023</v>
      </c>
      <c r="AC481" s="227">
        <f t="shared" si="190"/>
        <v>-265.97918986809498</v>
      </c>
      <c r="AD481" s="229">
        <f t="shared" si="191"/>
        <v>-29.046665383798388</v>
      </c>
      <c r="AE481" s="229">
        <f t="shared" si="192"/>
        <v>97.166152624070776</v>
      </c>
      <c r="AF481" s="227">
        <f t="shared" si="181"/>
        <v>-26.808240189985284</v>
      </c>
      <c r="AG481" s="227">
        <f t="shared" si="182"/>
        <v>-168.8130372440242</v>
      </c>
      <c r="AH481" s="229" t="str">
        <f t="shared" si="183"/>
        <v>0.00440247871637712-0.0350155497993991i</v>
      </c>
    </row>
    <row r="482" spans="9:34" x14ac:dyDescent="0.2">
      <c r="I482" s="227">
        <v>478</v>
      </c>
      <c r="J482" s="227">
        <f t="shared" si="171"/>
        <v>5.6605585678024655</v>
      </c>
      <c r="K482" s="227">
        <f t="shared" si="193"/>
        <v>457676.4517576854</v>
      </c>
      <c r="L482" s="227">
        <f t="shared" si="184"/>
        <v>2875665.9571259758</v>
      </c>
      <c r="M482" s="227">
        <f t="shared" si="172"/>
        <v>462247.55812449602</v>
      </c>
      <c r="N482" s="227">
        <f>SQRT((ABS(AC482)-171.5+'Small Signal'!C$59)^2)</f>
        <v>167.13562430847765</v>
      </c>
      <c r="O482" s="227">
        <f t="shared" si="185"/>
        <v>171.62690408407124</v>
      </c>
      <c r="P482" s="227">
        <f t="shared" si="186"/>
        <v>27.443778337202282</v>
      </c>
      <c r="Q482" s="227">
        <f t="shared" si="194"/>
        <v>457676.4517576854</v>
      </c>
      <c r="R482" s="227" t="str">
        <f t="shared" si="173"/>
        <v>0.0945666666666667+13.5156299984921i</v>
      </c>
      <c r="S482" s="227" t="str">
        <f t="shared" si="174"/>
        <v>0.0085-0.013317914149772i</v>
      </c>
      <c r="T482" s="227" t="str">
        <f t="shared" si="175"/>
        <v>0.00850800696787693-0.0133006224402693i</v>
      </c>
      <c r="U482" s="227" t="str">
        <f t="shared" si="176"/>
        <v>-0.0734592914822244+0.102907903310514i</v>
      </c>
      <c r="V482" s="227">
        <f t="shared" si="187"/>
        <v>-17.962519307529853</v>
      </c>
      <c r="W482" s="227">
        <f t="shared" si="188"/>
        <v>-234.47941510050734</v>
      </c>
      <c r="X482" s="227" t="str">
        <f t="shared" si="177"/>
        <v>-0.48954833417602-0.359405141044257i</v>
      </c>
      <c r="Y482" s="227" t="str">
        <f t="shared" si="178"/>
        <v>0.0106877559205841-1.77689265821811i</v>
      </c>
      <c r="Z482" s="227" t="str">
        <f t="shared" si="179"/>
        <v>-0.335292401636758+0.450992533995727i</v>
      </c>
      <c r="AA482" s="227" t="str">
        <f t="shared" si="180"/>
        <v>-0.0292760693087372+1.22919087018113i</v>
      </c>
      <c r="AB482" s="227">
        <f t="shared" si="189"/>
        <v>1.7948494246172262</v>
      </c>
      <c r="AC482" s="227">
        <f t="shared" si="190"/>
        <v>-268.63562430847765</v>
      </c>
      <c r="AD482" s="229">
        <f t="shared" si="191"/>
        <v>-29.238627761819508</v>
      </c>
      <c r="AE482" s="229">
        <f t="shared" si="192"/>
        <v>97.008720224406403</v>
      </c>
      <c r="AF482" s="227">
        <f t="shared" si="181"/>
        <v>-27.443778337202282</v>
      </c>
      <c r="AG482" s="227">
        <f t="shared" si="182"/>
        <v>-171.62690408407124</v>
      </c>
      <c r="AH482" s="229" t="str">
        <f t="shared" si="183"/>
        <v>0.00421212325576176-0.0342618808786044i</v>
      </c>
    </row>
    <row r="483" spans="9:34" x14ac:dyDescent="0.2">
      <c r="I483" s="227">
        <v>479</v>
      </c>
      <c r="J483" s="227">
        <f t="shared" si="171"/>
        <v>5.6703086903292483</v>
      </c>
      <c r="K483" s="227">
        <f t="shared" si="193"/>
        <v>468067.71894235123</v>
      </c>
      <c r="L483" s="227">
        <f t="shared" si="184"/>
        <v>2940956.2144236453</v>
      </c>
      <c r="M483" s="227">
        <f t="shared" si="172"/>
        <v>472874.75274936209</v>
      </c>
      <c r="N483" s="227">
        <f>SQRT((ABS(AC483)-171.5+'Small Signal'!C$59)^2)</f>
        <v>169.5781137825233</v>
      </c>
      <c r="O483" s="227">
        <f t="shared" si="185"/>
        <v>174.22343766378384</v>
      </c>
      <c r="P483" s="227">
        <f t="shared" si="186"/>
        <v>28.092808289253927</v>
      </c>
      <c r="Q483" s="227">
        <f t="shared" si="194"/>
        <v>468067.71894235123</v>
      </c>
      <c r="R483" s="227" t="str">
        <f t="shared" si="173"/>
        <v>0.0945666666666667+13.8224942077911i</v>
      </c>
      <c r="S483" s="227" t="str">
        <f t="shared" si="174"/>
        <v>0.0085-0.0130222517943644i</v>
      </c>
      <c r="T483" s="227" t="str">
        <f t="shared" si="175"/>
        <v>0.00850741322534634-0.0130053445571101i</v>
      </c>
      <c r="U483" s="227" t="str">
        <f t="shared" si="176"/>
        <v>-0.0732176476884914+0.100624953242246i</v>
      </c>
      <c r="V483" s="227">
        <f t="shared" si="187"/>
        <v>-18.100549918714208</v>
      </c>
      <c r="W483" s="227">
        <f t="shared" si="188"/>
        <v>-233.95927266404783</v>
      </c>
      <c r="X483" s="227" t="str">
        <f t="shared" si="177"/>
        <v>-0.55795476989082-0.367565217521407i</v>
      </c>
      <c r="Y483" s="227" t="str">
        <f t="shared" si="178"/>
        <v>0.0102184469403554-1.73744422379715i</v>
      </c>
      <c r="Z483" s="227" t="str">
        <f t="shared" si="179"/>
        <v>-0.335536618525709+0.502873274650783i</v>
      </c>
      <c r="AA483" s="227" t="str">
        <f t="shared" si="180"/>
        <v>0.0219488618155761+1.16632283378482i</v>
      </c>
      <c r="AB483" s="227">
        <f t="shared" si="189"/>
        <v>1.3379133417376914</v>
      </c>
      <c r="AC483" s="227">
        <f t="shared" si="190"/>
        <v>-271.0781137825233</v>
      </c>
      <c r="AD483" s="229">
        <f t="shared" si="191"/>
        <v>-29.43072163099162</v>
      </c>
      <c r="AE483" s="229">
        <f t="shared" si="192"/>
        <v>96.854676118739462</v>
      </c>
      <c r="AF483" s="227">
        <f t="shared" si="181"/>
        <v>-28.092808289253927</v>
      </c>
      <c r="AG483" s="227">
        <f t="shared" si="182"/>
        <v>-174.22343766378384</v>
      </c>
      <c r="AH483" s="229" t="str">
        <f t="shared" si="183"/>
        <v>0.0040298763994082-0.0335234311145288i</v>
      </c>
    </row>
    <row r="484" spans="9:34" x14ac:dyDescent="0.2">
      <c r="I484" s="227">
        <v>480</v>
      </c>
      <c r="J484" s="227">
        <f t="shared" si="171"/>
        <v>5.6800588128560321</v>
      </c>
      <c r="K484" s="227">
        <f t="shared" si="193"/>
        <v>478694.9135672173</v>
      </c>
      <c r="L484" s="227">
        <f t="shared" si="184"/>
        <v>3007728.8475471418</v>
      </c>
      <c r="M484" s="227">
        <f t="shared" si="172"/>
        <v>483743.23140434752</v>
      </c>
      <c r="N484" s="227">
        <f>SQRT((ABS(AC484)-171.5+'Small Signal'!C$59)^2)</f>
        <v>171.81331185051135</v>
      </c>
      <c r="O484" s="227">
        <f t="shared" si="185"/>
        <v>176.60935994495597</v>
      </c>
      <c r="P484" s="227">
        <f t="shared" si="186"/>
        <v>28.751332127957923</v>
      </c>
      <c r="Q484" s="227">
        <f t="shared" si="194"/>
        <v>478694.9135672173</v>
      </c>
      <c r="R484" s="227" t="str">
        <f t="shared" si="173"/>
        <v>0.0945666666666667+14.1363255834716i</v>
      </c>
      <c r="S484" s="227" t="str">
        <f t="shared" si="174"/>
        <v>0.0085-0.0127331532467291i</v>
      </c>
      <c r="T484" s="227" t="str">
        <f t="shared" si="175"/>
        <v>0.00850684555272004-0.0127166219078601i</v>
      </c>
      <c r="U484" s="227" t="str">
        <f t="shared" si="176"/>
        <v>-0.0729866140109654+0.0983925785461249i</v>
      </c>
      <c r="V484" s="227">
        <f t="shared" si="187"/>
        <v>-18.236729732698276</v>
      </c>
      <c r="W484" s="227">
        <f t="shared" si="188"/>
        <v>-233.43235190701051</v>
      </c>
      <c r="X484" s="227" t="str">
        <f t="shared" si="177"/>
        <v>-0.62950272195645-0.375910563602435i</v>
      </c>
      <c r="Y484" s="227" t="str">
        <f t="shared" si="178"/>
        <v>0.00976974711056486-1.69887161022277i</v>
      </c>
      <c r="Z484" s="227" t="str">
        <f t="shared" si="179"/>
        <v>-0.335770110913422+0.555007449388215i</v>
      </c>
      <c r="AA484" s="227" t="str">
        <f t="shared" si="180"/>
        <v>0.0638966461550854+1.10370725058113i</v>
      </c>
      <c r="AB484" s="227">
        <f t="shared" si="189"/>
        <v>0.87160925849970983</v>
      </c>
      <c r="AC484" s="227">
        <f t="shared" si="190"/>
        <v>-273.31331185051135</v>
      </c>
      <c r="AD484" s="229">
        <f t="shared" si="191"/>
        <v>-29.622941386457633</v>
      </c>
      <c r="AE484" s="229">
        <f t="shared" si="192"/>
        <v>96.703951905555385</v>
      </c>
      <c r="AF484" s="227">
        <f t="shared" si="181"/>
        <v>-28.751332127957923</v>
      </c>
      <c r="AG484" s="227">
        <f t="shared" si="182"/>
        <v>-176.60935994495597</v>
      </c>
      <c r="AH484" s="229" t="str">
        <f t="shared" si="183"/>
        <v>0.00385540308539861-0.0327999579856837i</v>
      </c>
    </row>
    <row r="485" spans="9:34" x14ac:dyDescent="0.2">
      <c r="I485" s="227">
        <v>481</v>
      </c>
      <c r="J485" s="227">
        <f t="shared" si="171"/>
        <v>5.6898089353828158</v>
      </c>
      <c r="K485" s="227">
        <f t="shared" si="193"/>
        <v>489563.39222220273</v>
      </c>
      <c r="L485" s="227">
        <f t="shared" si="184"/>
        <v>3076017.5129435412</v>
      </c>
      <c r="M485" s="227">
        <f t="shared" si="172"/>
        <v>494858.47229750501</v>
      </c>
      <c r="N485" s="227">
        <f>SQRT((ABS(AC485)-171.5+'Small Signal'!C$59)^2)</f>
        <v>173.85060540921245</v>
      </c>
      <c r="O485" s="227">
        <f t="shared" si="185"/>
        <v>178.79412513755318</v>
      </c>
      <c r="P485" s="227">
        <f t="shared" si="186"/>
        <v>29.415920213046693</v>
      </c>
      <c r="Q485" s="227">
        <f t="shared" si="194"/>
        <v>489563.39222220273</v>
      </c>
      <c r="R485" s="227" t="str">
        <f t="shared" si="173"/>
        <v>0.0945666666666667+14.4572823108346i</v>
      </c>
      <c r="S485" s="227" t="str">
        <f t="shared" si="174"/>
        <v>0.0085-0.0124504727880359i</v>
      </c>
      <c r="T485" s="227" t="str">
        <f t="shared" si="175"/>
        <v>0.00850630280532905-0.0124343089665358i</v>
      </c>
      <c r="U485" s="227" t="str">
        <f t="shared" si="176"/>
        <v>-0.0727657245773319+0.0962096633960159i</v>
      </c>
      <c r="V485" s="227">
        <f t="shared" si="187"/>
        <v>-18.371026822332727</v>
      </c>
      <c r="W485" s="227">
        <f t="shared" si="188"/>
        <v>-232.89889090926272</v>
      </c>
      <c r="X485" s="227" t="str">
        <f t="shared" si="177"/>
        <v>-0.70433646225146-0.384445385721707i</v>
      </c>
      <c r="Y485" s="227" t="str">
        <f t="shared" si="178"/>
        <v>0.00934075128695347-1.66115537059394i</v>
      </c>
      <c r="Z485" s="227" t="str">
        <f t="shared" si="179"/>
        <v>-0.335993349815384+0.607421338610657i</v>
      </c>
      <c r="AA485" s="227" t="str">
        <f t="shared" si="180"/>
        <v>0.0976375653801865+1.04248927809741i</v>
      </c>
      <c r="AB485" s="227">
        <f t="shared" si="189"/>
        <v>0.39936144223054515</v>
      </c>
      <c r="AC485" s="227">
        <f t="shared" si="190"/>
        <v>-275.35060540921245</v>
      </c>
      <c r="AD485" s="229">
        <f t="shared" si="191"/>
        <v>-29.815281655277239</v>
      </c>
      <c r="AE485" s="229">
        <f t="shared" si="192"/>
        <v>96.556480271659268</v>
      </c>
      <c r="AF485" s="227">
        <f t="shared" si="181"/>
        <v>-29.415920213046693</v>
      </c>
      <c r="AG485" s="227">
        <f t="shared" si="182"/>
        <v>-178.79412513755318</v>
      </c>
      <c r="AH485" s="229" t="str">
        <f t="shared" si="183"/>
        <v>0.00368838121944185-0.0320912184728876i</v>
      </c>
    </row>
    <row r="486" spans="9:34" x14ac:dyDescent="0.2">
      <c r="I486" s="227">
        <v>482</v>
      </c>
      <c r="J486" s="227">
        <f t="shared" si="171"/>
        <v>5.6995590579095987</v>
      </c>
      <c r="K486" s="227">
        <f t="shared" si="193"/>
        <v>500678.63311536022</v>
      </c>
      <c r="L486" s="227">
        <f t="shared" si="184"/>
        <v>3145856.63120919</v>
      </c>
      <c r="M486" s="227">
        <f t="shared" si="172"/>
        <v>506226.07801629329</v>
      </c>
      <c r="N486" s="227">
        <f>SQRT((ABS(AC486)-171.5+'Small Signal'!C$59)^2)</f>
        <v>175.70109729016445</v>
      </c>
      <c r="O486" s="227">
        <f t="shared" si="185"/>
        <v>180.78890229557857</v>
      </c>
      <c r="P486" s="227">
        <f t="shared" si="186"/>
        <v>30.083693829322378</v>
      </c>
      <c r="Q486" s="227">
        <f t="shared" si="194"/>
        <v>500678.63311536022</v>
      </c>
      <c r="R486" s="227" t="str">
        <f t="shared" si="173"/>
        <v>0.0945666666666667+14.7855261666832i</v>
      </c>
      <c r="S486" s="227" t="str">
        <f t="shared" si="174"/>
        <v>0.0085-0.0121740679344642i</v>
      </c>
      <c r="T486" s="227" t="str">
        <f t="shared" si="175"/>
        <v>0.00850578388876397-0.012158263437719i</v>
      </c>
      <c r="U486" s="227" t="str">
        <f t="shared" si="176"/>
        <v>-0.0725545339711536+0.0940751162837855i</v>
      </c>
      <c r="V486" s="227">
        <f t="shared" si="187"/>
        <v>-18.503410280624024</v>
      </c>
      <c r="W486" s="227">
        <f t="shared" si="188"/>
        <v>-232.35913766191408</v>
      </c>
      <c r="X486" s="227" t="str">
        <f t="shared" si="177"/>
        <v>-0.78260688823655-0.393173985818138i</v>
      </c>
      <c r="Y486" s="227" t="str">
        <f t="shared" si="178"/>
        <v>0.00893059408888795-1.62427648995698i</v>
      </c>
      <c r="Z486" s="227" t="str">
        <f t="shared" si="179"/>
        <v>-0.336206785554992+0.660141363552957i</v>
      </c>
      <c r="AA486" s="227" t="str">
        <f t="shared" si="180"/>
        <v>0.124260830144789+0.983474281300567i</v>
      </c>
      <c r="AB486" s="227">
        <f t="shared" si="189"/>
        <v>-7.5956541897769625E-2</v>
      </c>
      <c r="AC486" s="227">
        <f t="shared" si="190"/>
        <v>-277.20109729016445</v>
      </c>
      <c r="AD486" s="229">
        <f t="shared" si="191"/>
        <v>-30.007737287424607</v>
      </c>
      <c r="AE486" s="229">
        <f t="shared" si="192"/>
        <v>96.412194994585903</v>
      </c>
      <c r="AF486" s="227">
        <f t="shared" si="181"/>
        <v>-30.083693829322378</v>
      </c>
      <c r="AG486" s="227">
        <f t="shared" si="182"/>
        <v>-180.78890229557857</v>
      </c>
      <c r="AH486" s="229" t="str">
        <f t="shared" si="183"/>
        <v>0.00352850124831266-0.0313969694196304i</v>
      </c>
    </row>
    <row r="487" spans="9:34" x14ac:dyDescent="0.2">
      <c r="I487" s="227">
        <v>483</v>
      </c>
      <c r="J487" s="227">
        <f t="shared" si="171"/>
        <v>5.7093091804363825</v>
      </c>
      <c r="K487" s="227">
        <f t="shared" si="193"/>
        <v>512046.23883414851</v>
      </c>
      <c r="L487" s="227">
        <f t="shared" si="184"/>
        <v>3217281.404439291</v>
      </c>
      <c r="M487" s="227">
        <f t="shared" si="172"/>
        <v>517851.77835152816</v>
      </c>
      <c r="N487" s="227">
        <f>SQRT((ABS(AC487)-171.5+'Small Signal'!C$59)^2)</f>
        <v>177.37680123086193</v>
      </c>
      <c r="O487" s="227">
        <f t="shared" si="185"/>
        <v>182.60577028748736</v>
      </c>
      <c r="P487" s="227">
        <f t="shared" si="186"/>
        <v>30.752281927037597</v>
      </c>
      <c r="Q487" s="227">
        <f t="shared" si="194"/>
        <v>512046.23883414851</v>
      </c>
      <c r="R487" s="227" t="str">
        <f t="shared" si="173"/>
        <v>0.0945666666666667+15.1212226008647i</v>
      </c>
      <c r="S487" s="227" t="str">
        <f t="shared" si="174"/>
        <v>0.0085-0.0119037993653838i</v>
      </c>
      <c r="T487" s="227" t="str">
        <f t="shared" si="175"/>
        <v>0.00850528775666823-0.0118883461848471i</v>
      </c>
      <c r="U487" s="227" t="str">
        <f t="shared" si="176"/>
        <v>-0.0723526163336566+0.0919878695089895i</v>
      </c>
      <c r="V487" s="227">
        <f t="shared" si="187"/>
        <v>-18.633850322705772</v>
      </c>
      <c r="W487" s="227">
        <f t="shared" si="188"/>
        <v>-231.81334984573598</v>
      </c>
      <c r="X487" s="227" t="str">
        <f t="shared" si="177"/>
        <v>-0.86447182722984-0.402100763503566i</v>
      </c>
      <c r="Y487" s="227" t="str">
        <f t="shared" si="178"/>
        <v>0.00853844815160888-1.58821637570207i</v>
      </c>
      <c r="Z487" s="227" t="str">
        <f t="shared" si="179"/>
        <v>-0.336410848673045+0.713194099610084i</v>
      </c>
      <c r="AA487" s="227" t="str">
        <f t="shared" si="180"/>
        <v>0.144809194493248+0.927188151931278i</v>
      </c>
      <c r="AB487" s="227">
        <f t="shared" si="189"/>
        <v>-0.55197857995335331</v>
      </c>
      <c r="AC487" s="227">
        <f t="shared" si="190"/>
        <v>-278.87680123086193</v>
      </c>
      <c r="AD487" s="229">
        <f t="shared" si="191"/>
        <v>-30.200303347084244</v>
      </c>
      <c r="AE487" s="229">
        <f t="shared" si="192"/>
        <v>96.271030943374555</v>
      </c>
      <c r="AF487" s="227">
        <f t="shared" si="181"/>
        <v>-30.752281927037597</v>
      </c>
      <c r="AG487" s="227">
        <f t="shared" si="182"/>
        <v>-182.60577028748736</v>
      </c>
      <c r="AH487" s="229" t="str">
        <f t="shared" si="183"/>
        <v>0.00337546574060692-0.0307169678651155i</v>
      </c>
    </row>
    <row r="488" spans="9:34" x14ac:dyDescent="0.2">
      <c r="I488" s="227">
        <v>484</v>
      </c>
      <c r="J488" s="227">
        <f t="shared" si="171"/>
        <v>5.7190593029631653</v>
      </c>
      <c r="K488" s="227">
        <f t="shared" si="193"/>
        <v>523671.93916938337</v>
      </c>
      <c r="L488" s="227">
        <f t="shared" si="184"/>
        <v>3290327.8339713118</v>
      </c>
      <c r="M488" s="227">
        <f t="shared" si="172"/>
        <v>529741.43318546878</v>
      </c>
      <c r="N488" s="227">
        <f>SQRT((ABS(AC488)-171.5+'Small Signal'!C$59)^2)</f>
        <v>178.89003755667414</v>
      </c>
      <c r="O488" s="227">
        <f t="shared" si="185"/>
        <v>184.25711347884081</v>
      </c>
      <c r="P488" s="227">
        <f t="shared" si="186"/>
        <v>31.419764553831836</v>
      </c>
      <c r="Q488" s="227">
        <f t="shared" si="194"/>
        <v>523671.93916938337</v>
      </c>
      <c r="R488" s="227" t="str">
        <f t="shared" si="173"/>
        <v>0.0945666666666667+15.4645408196652i</v>
      </c>
      <c r="S488" s="227" t="str">
        <f t="shared" si="174"/>
        <v>0.0085-0.0116395308531312i</v>
      </c>
      <c r="T488" s="227" t="str">
        <f t="shared" si="175"/>
        <v>0.00850481340862819-0.0116244211600948i</v>
      </c>
      <c r="U488" s="227" t="str">
        <f t="shared" si="176"/>
        <v>-0.0721595645049671+0.0899468786779682i</v>
      </c>
      <c r="V488" s="227">
        <f t="shared" si="187"/>
        <v>-18.762318386687042</v>
      </c>
      <c r="W488" s="227">
        <f t="shared" si="188"/>
        <v>-231.2617945606186</v>
      </c>
      <c r="X488" s="227" t="str">
        <f t="shared" si="177"/>
        <v>-0.95009635465545-0.411230218280356i</v>
      </c>
      <c r="Y488" s="227" t="str">
        <f t="shared" si="178"/>
        <v>0.00816352245549033-1.55295684817357i</v>
      </c>
      <c r="Z488" s="227" t="str">
        <f t="shared" si="179"/>
        <v>-0.336605950797203+0.766606289741662i</v>
      </c>
      <c r="AA488" s="227" t="str">
        <f t="shared" si="180"/>
        <v>0.160240448162676+0.873937355884382i</v>
      </c>
      <c r="AB488" s="227">
        <f t="shared" si="189"/>
        <v>-1.0267894495919989</v>
      </c>
      <c r="AC488" s="227">
        <f t="shared" si="190"/>
        <v>-280.39003755667414</v>
      </c>
      <c r="AD488" s="229">
        <f t="shared" si="191"/>
        <v>-30.392975104239838</v>
      </c>
      <c r="AE488" s="229">
        <f t="shared" si="192"/>
        <v>96.132924077833337</v>
      </c>
      <c r="AF488" s="227">
        <f t="shared" si="181"/>
        <v>-31.419764553831836</v>
      </c>
      <c r="AG488" s="227">
        <f t="shared" si="182"/>
        <v>-184.25711347884081</v>
      </c>
      <c r="AH488" s="229" t="str">
        <f t="shared" si="183"/>
        <v>0.00322898897536905-0.0300509713515023i</v>
      </c>
    </row>
    <row r="489" spans="9:34" x14ac:dyDescent="0.2">
      <c r="I489" s="227">
        <v>485</v>
      </c>
      <c r="J489" s="227">
        <f t="shared" si="171"/>
        <v>5.7288094254899491</v>
      </c>
      <c r="K489" s="227">
        <f t="shared" si="193"/>
        <v>535561.59400332405</v>
      </c>
      <c r="L489" s="227">
        <f t="shared" si="184"/>
        <v>3365032.7385313646</v>
      </c>
      <c r="M489" s="227">
        <f t="shared" si="172"/>
        <v>541901.03544545243</v>
      </c>
      <c r="N489" s="227">
        <f>SQRT((ABS(AC489)-171.5+'Small Signal'!C$59)^2)</f>
        <v>180.25300197803182</v>
      </c>
      <c r="O489" s="227">
        <f t="shared" si="185"/>
        <v>185.75519053162225</v>
      </c>
      <c r="P489" s="227">
        <f t="shared" si="186"/>
        <v>32.084611896663787</v>
      </c>
      <c r="Q489" s="227">
        <f t="shared" si="194"/>
        <v>535561.59400332405</v>
      </c>
      <c r="R489" s="227" t="str">
        <f t="shared" si="173"/>
        <v>0.0945666666666667+15.8156538710974i</v>
      </c>
      <c r="S489" s="227" t="str">
        <f t="shared" si="174"/>
        <v>0.0085-0.0113811291943449i</v>
      </c>
      <c r="T489" s="227" t="str">
        <f t="shared" si="175"/>
        <v>0.00850435988815595-0.0113663553358135i</v>
      </c>
      <c r="U489" s="227" t="str">
        <f t="shared" si="176"/>
        <v>-0.0719749892030504+0.0879511222122688i</v>
      </c>
      <c r="V489" s="227">
        <f t="shared" si="187"/>
        <v>-18.888787232752474</v>
      </c>
      <c r="W489" s="227">
        <f t="shared" si="188"/>
        <v>-230.70474800586831</v>
      </c>
      <c r="X489" s="227" t="str">
        <f t="shared" si="177"/>
        <v>-1.0396531269076-0.420566951809357i</v>
      </c>
      <c r="Y489" s="227" t="str">
        <f t="shared" si="178"/>
        <v>0.00780506072866909-1.51848013148991i</v>
      </c>
      <c r="Z489" s="227" t="str">
        <f t="shared" si="179"/>
        <v>-0.336792485473197+0.82040485796063i</v>
      </c>
      <c r="AA489" s="227" t="str">
        <f t="shared" si="180"/>
        <v>0.171408759542646+0.82386288113405i</v>
      </c>
      <c r="AB489" s="227">
        <f t="shared" si="189"/>
        <v>-1.4988638701126622</v>
      </c>
      <c r="AC489" s="227">
        <f t="shared" si="190"/>
        <v>-281.75300197803182</v>
      </c>
      <c r="AD489" s="229">
        <f t="shared" si="191"/>
        <v>-30.585748026551126</v>
      </c>
      <c r="AE489" s="229">
        <f t="shared" si="192"/>
        <v>95.997811446409557</v>
      </c>
      <c r="AF489" s="227">
        <f t="shared" si="181"/>
        <v>-32.084611896663787</v>
      </c>
      <c r="AG489" s="227">
        <f t="shared" si="182"/>
        <v>-185.75519053162225</v>
      </c>
      <c r="AH489" s="229" t="str">
        <f t="shared" si="183"/>
        <v>0.00308879653905944-0.0293987382068098i</v>
      </c>
    </row>
    <row r="490" spans="9:34" x14ac:dyDescent="0.2">
      <c r="I490" s="227">
        <v>486</v>
      </c>
      <c r="J490" s="227">
        <f t="shared" si="171"/>
        <v>5.738559548016732</v>
      </c>
      <c r="K490" s="227">
        <f t="shared" si="193"/>
        <v>547721.19626330771</v>
      </c>
      <c r="L490" s="227">
        <f t="shared" si="184"/>
        <v>3441433.7727924413</v>
      </c>
      <c r="M490" s="227">
        <f t="shared" si="172"/>
        <v>554336.71412461286</v>
      </c>
      <c r="N490" s="227">
        <f>SQRT((ABS(AC490)-171.5+'Small Signal'!C$59)^2)</f>
        <v>181.47747454213368</v>
      </c>
      <c r="O490" s="227">
        <f t="shared" si="185"/>
        <v>187.11184335935619</v>
      </c>
      <c r="P490" s="227">
        <f t="shared" si="186"/>
        <v>32.745624669425816</v>
      </c>
      <c r="Q490" s="227">
        <f t="shared" si="194"/>
        <v>547721.19626330771</v>
      </c>
      <c r="R490" s="227" t="str">
        <f t="shared" si="173"/>
        <v>0.0945666666666667+16.1747387321245i</v>
      </c>
      <c r="S490" s="227" t="str">
        <f t="shared" si="174"/>
        <v>0.0085-0.0111284641428244i</v>
      </c>
      <c r="T490" s="227" t="str">
        <f t="shared" si="175"/>
        <v>0.00850392628076066-0.0111140186374898i</v>
      </c>
      <c r="U490" s="227" t="str">
        <f t="shared" si="176"/>
        <v>-0.0717985182387028+0.0859996008662853i</v>
      </c>
      <c r="V490" s="227">
        <f t="shared" si="187"/>
        <v>-19.013231039875567</v>
      </c>
      <c r="W490" s="227">
        <f t="shared" si="188"/>
        <v>-230.14249511152974</v>
      </c>
      <c r="X490" s="227" t="str">
        <f t="shared" si="177"/>
        <v>-1.13332272950121-0.43011567022934i</v>
      </c>
      <c r="Y490" s="227" t="str">
        <f t="shared" si="178"/>
        <v>0.00746233991998918-1.48476884456792i</v>
      </c>
      <c r="Z490" s="227" t="str">
        <f t="shared" si="179"/>
        <v>-0.336970828959456+0.874616922912451i</v>
      </c>
      <c r="AA490" s="227" t="str">
        <f t="shared" si="180"/>
        <v>0.179059541414599+0.776985601771838i</v>
      </c>
      <c r="AB490" s="227">
        <f t="shared" si="189"/>
        <v>-1.9670068979144069</v>
      </c>
      <c r="AC490" s="227">
        <f t="shared" si="190"/>
        <v>-282.97747454213368</v>
      </c>
      <c r="AD490" s="229">
        <f t="shared" si="191"/>
        <v>-30.778617771511406</v>
      </c>
      <c r="AE490" s="229">
        <f t="shared" si="192"/>
        <v>95.865631182777491</v>
      </c>
      <c r="AF490" s="227">
        <f t="shared" si="181"/>
        <v>-32.745624669425816</v>
      </c>
      <c r="AG490" s="227">
        <f t="shared" si="182"/>
        <v>-187.11184335935619</v>
      </c>
      <c r="AH490" s="229" t="str">
        <f t="shared" si="183"/>
        <v>0.00295462493125165-0.028760027804888i</v>
      </c>
    </row>
    <row r="491" spans="9:34" x14ac:dyDescent="0.2">
      <c r="I491" s="227">
        <v>487</v>
      </c>
      <c r="J491" s="227">
        <f t="shared" si="171"/>
        <v>5.7483096705435157</v>
      </c>
      <c r="K491" s="227">
        <f t="shared" si="193"/>
        <v>560156.87494246813</v>
      </c>
      <c r="L491" s="227">
        <f t="shared" si="184"/>
        <v>3519569.4463541489</v>
      </c>
      <c r="M491" s="227">
        <f t="shared" si="172"/>
        <v>567054.73737116694</v>
      </c>
      <c r="N491" s="227">
        <f>SQRT((ABS(AC491)-171.5+'Small Signal'!C$59)^2)</f>
        <v>182.57463669929484</v>
      </c>
      <c r="O491" s="227">
        <f t="shared" si="185"/>
        <v>188.33831419804864</v>
      </c>
      <c r="P491" s="227">
        <f t="shared" si="186"/>
        <v>33.401879140029735</v>
      </c>
      <c r="Q491" s="227">
        <f t="shared" si="194"/>
        <v>560156.87494246813</v>
      </c>
      <c r="R491" s="227" t="str">
        <f t="shared" si="173"/>
        <v>0.0945666666666667+16.5419763978645i</v>
      </c>
      <c r="S491" s="227" t="str">
        <f t="shared" si="174"/>
        <v>0.0085-0.0108814083438807i</v>
      </c>
      <c r="T491" s="227" t="str">
        <f t="shared" si="175"/>
        <v>0.00850351171210456-0.0108672838781941i</v>
      </c>
      <c r="U491" s="227" t="str">
        <f t="shared" si="176"/>
        <v>-0.0716297957650218+0.08409133725405i</v>
      </c>
      <c r="V491" s="227">
        <f t="shared" si="187"/>
        <v>-19.135625499496033</v>
      </c>
      <c r="W491" s="227">
        <f t="shared" si="188"/>
        <v>-229.57532912134675</v>
      </c>
      <c r="X491" s="227" t="str">
        <f t="shared" si="177"/>
        <v>-1.23129404121111-0.43988118652912i</v>
      </c>
      <c r="Y491" s="227" t="str">
        <f t="shared" si="178"/>
        <v>0.00713466873910635-1.45180599234741i</v>
      </c>
      <c r="Z491" s="227" t="str">
        <f t="shared" si="179"/>
        <v>-0.337141340986838+0.929269811552044i</v>
      </c>
      <c r="AA491" s="227" t="str">
        <f t="shared" si="180"/>
        <v>0.183832798801422+0.733242661378331i</v>
      </c>
      <c r="AB491" s="227">
        <f t="shared" si="189"/>
        <v>-2.430298961148821</v>
      </c>
      <c r="AC491" s="227">
        <f t="shared" si="190"/>
        <v>-284.07463669929484</v>
      </c>
      <c r="AD491" s="229">
        <f t="shared" si="191"/>
        <v>-30.971580178880917</v>
      </c>
      <c r="AE491" s="229">
        <f t="shared" si="192"/>
        <v>95.736322501246192</v>
      </c>
      <c r="AF491" s="227">
        <f t="shared" si="181"/>
        <v>-33.401879140029735</v>
      </c>
      <c r="AG491" s="227">
        <f t="shared" si="182"/>
        <v>-188.33831419804864</v>
      </c>
      <c r="AH491" s="229" t="str">
        <f t="shared" si="183"/>
        <v>0.00282622117937465-0.0281346008037955i</v>
      </c>
    </row>
    <row r="492" spans="9:34" x14ac:dyDescent="0.2">
      <c r="I492" s="227">
        <v>488</v>
      </c>
      <c r="J492" s="227">
        <f t="shared" si="171"/>
        <v>5.7580597930702986</v>
      </c>
      <c r="K492" s="227">
        <f t="shared" si="193"/>
        <v>572874.89818902221</v>
      </c>
      <c r="L492" s="227">
        <f t="shared" si="184"/>
        <v>3599479.1431532656</v>
      </c>
      <c r="M492" s="227">
        <f t="shared" si="172"/>
        <v>580061.51564785012</v>
      </c>
      <c r="N492" s="227">
        <f>SQRT((ABS(AC492)-171.5+'Small Signal'!C$59)^2)</f>
        <v>183.55496847709549</v>
      </c>
      <c r="O492" s="227">
        <f t="shared" si="185"/>
        <v>189.44514278600843</v>
      </c>
      <c r="P492" s="227">
        <f t="shared" si="186"/>
        <v>34.05267837619057</v>
      </c>
      <c r="Q492" s="227">
        <f t="shared" si="194"/>
        <v>572874.89818902221</v>
      </c>
      <c r="R492" s="227" t="str">
        <f t="shared" si="173"/>
        <v>0.0945666666666667+16.9175519728203i</v>
      </c>
      <c r="S492" s="227" t="str">
        <f t="shared" si="174"/>
        <v>0.0085-0.0106398372701433i</v>
      </c>
      <c r="T492" s="227" t="str">
        <f t="shared" si="175"/>
        <v>0.00850311534623996-0.0106260266944819i</v>
      </c>
      <c r="U492" s="227" t="str">
        <f t="shared" si="176"/>
        <v>-0.0714684815598238+0.0822253753850366i</v>
      </c>
      <c r="V492" s="227">
        <f t="shared" si="187"/>
        <v>-19.255947905516653</v>
      </c>
      <c r="W492" s="227">
        <f t="shared" si="188"/>
        <v>-229.00355112839372</v>
      </c>
      <c r="X492" s="227" t="str">
        <f t="shared" si="177"/>
        <v>-1.33376461493393-0.449868422973506i</v>
      </c>
      <c r="Y492" s="227" t="str">
        <f t="shared" si="178"/>
        <v>0.00682138626084721-1.41957495721093i</v>
      </c>
      <c r="Z492" s="227" t="str">
        <f t="shared" si="179"/>
        <v>-0.337304365484886+0.984391072924887i</v>
      </c>
      <c r="AA492" s="227" t="str">
        <f t="shared" si="180"/>
        <v>0.18627126832273+0.69251560819871i</v>
      </c>
      <c r="AB492" s="227">
        <f t="shared" si="189"/>
        <v>-2.8880471128019671</v>
      </c>
      <c r="AC492" s="227">
        <f t="shared" si="190"/>
        <v>-285.05496847709549</v>
      </c>
      <c r="AD492" s="229">
        <f t="shared" si="191"/>
        <v>-31.164631263388603</v>
      </c>
      <c r="AE492" s="229">
        <f t="shared" si="192"/>
        <v>95.609825691087039</v>
      </c>
      <c r="AF492" s="227">
        <f t="shared" si="181"/>
        <v>-34.05267837619057</v>
      </c>
      <c r="AG492" s="227">
        <f t="shared" si="182"/>
        <v>-189.44514278600843</v>
      </c>
      <c r="AH492" s="229" t="str">
        <f t="shared" si="183"/>
        <v>0.00270334246275223-0.027522219363869i</v>
      </c>
    </row>
    <row r="493" spans="9:34" x14ac:dyDescent="0.2">
      <c r="I493" s="227">
        <v>489</v>
      </c>
      <c r="J493" s="227">
        <f t="shared" si="171"/>
        <v>5.7678099155970832</v>
      </c>
      <c r="K493" s="227">
        <f t="shared" si="193"/>
        <v>585881.67646570539</v>
      </c>
      <c r="L493" s="227">
        <f t="shared" si="184"/>
        <v>3681203.1413150639</v>
      </c>
      <c r="M493" s="227">
        <f t="shared" si="172"/>
        <v>593363.60496307199</v>
      </c>
      <c r="N493" s="227">
        <f>SQRT((ABS(AC493)-171.5+'Small Signal'!C$59)^2)</f>
        <v>184.42820286329078</v>
      </c>
      <c r="O493" s="227">
        <f t="shared" si="185"/>
        <v>190.44212075341864</v>
      </c>
      <c r="P493" s="227">
        <f t="shared" si="186"/>
        <v>34.697510175677088</v>
      </c>
      <c r="Q493" s="227">
        <f t="shared" si="194"/>
        <v>585881.67646570539</v>
      </c>
      <c r="R493" s="227" t="str">
        <f t="shared" si="173"/>
        <v>0.0945666666666667+17.3016547641808i</v>
      </c>
      <c r="S493" s="227" t="str">
        <f t="shared" si="174"/>
        <v>0.0085-0.0104036291587929i</v>
      </c>
      <c r="T493" s="227" t="str">
        <f t="shared" si="175"/>
        <v>0.00850273638392364-0.0103901254837191i</v>
      </c>
      <c r="U493" s="227" t="str">
        <f t="shared" si="176"/>
        <v>-0.0713142503395753+0.0804007802089144i</v>
      </c>
      <c r="V493" s="227">
        <f t="shared" si="187"/>
        <v>-19.37417723997569</v>
      </c>
      <c r="W493" s="227">
        <f t="shared" si="188"/>
        <v>-228.42746956485755</v>
      </c>
      <c r="X493" s="227" t="str">
        <f t="shared" si="177"/>
        <v>-1.440941076041-0.460082413584362i</v>
      </c>
      <c r="Y493" s="227" t="str">
        <f t="shared" si="178"/>
        <v>0.00652186059082843-1.38805949059502i</v>
      </c>
      <c r="Z493" s="227" t="str">
        <f t="shared" si="179"/>
        <v>-0.337460231276162+1.04000849205997i</v>
      </c>
      <c r="AA493" s="227" t="str">
        <f t="shared" si="180"/>
        <v>0.186830824258316+0.654651504396879i</v>
      </c>
      <c r="AB493" s="227">
        <f t="shared" si="189"/>
        <v>-3.3397429679815325</v>
      </c>
      <c r="AC493" s="227">
        <f t="shared" si="190"/>
        <v>-285.92820286329078</v>
      </c>
      <c r="AD493" s="229">
        <f t="shared" si="191"/>
        <v>-31.357767207695556</v>
      </c>
      <c r="AE493" s="229">
        <f t="shared" si="192"/>
        <v>95.486082109872157</v>
      </c>
      <c r="AF493" s="227">
        <f t="shared" si="181"/>
        <v>-34.697510175677088</v>
      </c>
      <c r="AG493" s="227">
        <f t="shared" si="182"/>
        <v>-190.44212075341864</v>
      </c>
      <c r="AH493" s="229" t="str">
        <f t="shared" si="183"/>
        <v>0.00258575574613084-0.0269226473467102i</v>
      </c>
    </row>
    <row r="494" spans="9:34" x14ac:dyDescent="0.2">
      <c r="I494" s="227">
        <v>490</v>
      </c>
      <c r="J494" s="227">
        <f t="shared" si="171"/>
        <v>5.7775600381238661</v>
      </c>
      <c r="K494" s="227">
        <f t="shared" si="193"/>
        <v>599183.76578092726</v>
      </c>
      <c r="L494" s="227">
        <f t="shared" si="184"/>
        <v>3764782.6334552569</v>
      </c>
      <c r="M494" s="227">
        <f t="shared" si="172"/>
        <v>606967.7101754609</v>
      </c>
      <c r="N494" s="227">
        <f>SQRT((ABS(AC494)-171.5+'Small Signal'!C$59)^2)</f>
        <v>185.20331953499732</v>
      </c>
      <c r="O494" s="227">
        <f t="shared" si="185"/>
        <v>191.33828535908725</v>
      </c>
      <c r="P494" s="227">
        <f t="shared" si="186"/>
        <v>35.336011481361204</v>
      </c>
      <c r="Q494" s="227">
        <f t="shared" si="194"/>
        <v>599183.76578092726</v>
      </c>
      <c r="R494" s="227" t="str">
        <f t="shared" si="173"/>
        <v>0.0945666666666667+17.6944783772397i</v>
      </c>
      <c r="S494" s="227" t="str">
        <f t="shared" si="174"/>
        <v>0.0085-0.0101726649501877i</v>
      </c>
      <c r="T494" s="227" t="str">
        <f t="shared" si="175"/>
        <v>0.00850237406100523-0.0101594613427975i</v>
      </c>
      <c r="U494" s="227" t="str">
        <f t="shared" si="176"/>
        <v>-0.0711667911034519+0.0786166371691104i</v>
      </c>
      <c r="V494" s="227">
        <f t="shared" si="187"/>
        <v>-19.49029425377017</v>
      </c>
      <c r="W494" s="227">
        <f t="shared" si="188"/>
        <v>-227.84739964786758</v>
      </c>
      <c r="X494" s="227" t="str">
        <f t="shared" si="177"/>
        <v>-1.55303953902517-0.470528306677965i</v>
      </c>
      <c r="Y494" s="227" t="str">
        <f t="shared" si="178"/>
        <v>0.00623548758992315-1.35724370478812i</v>
      </c>
      <c r="Z494" s="227" t="str">
        <f t="shared" si="179"/>
        <v>-0.337609252740103+1.09615010398097i</v>
      </c>
      <c r="AA494" s="227" t="str">
        <f t="shared" si="180"/>
        <v>0.185891530730771+0.619478340795716i</v>
      </c>
      <c r="AB494" s="227">
        <f t="shared" si="189"/>
        <v>-3.7850271257468493</v>
      </c>
      <c r="AC494" s="227">
        <f t="shared" si="190"/>
        <v>-286.70331953499732</v>
      </c>
      <c r="AD494" s="229">
        <f t="shared" si="191"/>
        <v>-31.550984355614354</v>
      </c>
      <c r="AE494" s="229">
        <f t="shared" si="192"/>
        <v>95.365034175910083</v>
      </c>
      <c r="AF494" s="227">
        <f t="shared" si="181"/>
        <v>-35.336011481361204</v>
      </c>
      <c r="AG494" s="227">
        <f t="shared" si="182"/>
        <v>-191.33828535908725</v>
      </c>
      <c r="AH494" s="229" t="str">
        <f t="shared" si="183"/>
        <v>0.00247323742283381-0.0263356504962541i</v>
      </c>
    </row>
    <row r="495" spans="9:34" x14ac:dyDescent="0.2">
      <c r="I495" s="227">
        <v>491</v>
      </c>
      <c r="J495" s="227">
        <f t="shared" si="171"/>
        <v>5.7873101606506498</v>
      </c>
      <c r="K495" s="227">
        <f t="shared" si="193"/>
        <v>612787.87099331617</v>
      </c>
      <c r="L495" s="227">
        <f t="shared" si="184"/>
        <v>3850259.7474430641</v>
      </c>
      <c r="M495" s="227">
        <f t="shared" si="172"/>
        <v>620880.68837339839</v>
      </c>
      <c r="N495" s="227">
        <f>SQRT((ABS(AC495)-171.5+'Small Signal'!C$59)^2)</f>
        <v>185.88856449331314</v>
      </c>
      <c r="O495" s="227">
        <f t="shared" si="185"/>
        <v>192.14193913345247</v>
      </c>
      <c r="P495" s="227">
        <f t="shared" si="186"/>
        <v>35.967938725686565</v>
      </c>
      <c r="Q495" s="227">
        <f t="shared" si="194"/>
        <v>612787.87099331617</v>
      </c>
      <c r="R495" s="227" t="str">
        <f t="shared" si="173"/>
        <v>0.0945666666666667+18.0962208129824i</v>
      </c>
      <c r="S495" s="227" t="str">
        <f t="shared" si="174"/>
        <v>0.0085-0.00994682822785115i</v>
      </c>
      <c r="T495" s="227" t="str">
        <f t="shared" si="175"/>
        <v>0.0085020276468864-0.00993391800821033i</v>
      </c>
      <c r="U495" s="227" t="str">
        <f t="shared" si="176"/>
        <v>-0.0710258065061943+0.0768720517650841i</v>
      </c>
      <c r="V495" s="227">
        <f t="shared" si="187"/>
        <v>-19.604281541824811</v>
      </c>
      <c r="W495" s="227">
        <f t="shared" si="188"/>
        <v>-227.26366278372043</v>
      </c>
      <c r="X495" s="227" t="str">
        <f t="shared" si="177"/>
        <v>-1.67028604328193-0.481211367460014i</v>
      </c>
      <c r="Y495" s="227" t="str">
        <f t="shared" si="178"/>
        <v>0.00596168965464294-1.32711206491119i</v>
      </c>
      <c r="Z495" s="227" t="str">
        <f t="shared" si="179"/>
        <v>-0.337751730447594+1.15284420784319i</v>
      </c>
      <c r="AA495" s="227" t="str">
        <f t="shared" si="180"/>
        <v>0.183768371509703+0.58681599795351i</v>
      </c>
      <c r="AB495" s="227">
        <f t="shared" si="189"/>
        <v>-4.2236595201099538</v>
      </c>
      <c r="AC495" s="227">
        <f t="shared" si="190"/>
        <v>-287.38856449331314</v>
      </c>
      <c r="AD495" s="229">
        <f t="shared" si="191"/>
        <v>-31.744279205576611</v>
      </c>
      <c r="AE495" s="229">
        <f t="shared" si="192"/>
        <v>95.246625359860687</v>
      </c>
      <c r="AF495" s="227">
        <f t="shared" si="181"/>
        <v>-35.967938725686565</v>
      </c>
      <c r="AG495" s="227">
        <f t="shared" si="182"/>
        <v>-192.14193913345247</v>
      </c>
      <c r="AH495" s="229" t="str">
        <f t="shared" si="183"/>
        <v>0.00236557296763298-0.0257609966030328i</v>
      </c>
    </row>
    <row r="496" spans="9:34" x14ac:dyDescent="0.2">
      <c r="I496" s="227">
        <v>492</v>
      </c>
      <c r="J496" s="227">
        <f t="shared" si="171"/>
        <v>5.7970602831774327</v>
      </c>
      <c r="K496" s="227">
        <f t="shared" si="193"/>
        <v>626700.84919125366</v>
      </c>
      <c r="L496" s="227">
        <f t="shared" si="184"/>
        <v>3937677.5676354547</v>
      </c>
      <c r="M496" s="227">
        <f t="shared" si="172"/>
        <v>635109.55233131873</v>
      </c>
      <c r="N496" s="227">
        <f>SQRT((ABS(AC496)-171.5+'Small Signal'!C$59)^2)</f>
        <v>186.4914857866421</v>
      </c>
      <c r="O496" s="227">
        <f t="shared" si="185"/>
        <v>192.86068561103747</v>
      </c>
      <c r="P496" s="227">
        <f t="shared" si="186"/>
        <v>36.593143394242581</v>
      </c>
      <c r="Q496" s="227">
        <f t="shared" si="194"/>
        <v>626700.84919125366</v>
      </c>
      <c r="R496" s="227" t="str">
        <f t="shared" si="173"/>
        <v>0.0945666666666667+18.5070845678866i</v>
      </c>
      <c r="S496" s="227" t="str">
        <f t="shared" si="174"/>
        <v>0.0085-0.0097260051597935i</v>
      </c>
      <c r="T496" s="227" t="str">
        <f t="shared" si="175"/>
        <v>0.00850169644304766-0.00971338179745843i</v>
      </c>
      <c r="U496" s="227" t="str">
        <f t="shared" si="176"/>
        <v>-0.0708910122585078+0.0751661491232006i</v>
      </c>
      <c r="V496" s="227">
        <f t="shared" si="187"/>
        <v>-19.716123612130659</v>
      </c>
      <c r="W496" s="227">
        <f t="shared" si="188"/>
        <v>-226.67658593325169</v>
      </c>
      <c r="X496" s="227" t="str">
        <f t="shared" si="177"/>
        <v>-1.79291700890339-0.492136980679509i</v>
      </c>
      <c r="Y496" s="227" t="str">
        <f t="shared" si="178"/>
        <v>0.00569991455124851-1.29764938107693i</v>
      </c>
      <c r="Z496" s="227" t="str">
        <f t="shared" si="179"/>
        <v>-0.337887951767695+1.21011938120315i</v>
      </c>
      <c r="AA496" s="227" t="str">
        <f t="shared" si="180"/>
        <v>0.180721133173247+0.55648381795871i</v>
      </c>
      <c r="AB496" s="227">
        <f t="shared" si="189"/>
        <v>-4.6554949899007783</v>
      </c>
      <c r="AC496" s="227">
        <f t="shared" si="190"/>
        <v>-287.9914857866421</v>
      </c>
      <c r="AD496" s="229">
        <f t="shared" si="191"/>
        <v>-31.937648404341804</v>
      </c>
      <c r="AE496" s="229">
        <f t="shared" si="192"/>
        <v>95.130800175604648</v>
      </c>
      <c r="AF496" s="227">
        <f t="shared" si="181"/>
        <v>-36.593143394242581</v>
      </c>
      <c r="AG496" s="227">
        <f t="shared" si="182"/>
        <v>-192.86068561103747</v>
      </c>
      <c r="AH496" s="229" t="str">
        <f t="shared" si="183"/>
        <v>0.0022625565993848-0.0251984556526912i</v>
      </c>
    </row>
    <row r="497" spans="9:34" x14ac:dyDescent="0.2">
      <c r="I497" s="227">
        <v>493</v>
      </c>
      <c r="J497" s="227">
        <f t="shared" si="171"/>
        <v>5.8068104057042165</v>
      </c>
      <c r="K497" s="227">
        <f t="shared" si="193"/>
        <v>640929.713149174</v>
      </c>
      <c r="L497" s="227">
        <f t="shared" si="184"/>
        <v>4027080.1565937167</v>
      </c>
      <c r="M497" s="227">
        <f t="shared" si="172"/>
        <v>649661.47404445603</v>
      </c>
      <c r="N497" s="227">
        <f>SQRT((ABS(AC497)-171.5+'Small Signal'!C$59)^2)</f>
        <v>187.01897834319124</v>
      </c>
      <c r="O497" s="227">
        <f t="shared" si="185"/>
        <v>193.50147417275173</v>
      </c>
      <c r="P497" s="227">
        <f t="shared" si="186"/>
        <v>37.211552065191057</v>
      </c>
      <c r="Q497" s="227">
        <f t="shared" si="194"/>
        <v>640929.713149174</v>
      </c>
      <c r="R497" s="227" t="str">
        <f t="shared" si="173"/>
        <v>0.0945666666666667+18.9272767359905i</v>
      </c>
      <c r="S497" s="227" t="str">
        <f t="shared" si="174"/>
        <v>0.0085-0.00951008444113506i</v>
      </c>
      <c r="T497" s="227" t="str">
        <f t="shared" si="175"/>
        <v>0.00850137978163988-0.00949774155175606i</v>
      </c>
      <c r="U497" s="227" t="str">
        <f t="shared" si="176"/>
        <v>-0.0707621365537862+0.0734980735760717i</v>
      </c>
      <c r="V497" s="227">
        <f t="shared" si="187"/>
        <v>-19.825806948116409</v>
      </c>
      <c r="W497" s="227">
        <f t="shared" si="188"/>
        <v>-226.08650094151048</v>
      </c>
      <c r="X497" s="227" t="str">
        <f t="shared" si="177"/>
        <v>-1.92117971340432-0.503310653342929i</v>
      </c>
      <c r="Y497" s="227" t="str">
        <f t="shared" si="178"/>
        <v>0.00544963430111594-1.26884080072351i</v>
      </c>
      <c r="Z497" s="227" t="str">
        <f t="shared" si="179"/>
        <v>-0.338018191447695+1.26800449442815i</v>
      </c>
      <c r="AA497" s="227" t="str">
        <f t="shared" si="180"/>
        <v>0.176963204903381+0.528305653857084i</v>
      </c>
      <c r="AB497" s="227">
        <f t="shared" si="189"/>
        <v>-5.0804633242493189</v>
      </c>
      <c r="AC497" s="227">
        <f t="shared" si="190"/>
        <v>-288.51897834319124</v>
      </c>
      <c r="AD497" s="229">
        <f t="shared" si="191"/>
        <v>-32.131088740941735</v>
      </c>
      <c r="AE497" s="229">
        <f t="shared" si="192"/>
        <v>95.017504170439523</v>
      </c>
      <c r="AF497" s="227">
        <f t="shared" si="181"/>
        <v>-37.211552065191057</v>
      </c>
      <c r="AG497" s="227">
        <f t="shared" si="182"/>
        <v>-193.50147417275173</v>
      </c>
      <c r="AH497" s="229" t="str">
        <f t="shared" si="183"/>
        <v>0.00216399095344004-0.0246477999597551i</v>
      </c>
    </row>
    <row r="498" spans="9:34" x14ac:dyDescent="0.2">
      <c r="I498" s="227">
        <v>494</v>
      </c>
      <c r="J498" s="227">
        <f t="shared" si="171"/>
        <v>5.8165605282310002</v>
      </c>
      <c r="K498" s="227">
        <f t="shared" si="193"/>
        <v>655481.6348623113</v>
      </c>
      <c r="L498" s="227">
        <f t="shared" si="184"/>
        <v>4118512.5772929289</v>
      </c>
      <c r="M498" s="227">
        <f t="shared" si="172"/>
        <v>664543.78834386426</v>
      </c>
      <c r="N498" s="227">
        <f>SQRT((ABS(AC498)-171.5+'Small Signal'!C$59)^2)</f>
        <v>187.47733308135219</v>
      </c>
      <c r="O498" s="227">
        <f t="shared" si="185"/>
        <v>194.07064916668295</v>
      </c>
      <c r="P498" s="227">
        <f t="shared" si="186"/>
        <v>37.823150216779666</v>
      </c>
      <c r="Q498" s="227">
        <f t="shared" si="194"/>
        <v>655481.6348623113</v>
      </c>
      <c r="R498" s="227" t="str">
        <f t="shared" si="173"/>
        <v>0.0945666666666667+19.3570091132768i</v>
      </c>
      <c r="S498" s="227" t="str">
        <f t="shared" si="174"/>
        <v>0.0085-0.00929895723800328i</v>
      </c>
      <c r="T498" s="227" t="str">
        <f t="shared" si="175"/>
        <v>0.0085010770241376-0.00928688858000883i</v>
      </c>
      <c r="U498" s="227" t="str">
        <f t="shared" si="176"/>
        <v>-0.070638919520013+0.0718669882502637i</v>
      </c>
      <c r="V498" s="227">
        <f t="shared" si="187"/>
        <v>-19.933320063856701</v>
      </c>
      <c r="W498" s="227">
        <f t="shared" si="188"/>
        <v>-225.49374383527203</v>
      </c>
      <c r="X498" s="227" t="str">
        <f t="shared" si="177"/>
        <v>-2.05533279034148-0.514738017490001i</v>
      </c>
      <c r="Y498" s="227" t="str">
        <f t="shared" si="178"/>
        <v>0.00521034411505601-1.24067180111911i</v>
      </c>
      <c r="Z498" s="227" t="str">
        <f t="shared" si="179"/>
        <v>-0.338142712167653+1.32652872525321i</v>
      </c>
      <c r="AA498" s="227" t="str">
        <f t="shared" si="180"/>
        <v>0.172669234613902+0.502113078188782i</v>
      </c>
      <c r="AB498" s="227">
        <f t="shared" si="189"/>
        <v>-5.498553075928637</v>
      </c>
      <c r="AC498" s="227">
        <f t="shared" si="190"/>
        <v>-288.97733308135219</v>
      </c>
      <c r="AD498" s="229">
        <f t="shared" si="191"/>
        <v>-32.324597140851033</v>
      </c>
      <c r="AE498" s="229">
        <f t="shared" si="192"/>
        <v>94.90668391466923</v>
      </c>
      <c r="AF498" s="227">
        <f t="shared" si="181"/>
        <v>-37.823150216779666</v>
      </c>
      <c r="AG498" s="227">
        <f t="shared" si="182"/>
        <v>-194.07064916668295</v>
      </c>
      <c r="AH498" s="229" t="str">
        <f t="shared" si="183"/>
        <v>0.00206968676380286-0.0241088042876108i</v>
      </c>
    </row>
    <row r="499" spans="9:34" x14ac:dyDescent="0.2">
      <c r="I499" s="227">
        <v>495</v>
      </c>
      <c r="J499" s="227">
        <f t="shared" si="171"/>
        <v>5.8263106507577831</v>
      </c>
      <c r="K499" s="227">
        <f t="shared" si="193"/>
        <v>670363.94916171953</v>
      </c>
      <c r="L499" s="227">
        <f t="shared" si="184"/>
        <v>4212020.9158357996</v>
      </c>
      <c r="M499" s="227">
        <f t="shared" si="172"/>
        <v>679763.99659350305</v>
      </c>
      <c r="N499" s="227">
        <f>SQRT((ABS(AC499)-171.5+'Small Signal'!C$59)^2)</f>
        <v>187.8722870515241</v>
      </c>
      <c r="O499" s="227">
        <f t="shared" si="185"/>
        <v>194.57400006087556</v>
      </c>
      <c r="P499" s="227">
        <f t="shared" si="186"/>
        <v>38.427969164605997</v>
      </c>
      <c r="Q499" s="227">
        <f t="shared" si="194"/>
        <v>670363.94916171953</v>
      </c>
      <c r="R499" s="227" t="str">
        <f t="shared" si="173"/>
        <v>0.0945666666666667+19.7964983044283i</v>
      </c>
      <c r="S499" s="227" t="str">
        <f t="shared" si="174"/>
        <v>0.0085-0.00909251713267569i</v>
      </c>
      <c r="T499" s="227" t="str">
        <f t="shared" si="175"/>
        <v>0.00850078756005154-0.0090807166040346i</v>
      </c>
      <c r="U499" s="227" t="str">
        <f t="shared" si="176"/>
        <v>-0.0705211126957234+0.070272074662229i</v>
      </c>
      <c r="V499" s="227">
        <f t="shared" si="187"/>
        <v>-20.03865355167607</v>
      </c>
      <c r="W499" s="227">
        <f t="shared" si="188"/>
        <v>-224.89865409226005</v>
      </c>
      <c r="X499" s="227" t="str">
        <f t="shared" si="177"/>
        <v>-2.19564675083164-0.526424833032514i</v>
      </c>
      <c r="Y499" s="227" t="str">
        <f t="shared" si="178"/>
        <v>0.00498156137452482-1.21312818203308i</v>
      </c>
      <c r="Z499" s="227" t="str">
        <f t="shared" si="179"/>
        <v>-0.338261765070536+1.38572157349234i</v>
      </c>
      <c r="AA499" s="227" t="str">
        <f t="shared" si="180"/>
        <v>0.16798168238419+0.477747272646575i</v>
      </c>
      <c r="AB499" s="227">
        <f t="shared" si="189"/>
        <v>-5.9097985042252024</v>
      </c>
      <c r="AC499" s="227">
        <f t="shared" si="190"/>
        <v>-289.3722870515241</v>
      </c>
      <c r="AD499" s="229">
        <f t="shared" si="191"/>
        <v>-32.518170660380797</v>
      </c>
      <c r="AE499" s="229">
        <f t="shared" si="192"/>
        <v>94.798286990648535</v>
      </c>
      <c r="AF499" s="227">
        <f t="shared" si="181"/>
        <v>-38.427969164605997</v>
      </c>
      <c r="AG499" s="227">
        <f t="shared" si="182"/>
        <v>-194.57400006087556</v>
      </c>
      <c r="AH499" s="229" t="str">
        <f t="shared" si="183"/>
        <v>0.00197946255498277-0.0235812459555881i</v>
      </c>
    </row>
    <row r="500" spans="9:34" x14ac:dyDescent="0.2">
      <c r="I500" s="227">
        <v>496</v>
      </c>
      <c r="J500" s="227">
        <f t="shared" si="171"/>
        <v>5.8360607732845668</v>
      </c>
      <c r="K500" s="227">
        <f t="shared" si="193"/>
        <v>685584.15741135832</v>
      </c>
      <c r="L500" s="227">
        <f t="shared" si="184"/>
        <v>4307652.304682143</v>
      </c>
      <c r="M500" s="227">
        <f t="shared" si="172"/>
        <v>695329.77047126123</v>
      </c>
      <c r="N500" s="227">
        <f>SQRT((ABS(AC500)-171.5+'Small Signal'!C$59)^2)</f>
        <v>188.20907250707035</v>
      </c>
      <c r="O500" s="227">
        <f t="shared" si="185"/>
        <v>195.01681052572837</v>
      </c>
      <c r="P500" s="227">
        <f t="shared" si="186"/>
        <v>39.02607557252751</v>
      </c>
      <c r="Q500" s="227">
        <f t="shared" si="194"/>
        <v>685584.15741135832</v>
      </c>
      <c r="R500" s="227" t="str">
        <f t="shared" si="173"/>
        <v>0.0945666666666667+20.2459658320061i</v>
      </c>
      <c r="S500" s="227" t="str">
        <f t="shared" si="174"/>
        <v>0.0085-0.00889066006994072i</v>
      </c>
      <c r="T500" s="227" t="str">
        <f t="shared" si="175"/>
        <v>0.00850051080569757-0.00887912170500079i</v>
      </c>
      <c r="U500" s="227" t="str">
        <f t="shared" si="176"/>
        <v>-0.0704084785289824+0.0687125323223641i</v>
      </c>
      <c r="V500" s="227">
        <f t="shared" si="187"/>
        <v>-20.141800121760085</v>
      </c>
      <c r="W500" s="227">
        <f t="shared" si="188"/>
        <v>-224.30157388626751</v>
      </c>
      <c r="X500" s="227" t="str">
        <f t="shared" si="177"/>
        <v>-2.34240452902002-0.53837699065757i</v>
      </c>
      <c r="Y500" s="227" t="str">
        <f t="shared" si="178"/>
        <v>0.00476282465759163-1.18619605857046i</v>
      </c>
      <c r="Z500" s="227" t="str">
        <f t="shared" si="179"/>
        <v>-0.33837559026909+1.44561287591221i</v>
      </c>
      <c r="AA500" s="227" t="str">
        <f t="shared" si="180"/>
        <v>0.163016364699603+0.455059990806923i</v>
      </c>
      <c r="AB500" s="227">
        <f t="shared" si="189"/>
        <v>-6.3142690912430011</v>
      </c>
      <c r="AC500" s="227">
        <f t="shared" si="190"/>
        <v>-289.70907250707035</v>
      </c>
      <c r="AD500" s="229">
        <f t="shared" si="191"/>
        <v>-32.711806481284512</v>
      </c>
      <c r="AE500" s="229">
        <f t="shared" si="192"/>
        <v>94.692261981341986</v>
      </c>
      <c r="AF500" s="227">
        <f t="shared" si="181"/>
        <v>-39.02607557252751</v>
      </c>
      <c r="AG500" s="227">
        <f t="shared" si="182"/>
        <v>-195.01681052572837</v>
      </c>
      <c r="AH500" s="229" t="str">
        <f t="shared" si="183"/>
        <v>0.00189314434345943-0.0230649049340121i</v>
      </c>
    </row>
    <row r="501" spans="9:34" x14ac:dyDescent="0.2">
      <c r="I501" s="227">
        <v>497</v>
      </c>
      <c r="J501" s="227">
        <f t="shared" si="171"/>
        <v>5.8458108958113497</v>
      </c>
      <c r="K501" s="227">
        <f t="shared" si="193"/>
        <v>701149.9312891165</v>
      </c>
      <c r="L501" s="227">
        <f t="shared" si="184"/>
        <v>4405454.9464057535</v>
      </c>
      <c r="M501" s="227">
        <f t="shared" si="172"/>
        <v>711248.95583584567</v>
      </c>
      <c r="N501" s="227">
        <f>SQRT((ABS(AC501)-171.5+'Small Signal'!C$59)^2)</f>
        <v>188.49246361191894</v>
      </c>
      <c r="O501" s="227">
        <f t="shared" si="185"/>
        <v>195.40390515346746</v>
      </c>
      <c r="P501" s="227">
        <f t="shared" si="186"/>
        <v>39.617563064021951</v>
      </c>
      <c r="Q501" s="227">
        <f t="shared" si="194"/>
        <v>701149.9312891165</v>
      </c>
      <c r="R501" s="227" t="str">
        <f t="shared" si="173"/>
        <v>0.0945666666666667+20.705638248107i</v>
      </c>
      <c r="S501" s="227" t="str">
        <f t="shared" si="174"/>
        <v>0.0085-0.00869328430464854i</v>
      </c>
      <c r="T501" s="227" t="str">
        <f t="shared" si="175"/>
        <v>0.00850024620301978-0.00868200227104945i</v>
      </c>
      <c r="U501" s="227" t="str">
        <f t="shared" si="176"/>
        <v>-0.0703007898983601+0.0671875783470376i</v>
      </c>
      <c r="V501" s="227">
        <f t="shared" si="187"/>
        <v>-20.242754633452474</v>
      </c>
      <c r="W501" s="227">
        <f t="shared" si="188"/>
        <v>-223.70284731261265</v>
      </c>
      <c r="X501" s="227" t="str">
        <f t="shared" si="177"/>
        <v>-2.49590205259899-0.55060051479676i</v>
      </c>
      <c r="Y501" s="227" t="str">
        <f t="shared" si="178"/>
        <v>0.00455369280778652-1.15986185416577i</v>
      </c>
      <c r="Z501" s="227" t="str">
        <f t="shared" si="179"/>
        <v>-0.338484417330458+1.50623282127515i</v>
      </c>
      <c r="AA501" s="227" t="str">
        <f t="shared" si="180"/>
        <v>0.157867105202071+0.433913883475167i</v>
      </c>
      <c r="AB501" s="227">
        <f t="shared" si="189"/>
        <v>-6.7120611584496785</v>
      </c>
      <c r="AC501" s="227">
        <f t="shared" si="190"/>
        <v>-289.99246361191894</v>
      </c>
      <c r="AD501" s="229">
        <f t="shared" si="191"/>
        <v>-32.905501905572272</v>
      </c>
      <c r="AE501" s="229">
        <f t="shared" si="192"/>
        <v>94.588558458451459</v>
      </c>
      <c r="AF501" s="227">
        <f t="shared" si="181"/>
        <v>-39.617563064021951</v>
      </c>
      <c r="AG501" s="227">
        <f t="shared" si="182"/>
        <v>-195.40390515346746</v>
      </c>
      <c r="AH501" s="229" t="str">
        <f t="shared" si="183"/>
        <v>0.00181056534865442-0.0225595639280249i</v>
      </c>
    </row>
    <row r="502" spans="9:34" x14ac:dyDescent="0.2">
      <c r="I502" s="227">
        <v>498</v>
      </c>
      <c r="J502" s="227">
        <f t="shared" si="171"/>
        <v>5.8555610183381335</v>
      </c>
      <c r="K502" s="227">
        <f t="shared" si="193"/>
        <v>717069.11665370094</v>
      </c>
      <c r="L502" s="227">
        <f t="shared" si="184"/>
        <v>4505478.1379907783</v>
      </c>
      <c r="M502" s="227">
        <f t="shared" si="172"/>
        <v>727529.57668143371</v>
      </c>
      <c r="N502" s="227">
        <f>SQRT((ABS(AC502)-171.5+'Small Signal'!C$59)^2)</f>
        <v>188.72682005460535</v>
      </c>
      <c r="O502" s="227">
        <f t="shared" si="185"/>
        <v>195.73969308444282</v>
      </c>
      <c r="P502" s="227">
        <f t="shared" si="186"/>
        <v>40.202545537945468</v>
      </c>
      <c r="Q502" s="227">
        <f t="shared" si="194"/>
        <v>717069.11665370094</v>
      </c>
      <c r="R502" s="227" t="str">
        <f t="shared" si="173"/>
        <v>0.0945666666666667+21.1757472485567i</v>
      </c>
      <c r="S502" s="227" t="str">
        <f t="shared" si="174"/>
        <v>0.0085-0.00850029035042762i</v>
      </c>
      <c r="T502" s="227" t="str">
        <f t="shared" si="175"/>
        <v>0.0084999932184652-0.00848925894608646i</v>
      </c>
      <c r="U502" s="227" t="str">
        <f t="shared" si="176"/>
        <v>-0.0701978296549407+0.0656964470785027i</v>
      </c>
      <c r="V502" s="227">
        <f t="shared" si="187"/>
        <v>-20.341514117979177</v>
      </c>
      <c r="W502" s="227">
        <f t="shared" si="188"/>
        <v>-223.10281959861234</v>
      </c>
      <c r="X502" s="227" t="str">
        <f t="shared" si="177"/>
        <v>-2.65644883952726-0.563101566662756i</v>
      </c>
      <c r="Y502" s="227" t="str">
        <f t="shared" si="178"/>
        <v>0.0043537440437396-1.13411229373284i</v>
      </c>
      <c r="Z502" s="227" t="str">
        <f t="shared" si="179"/>
        <v>-0.338588465739368+1.56761196555937i</v>
      </c>
      <c r="AA502" s="227" t="str">
        <f t="shared" si="180"/>
        <v>0.152609611893408+0.414182397529453i</v>
      </c>
      <c r="AB502" s="227">
        <f t="shared" si="189"/>
        <v>-7.1032911874195754</v>
      </c>
      <c r="AC502" s="227">
        <f t="shared" si="190"/>
        <v>-290.22682005460535</v>
      </c>
      <c r="AD502" s="229">
        <f t="shared" si="191"/>
        <v>-33.099254350525896</v>
      </c>
      <c r="AE502" s="229">
        <f t="shared" si="192"/>
        <v>94.487126970162521</v>
      </c>
      <c r="AF502" s="227">
        <f t="shared" si="181"/>
        <v>-40.202545537945468</v>
      </c>
      <c r="AG502" s="227">
        <f t="shared" si="182"/>
        <v>-195.73969308444282</v>
      </c>
      <c r="AH502" s="229" t="str">
        <f t="shared" si="183"/>
        <v>0.00173156571328491-0.0220650084509428i</v>
      </c>
    </row>
    <row r="503" spans="9:34" x14ac:dyDescent="0.2">
      <c r="I503" s="227">
        <v>499</v>
      </c>
      <c r="J503" s="227">
        <f t="shared" si="171"/>
        <v>5.8653111408649163</v>
      </c>
      <c r="K503" s="227">
        <f t="shared" si="193"/>
        <v>733349.73749928898</v>
      </c>
      <c r="L503" s="227">
        <f t="shared" si="184"/>
        <v>4607772.2956795385</v>
      </c>
      <c r="M503" s="227">
        <f t="shared" si="172"/>
        <v>744179.8391821452</v>
      </c>
      <c r="N503" s="227">
        <f>SQRT((ABS(AC503)-171.5+'Small Signal'!C$59)^2)</f>
        <v>188.91612722071909</v>
      </c>
      <c r="O503" s="227">
        <f t="shared" si="185"/>
        <v>196.02820819216089</v>
      </c>
      <c r="P503" s="227">
        <f t="shared" si="186"/>
        <v>40.781151861130745</v>
      </c>
      <c r="Q503" s="227">
        <f t="shared" si="194"/>
        <v>733349.73749928898</v>
      </c>
      <c r="R503" s="227" t="str">
        <f t="shared" si="173"/>
        <v>0.0945666666666667+21.6565297896938i</v>
      </c>
      <c r="S503" s="227" t="str">
        <f t="shared" si="174"/>
        <v>0.0085-0.00831158092953842i</v>
      </c>
      <c r="T503" s="227" t="str">
        <f t="shared" si="175"/>
        <v>0.00849975134190794-0.00830079457970539i</v>
      </c>
      <c r="U503" s="227" t="str">
        <f t="shared" si="176"/>
        <v>-0.0700993901844415+0.0642383897125258i</v>
      </c>
      <c r="V503" s="227">
        <f t="shared" si="187"/>
        <v>-20.438077792416237</v>
      </c>
      <c r="W503" s="227">
        <f t="shared" si="188"/>
        <v>-222.50183630388617</v>
      </c>
      <c r="X503" s="227" t="str">
        <f t="shared" si="177"/>
        <v>-2.82436862215306-0.575886447354837i</v>
      </c>
      <c r="Y503" s="227" t="str">
        <f t="shared" si="178"/>
        <v>0.00416257510811243-1.10893439696697i</v>
      </c>
      <c r="Z503" s="227" t="str">
        <f t="shared" si="179"/>
        <v>-0.338687945341132+1.62978124736398i</v>
      </c>
      <c r="AA503" s="227" t="str">
        <f t="shared" si="180"/>
        <v>0.147304695020865+0.395749399844759i</v>
      </c>
      <c r="AB503" s="227">
        <f t="shared" si="189"/>
        <v>-7.4880905172238945</v>
      </c>
      <c r="AC503" s="227">
        <f t="shared" si="190"/>
        <v>-290.41612722071909</v>
      </c>
      <c r="AD503" s="229">
        <f t="shared" si="191"/>
        <v>-33.293061343906849</v>
      </c>
      <c r="AE503" s="229">
        <f t="shared" si="192"/>
        <v>94.387919028558187</v>
      </c>
      <c r="AF503" s="227">
        <f t="shared" si="181"/>
        <v>-40.781151861130745</v>
      </c>
      <c r="AG503" s="227">
        <f t="shared" si="182"/>
        <v>-196.02820819216089</v>
      </c>
      <c r="AH503" s="229" t="str">
        <f t="shared" si="183"/>
        <v>0.00165599223295718-0.0215810268878753i</v>
      </c>
    </row>
    <row r="504" spans="9:34" x14ac:dyDescent="0.2">
      <c r="I504" s="227">
        <v>500</v>
      </c>
      <c r="J504" s="227">
        <f t="shared" si="171"/>
        <v>5.8750612633917001</v>
      </c>
      <c r="K504" s="227">
        <f t="shared" si="193"/>
        <v>750000.00000000047</v>
      </c>
      <c r="L504" s="227">
        <f>2*PI()*K504</f>
        <v>4712388.9803846925</v>
      </c>
      <c r="M504" s="227">
        <f t="shared" si="172"/>
        <v>5820.1608178552151</v>
      </c>
      <c r="N504" s="227">
        <f>SQRT((ABS(AC504)-171.5+'Small Signal'!C$59)^2)</f>
        <v>188.93687548546399</v>
      </c>
      <c r="O504" s="227">
        <f t="shared" si="185"/>
        <v>196.14598838872098</v>
      </c>
      <c r="P504" s="227">
        <f t="shared" si="186"/>
        <v>41.36520822393571</v>
      </c>
      <c r="Q504" s="227">
        <f t="shared" si="194"/>
        <v>750000.00000000047</v>
      </c>
      <c r="R504" s="227" t="str">
        <f>IMSUM(COMPLEX(DCRss,Lss*L504),COMPLEX(Rdsonss,0),COMPLEX(Risense,0))</f>
        <v>0.0329+22.1482282078081i</v>
      </c>
      <c r="S504" s="227" t="str">
        <f t="shared" si="174"/>
        <v>0.0085-0.00812706092384148i</v>
      </c>
      <c r="T504" s="227" t="str">
        <f t="shared" si="175"/>
        <v>0.00849952008562057-0.00811651417822474i</v>
      </c>
      <c r="U504" s="227" t="str">
        <f t="shared" si="176"/>
        <v>-0.0700111826049007+0.0628182590564809i</v>
      </c>
      <c r="V504" s="227">
        <f t="shared" si="187"/>
        <v>-20.531696428477332</v>
      </c>
      <c r="W504" s="227">
        <f t="shared" si="188"/>
        <v>-221.90037067737828</v>
      </c>
      <c r="X504" s="227" t="str">
        <f t="shared" si="177"/>
        <v>-3-0.588961601034931i</v>
      </c>
      <c r="Y504" s="227" t="str">
        <f t="shared" si="178"/>
        <v>0.000960737893124296-1.08433109843991i</v>
      </c>
      <c r="Z504" s="227" t="str">
        <f t="shared" si="179"/>
        <v>-0.334071261187249+1.69372237967379i</v>
      </c>
      <c r="AA504" s="227" t="str">
        <f t="shared" si="180"/>
        <v>0.140970751819742+0.378313496205905i</v>
      </c>
      <c r="AB504" s="227">
        <f t="shared" si="189"/>
        <v>-7.8782877045820427</v>
      </c>
      <c r="AC504" s="227">
        <f t="shared" si="190"/>
        <v>-290.43687548546399</v>
      </c>
      <c r="AD504" s="229">
        <f t="shared" si="191"/>
        <v>-33.486920519353667</v>
      </c>
      <c r="AE504" s="229">
        <f t="shared" si="192"/>
        <v>94.290887096743006</v>
      </c>
      <c r="AF504" s="227">
        <f t="shared" si="181"/>
        <v>-41.36520822393571</v>
      </c>
      <c r="AG504" s="227">
        <f t="shared" si="182"/>
        <v>-196.14598838872098</v>
      </c>
      <c r="AH504" s="229" t="str">
        <f t="shared" si="183"/>
        <v>0.00158369809484132-0.0211074105502781i</v>
      </c>
    </row>
    <row r="505" spans="9:34" x14ac:dyDescent="0.2">
      <c r="AF505" s="231" t="s">
        <v>121</v>
      </c>
    </row>
    <row r="507" spans="9:34" x14ac:dyDescent="0.2">
      <c r="I507" s="227" t="s">
        <v>175</v>
      </c>
      <c r="M507" s="227" t="s">
        <v>173</v>
      </c>
      <c r="Q507" s="227" t="s">
        <v>174</v>
      </c>
    </row>
    <row r="508" spans="9:34" ht="15" x14ac:dyDescent="0.25">
      <c r="I508" s="227" t="s">
        <v>329</v>
      </c>
      <c r="M508" s="227" t="s">
        <v>329</v>
      </c>
      <c r="N508" s="232"/>
      <c r="O508" s="232"/>
      <c r="P508" s="232"/>
      <c r="Q508" s="232" t="s">
        <v>169</v>
      </c>
    </row>
    <row r="509" spans="9:34" ht="15" x14ac:dyDescent="0.25">
      <c r="I509" s="227" t="s">
        <v>331</v>
      </c>
      <c r="M509" s="227" t="s">
        <v>330</v>
      </c>
      <c r="N509" s="232"/>
      <c r="O509" s="232"/>
      <c r="P509" s="232"/>
      <c r="Q509" s="232" t="s">
        <v>327</v>
      </c>
    </row>
    <row r="510" spans="9:34" ht="15" x14ac:dyDescent="0.25">
      <c r="I510" s="227" t="s">
        <v>170</v>
      </c>
      <c r="J510" s="227" t="s">
        <v>171</v>
      </c>
      <c r="K510" s="227" t="s">
        <v>172</v>
      </c>
      <c r="M510" s="227" t="s">
        <v>170</v>
      </c>
      <c r="N510" s="232" t="s">
        <v>171</v>
      </c>
      <c r="O510" s="232" t="s">
        <v>172</v>
      </c>
      <c r="P510" s="232"/>
      <c r="Q510" s="232" t="s">
        <v>170</v>
      </c>
      <c r="R510" s="227" t="s">
        <v>171</v>
      </c>
      <c r="S510" s="227" t="s">
        <v>172</v>
      </c>
    </row>
    <row r="511" spans="9:34" ht="15" x14ac:dyDescent="0.25">
      <c r="I511" s="227">
        <v>10</v>
      </c>
      <c r="J511" s="227">
        <v>37.660600000000002</v>
      </c>
      <c r="K511" s="227">
        <v>174.03</v>
      </c>
      <c r="M511" s="227">
        <v>10</v>
      </c>
      <c r="N511" s="232">
        <v>18.21</v>
      </c>
      <c r="O511" s="232">
        <v>0.85629999999999995</v>
      </c>
      <c r="P511" s="232"/>
      <c r="Q511" s="232"/>
    </row>
    <row r="512" spans="9:34" ht="15" x14ac:dyDescent="0.25">
      <c r="I512" s="227">
        <v>12.59</v>
      </c>
      <c r="J512" s="227">
        <v>40.938000000000002</v>
      </c>
      <c r="K512" s="227">
        <v>10.471</v>
      </c>
      <c r="M512" s="227">
        <v>12.59</v>
      </c>
      <c r="N512" s="232">
        <v>18.2605</v>
      </c>
      <c r="O512" s="232">
        <v>0.83806000000000003</v>
      </c>
      <c r="P512" s="232"/>
      <c r="Q512" s="232"/>
    </row>
    <row r="513" spans="9:17" ht="15" x14ac:dyDescent="0.25">
      <c r="I513" s="227">
        <v>15.85</v>
      </c>
      <c r="J513" s="227">
        <v>45.019300000000001</v>
      </c>
      <c r="K513" s="227">
        <v>156.11000000000001</v>
      </c>
      <c r="M513" s="227">
        <v>15.85</v>
      </c>
      <c r="N513" s="232">
        <v>18.195399999999999</v>
      </c>
      <c r="O513" s="232">
        <v>-1.2109000000000001</v>
      </c>
      <c r="P513" s="232"/>
      <c r="Q513" s="232"/>
    </row>
    <row r="514" spans="9:17" ht="15" x14ac:dyDescent="0.25">
      <c r="I514" s="227">
        <v>19.95</v>
      </c>
      <c r="J514" s="227">
        <v>41.562100000000001</v>
      </c>
      <c r="K514" s="227">
        <v>-168.2</v>
      </c>
      <c r="M514" s="227">
        <v>19.95</v>
      </c>
      <c r="N514" s="232">
        <v>18.6417</v>
      </c>
      <c r="O514" s="232">
        <v>-0.48448999999999998</v>
      </c>
      <c r="P514" s="232"/>
      <c r="Q514" s="232"/>
    </row>
    <row r="515" spans="9:17" ht="15" x14ac:dyDescent="0.25">
      <c r="I515" s="227">
        <v>25.12</v>
      </c>
      <c r="J515" s="227">
        <v>43.169699999999999</v>
      </c>
      <c r="K515" s="227">
        <v>173.51</v>
      </c>
      <c r="M515" s="227">
        <v>25.12</v>
      </c>
      <c r="N515" s="232">
        <v>18.401</v>
      </c>
      <c r="O515" s="232">
        <v>-0.98385999999999996</v>
      </c>
      <c r="P515" s="232"/>
      <c r="Q515" s="232"/>
    </row>
    <row r="516" spans="9:17" ht="15" x14ac:dyDescent="0.25">
      <c r="I516" s="227">
        <v>31.62</v>
      </c>
      <c r="J516" s="227">
        <v>42.245800000000003</v>
      </c>
      <c r="K516" s="227">
        <v>139.72999999999999</v>
      </c>
      <c r="M516" s="227">
        <v>31.62</v>
      </c>
      <c r="N516" s="232">
        <v>18.456</v>
      </c>
      <c r="O516" s="232">
        <v>0.32150000000000001</v>
      </c>
      <c r="P516" s="232"/>
      <c r="Q516" s="232"/>
    </row>
    <row r="517" spans="9:17" ht="15" x14ac:dyDescent="0.25">
      <c r="I517" s="227">
        <v>39.81</v>
      </c>
      <c r="J517" s="227">
        <v>41.420299999999997</v>
      </c>
      <c r="K517" s="227">
        <v>136.25</v>
      </c>
      <c r="M517" s="227">
        <v>39.81</v>
      </c>
      <c r="N517" s="232">
        <v>18.449200000000001</v>
      </c>
      <c r="O517" s="232">
        <v>-0.60572000000000004</v>
      </c>
      <c r="P517" s="232"/>
      <c r="Q517" s="232"/>
    </row>
    <row r="518" spans="9:17" ht="15" x14ac:dyDescent="0.25">
      <c r="I518" s="227">
        <v>50.12</v>
      </c>
      <c r="J518" s="227">
        <v>41.924500000000002</v>
      </c>
      <c r="K518" s="227">
        <v>127.18</v>
      </c>
      <c r="M518" s="227">
        <v>50.12</v>
      </c>
      <c r="N518" s="232">
        <v>18.566299999999998</v>
      </c>
      <c r="O518" s="232">
        <v>-1.2511000000000001</v>
      </c>
      <c r="P518" s="232"/>
      <c r="Q518" s="232"/>
    </row>
    <row r="519" spans="9:17" ht="15" x14ac:dyDescent="0.25">
      <c r="I519" s="227">
        <v>63.1</v>
      </c>
      <c r="J519" s="227">
        <v>40.187199999999997</v>
      </c>
      <c r="K519" s="227">
        <v>123.47</v>
      </c>
      <c r="M519" s="227">
        <v>63.1</v>
      </c>
      <c r="N519" s="232">
        <v>18.429400000000001</v>
      </c>
      <c r="O519" s="232">
        <v>-0.94950999999999997</v>
      </c>
      <c r="P519" s="232"/>
      <c r="Q519" s="232"/>
    </row>
    <row r="520" spans="9:17" ht="15" x14ac:dyDescent="0.25">
      <c r="I520" s="227">
        <v>79.44</v>
      </c>
      <c r="J520" s="227">
        <v>38.4514</v>
      </c>
      <c r="K520" s="227">
        <v>118.43</v>
      </c>
      <c r="M520" s="227">
        <v>79.44</v>
      </c>
      <c r="N520" s="232">
        <v>18.380700000000001</v>
      </c>
      <c r="O520" s="232">
        <v>-1.4977</v>
      </c>
      <c r="P520" s="232"/>
      <c r="Q520" s="232"/>
    </row>
    <row r="521" spans="9:17" ht="15" x14ac:dyDescent="0.25">
      <c r="I521" s="227">
        <v>100</v>
      </c>
      <c r="J521" s="227">
        <v>36.996499999999997</v>
      </c>
      <c r="K521" s="227">
        <v>113.19</v>
      </c>
      <c r="M521" s="227">
        <v>100</v>
      </c>
      <c r="N521" s="232">
        <v>18.421800000000001</v>
      </c>
      <c r="O521" s="232">
        <v>-2.1703000000000001</v>
      </c>
      <c r="P521" s="232"/>
      <c r="Q521" s="232"/>
    </row>
    <row r="522" spans="9:17" ht="15" x14ac:dyDescent="0.25">
      <c r="I522" s="227">
        <v>125.9</v>
      </c>
      <c r="J522" s="227">
        <v>35.101599999999998</v>
      </c>
      <c r="K522" s="227">
        <v>107.02</v>
      </c>
      <c r="M522" s="227">
        <v>125.9</v>
      </c>
      <c r="N522" s="232">
        <v>18.415299999999998</v>
      </c>
      <c r="O522" s="232">
        <v>-2.3035999999999999</v>
      </c>
      <c r="P522" s="232"/>
      <c r="Q522" s="232"/>
    </row>
    <row r="523" spans="9:17" ht="15" x14ac:dyDescent="0.25">
      <c r="I523" s="227">
        <v>158.5</v>
      </c>
      <c r="J523" s="227">
        <v>33.128500000000003</v>
      </c>
      <c r="K523" s="227">
        <v>106.26</v>
      </c>
      <c r="M523" s="227">
        <v>158.5</v>
      </c>
      <c r="N523" s="232">
        <v>18.372299999999999</v>
      </c>
      <c r="O523" s="232">
        <v>-3.1655000000000002</v>
      </c>
      <c r="P523" s="232"/>
      <c r="Q523" s="232"/>
    </row>
    <row r="524" spans="9:17" ht="15" x14ac:dyDescent="0.25">
      <c r="I524" s="227">
        <v>199.5</v>
      </c>
      <c r="J524" s="227">
        <v>31.1892</v>
      </c>
      <c r="K524" s="227">
        <v>104.03</v>
      </c>
      <c r="M524" s="227">
        <v>199.5</v>
      </c>
      <c r="N524" s="232">
        <v>18.3811</v>
      </c>
      <c r="O524" s="232">
        <v>-3.6356999999999999</v>
      </c>
      <c r="P524" s="232"/>
      <c r="Q524" s="232"/>
    </row>
    <row r="525" spans="9:17" ht="15" x14ac:dyDescent="0.25">
      <c r="I525" s="227">
        <v>251.2</v>
      </c>
      <c r="J525" s="227">
        <v>29.313400000000001</v>
      </c>
      <c r="K525" s="227">
        <v>103.26</v>
      </c>
      <c r="M525" s="227">
        <v>251.2</v>
      </c>
      <c r="N525" s="232">
        <v>18.360399999999998</v>
      </c>
      <c r="O525" s="232">
        <v>-4.6921999999999997</v>
      </c>
      <c r="P525" s="232"/>
      <c r="Q525" s="232"/>
    </row>
    <row r="526" spans="9:17" ht="15" x14ac:dyDescent="0.25">
      <c r="I526" s="227">
        <v>316.2</v>
      </c>
      <c r="J526" s="227">
        <v>27.4208</v>
      </c>
      <c r="K526" s="227">
        <v>103.39</v>
      </c>
      <c r="M526" s="227">
        <v>316.2</v>
      </c>
      <c r="N526" s="232">
        <v>18.352900000000002</v>
      </c>
      <c r="O526" s="232">
        <v>-5.5035999999999996</v>
      </c>
      <c r="P526" s="232"/>
      <c r="Q526" s="232"/>
    </row>
    <row r="527" spans="9:17" ht="15" x14ac:dyDescent="0.25">
      <c r="I527" s="227">
        <v>398.1</v>
      </c>
      <c r="J527" s="227">
        <v>25.543299999999999</v>
      </c>
      <c r="K527" s="227">
        <v>103.34</v>
      </c>
      <c r="M527" s="227">
        <v>398.1</v>
      </c>
      <c r="N527" s="232">
        <v>18.329999999999998</v>
      </c>
      <c r="O527" s="232">
        <v>-6.8949999999999996</v>
      </c>
      <c r="P527" s="232"/>
      <c r="Q527" s="232"/>
    </row>
    <row r="528" spans="9:17" ht="15" x14ac:dyDescent="0.25">
      <c r="I528" s="227">
        <v>501.2</v>
      </c>
      <c r="J528" s="227">
        <v>23.7925</v>
      </c>
      <c r="K528" s="227">
        <v>104.35</v>
      </c>
      <c r="M528" s="227">
        <v>501.2</v>
      </c>
      <c r="N528" s="232">
        <v>18.350000000000001</v>
      </c>
      <c r="O528" s="232">
        <v>-8.4138999999999999</v>
      </c>
      <c r="P528" s="232"/>
      <c r="Q528" s="232"/>
    </row>
    <row r="529" spans="9:17" ht="15" x14ac:dyDescent="0.25">
      <c r="I529" s="227">
        <v>631</v>
      </c>
      <c r="J529" s="227">
        <v>22.151800000000001</v>
      </c>
      <c r="K529" s="227">
        <v>105.57</v>
      </c>
      <c r="M529" s="227">
        <v>631</v>
      </c>
      <c r="N529" s="232">
        <v>18.415500000000002</v>
      </c>
      <c r="O529" s="232">
        <v>-10.231999999999999</v>
      </c>
      <c r="P529" s="232"/>
      <c r="Q529" s="232"/>
    </row>
    <row r="530" spans="9:17" ht="15" x14ac:dyDescent="0.25">
      <c r="I530" s="227">
        <v>794.4</v>
      </c>
      <c r="J530" s="227">
        <v>20.708300000000001</v>
      </c>
      <c r="K530" s="227">
        <v>106.78</v>
      </c>
      <c r="M530" s="227">
        <v>794.4</v>
      </c>
      <c r="N530" s="232">
        <v>18.587599999999998</v>
      </c>
      <c r="O530" s="232">
        <v>-13.294</v>
      </c>
      <c r="P530" s="232"/>
      <c r="Q530" s="232"/>
    </row>
    <row r="531" spans="9:17" ht="15" x14ac:dyDescent="0.25">
      <c r="I531" s="227">
        <v>1000</v>
      </c>
      <c r="J531" s="227">
        <v>19.408200000000001</v>
      </c>
      <c r="K531" s="227">
        <v>106.81</v>
      </c>
      <c r="M531" s="227">
        <v>1000</v>
      </c>
      <c r="N531" s="232">
        <v>18.744800000000001</v>
      </c>
      <c r="O531" s="232">
        <v>-18.077000000000002</v>
      </c>
      <c r="P531" s="232"/>
      <c r="Q531" s="232"/>
    </row>
    <row r="532" spans="9:17" ht="15" x14ac:dyDescent="0.25">
      <c r="I532" s="227">
        <v>1259</v>
      </c>
      <c r="J532" s="227">
        <v>18.206299999999999</v>
      </c>
      <c r="K532" s="227">
        <v>105.07</v>
      </c>
      <c r="M532" s="227">
        <v>1259</v>
      </c>
      <c r="N532" s="232">
        <v>18.844999999999999</v>
      </c>
      <c r="O532" s="232">
        <v>-25.614000000000001</v>
      </c>
      <c r="P532" s="232"/>
      <c r="Q532" s="232"/>
    </row>
    <row r="533" spans="9:17" ht="15" x14ac:dyDescent="0.25">
      <c r="I533" s="227">
        <v>1585</v>
      </c>
      <c r="J533" s="227">
        <v>16.799600000000002</v>
      </c>
      <c r="K533" s="227">
        <v>101.35</v>
      </c>
      <c r="M533" s="227">
        <v>1585</v>
      </c>
      <c r="N533" s="232">
        <v>18.576599999999999</v>
      </c>
      <c r="O533" s="232">
        <v>-35.216999999999999</v>
      </c>
      <c r="P533" s="232"/>
      <c r="Q533" s="232"/>
    </row>
    <row r="534" spans="9:17" ht="15" x14ac:dyDescent="0.25">
      <c r="I534" s="227">
        <v>1995</v>
      </c>
      <c r="J534" s="227">
        <v>15.136699999999999</v>
      </c>
      <c r="K534" s="227">
        <v>96.534999999999997</v>
      </c>
      <c r="M534" s="227">
        <v>1995</v>
      </c>
      <c r="N534" s="232">
        <v>17.8185</v>
      </c>
      <c r="O534" s="232">
        <v>-46.118000000000002</v>
      </c>
      <c r="P534" s="232"/>
      <c r="Q534" s="232"/>
    </row>
    <row r="535" spans="9:17" ht="15" x14ac:dyDescent="0.25">
      <c r="I535" s="227">
        <v>2512</v>
      </c>
      <c r="J535" s="227">
        <v>13.201000000000001</v>
      </c>
      <c r="K535" s="227">
        <v>92.039000000000001</v>
      </c>
      <c r="M535" s="227">
        <v>2512</v>
      </c>
      <c r="N535" s="232">
        <v>16.533100000000001</v>
      </c>
      <c r="O535" s="232">
        <v>-56.924999999999997</v>
      </c>
      <c r="P535" s="232"/>
      <c r="Q535" s="232"/>
    </row>
    <row r="536" spans="9:17" ht="15" x14ac:dyDescent="0.25">
      <c r="I536" s="227">
        <v>3162</v>
      </c>
      <c r="J536" s="227">
        <v>11.1213</v>
      </c>
      <c r="K536" s="227">
        <v>88.516999999999996</v>
      </c>
      <c r="M536" s="227">
        <v>3162</v>
      </c>
      <c r="N536" s="232">
        <v>14.869</v>
      </c>
      <c r="O536" s="232">
        <v>-65.897000000000006</v>
      </c>
      <c r="P536" s="232"/>
      <c r="Q536" s="232"/>
    </row>
    <row r="537" spans="9:17" ht="15" x14ac:dyDescent="0.25">
      <c r="I537" s="227">
        <v>3981</v>
      </c>
      <c r="J537" s="227">
        <v>9.0173299999999994</v>
      </c>
      <c r="K537" s="227">
        <v>85.623999999999995</v>
      </c>
      <c r="M537" s="227">
        <v>3981</v>
      </c>
      <c r="N537" s="232">
        <v>13.0419</v>
      </c>
      <c r="O537" s="232">
        <v>-73.241</v>
      </c>
      <c r="P537" s="232"/>
      <c r="Q537" s="232"/>
    </row>
    <row r="538" spans="9:17" ht="15" x14ac:dyDescent="0.25">
      <c r="I538" s="227">
        <v>5012</v>
      </c>
      <c r="J538" s="227">
        <v>6.94102</v>
      </c>
      <c r="K538" s="227">
        <v>83.033000000000001</v>
      </c>
      <c r="M538" s="227">
        <v>5012</v>
      </c>
      <c r="N538" s="232">
        <v>11.1648</v>
      </c>
      <c r="O538" s="232">
        <v>-79.396000000000001</v>
      </c>
      <c r="P538" s="232"/>
      <c r="Q538" s="232"/>
    </row>
    <row r="539" spans="9:17" ht="15" x14ac:dyDescent="0.25">
      <c r="I539" s="227">
        <v>6310</v>
      </c>
      <c r="J539" s="227">
        <v>4.9103399999999997</v>
      </c>
      <c r="K539" s="227">
        <v>80.275000000000006</v>
      </c>
      <c r="M539" s="227">
        <v>6310</v>
      </c>
      <c r="N539" s="232">
        <v>9.2243700000000004</v>
      </c>
      <c r="O539" s="232">
        <v>-84.641000000000005</v>
      </c>
      <c r="P539" s="232"/>
      <c r="Q539" s="232"/>
    </row>
    <row r="540" spans="9:17" ht="15" x14ac:dyDescent="0.25">
      <c r="I540" s="227">
        <v>7944</v>
      </c>
      <c r="J540" s="227">
        <v>2.9131499999999999</v>
      </c>
      <c r="K540" s="227">
        <v>77.093000000000004</v>
      </c>
      <c r="M540" s="227">
        <v>7944</v>
      </c>
      <c r="N540" s="232">
        <v>7.2900400000000003</v>
      </c>
      <c r="O540" s="232">
        <v>-89.700999999999993</v>
      </c>
      <c r="P540" s="232"/>
      <c r="Q540" s="232"/>
    </row>
    <row r="541" spans="9:17" ht="15" x14ac:dyDescent="0.25">
      <c r="I541" s="227">
        <v>10000</v>
      </c>
      <c r="J541" s="227">
        <v>0.95159800000000005</v>
      </c>
      <c r="K541" s="227">
        <v>73.228999999999999</v>
      </c>
      <c r="M541" s="227">
        <v>10000</v>
      </c>
      <c r="N541" s="232">
        <v>5.4023700000000003</v>
      </c>
      <c r="O541" s="232">
        <v>-94.709000000000003</v>
      </c>
      <c r="P541" s="232"/>
      <c r="Q541" s="232"/>
    </row>
    <row r="542" spans="9:17" ht="15" x14ac:dyDescent="0.25">
      <c r="I542" s="227">
        <v>12590</v>
      </c>
      <c r="J542" s="227">
        <v>-0.97999400000000003</v>
      </c>
      <c r="K542" s="227">
        <v>68.453999999999994</v>
      </c>
      <c r="M542" s="227">
        <v>12590</v>
      </c>
      <c r="N542" s="232">
        <v>3.5295200000000002</v>
      </c>
      <c r="O542" s="232">
        <v>-99.733000000000004</v>
      </c>
      <c r="P542" s="232"/>
      <c r="Q542" s="232"/>
    </row>
    <row r="543" spans="9:17" ht="15" x14ac:dyDescent="0.25">
      <c r="I543" s="227">
        <v>15850</v>
      </c>
      <c r="J543" s="227">
        <v>-3.0378500000000002</v>
      </c>
      <c r="K543" s="227">
        <v>63.189</v>
      </c>
      <c r="M543" s="227">
        <v>15850</v>
      </c>
      <c r="N543" s="232">
        <v>1.69167</v>
      </c>
      <c r="O543" s="232">
        <v>-105.45</v>
      </c>
      <c r="P543" s="232"/>
      <c r="Q543" s="232"/>
    </row>
    <row r="544" spans="9:17" ht="15" x14ac:dyDescent="0.25">
      <c r="I544" s="227">
        <v>19950</v>
      </c>
      <c r="J544" s="227">
        <v>-5.0957600000000003</v>
      </c>
      <c r="K544" s="227">
        <v>56.701000000000001</v>
      </c>
      <c r="M544" s="227">
        <v>19950</v>
      </c>
      <c r="N544" s="232">
        <v>-7.7088799999999999E-2</v>
      </c>
      <c r="O544" s="232">
        <v>-111.88</v>
      </c>
      <c r="P544" s="232"/>
      <c r="Q544" s="232"/>
    </row>
    <row r="545" spans="9:17" ht="15" x14ac:dyDescent="0.25">
      <c r="I545" s="227">
        <v>25120</v>
      </c>
      <c r="J545" s="227">
        <v>-6.9738800000000003</v>
      </c>
      <c r="K545" s="227">
        <v>48.667000000000002</v>
      </c>
      <c r="M545" s="227">
        <v>25120</v>
      </c>
      <c r="N545" s="232">
        <v>-1.73281</v>
      </c>
      <c r="O545" s="232">
        <v>-118.42</v>
      </c>
      <c r="P545" s="232"/>
      <c r="Q545" s="232"/>
    </row>
    <row r="546" spans="9:17" ht="15" x14ac:dyDescent="0.25">
      <c r="I546" s="227">
        <v>31620</v>
      </c>
      <c r="J546" s="227">
        <v>-8.6015200000000007</v>
      </c>
      <c r="K546" s="227">
        <v>39.034999999999997</v>
      </c>
      <c r="M546" s="227">
        <v>31620</v>
      </c>
      <c r="N546" s="232">
        <v>-3.2250700000000001</v>
      </c>
      <c r="O546" s="232">
        <v>-126.06</v>
      </c>
      <c r="P546" s="232"/>
      <c r="Q546" s="232"/>
    </row>
    <row r="547" spans="9:17" ht="15" x14ac:dyDescent="0.25">
      <c r="I547" s="227">
        <v>39810</v>
      </c>
      <c r="J547" s="227">
        <v>-9.9493500000000008</v>
      </c>
      <c r="K547" s="227">
        <v>27.765000000000001</v>
      </c>
      <c r="M547" s="227">
        <v>39810</v>
      </c>
      <c r="N547" s="232">
        <v>-4.5564999999999998</v>
      </c>
      <c r="O547" s="232">
        <v>-133.94999999999999</v>
      </c>
      <c r="P547" s="232"/>
      <c r="Q547" s="232"/>
    </row>
    <row r="548" spans="9:17" ht="15" x14ac:dyDescent="0.25">
      <c r="I548" s="227">
        <v>50120</v>
      </c>
      <c r="J548" s="227">
        <v>-10.9834</v>
      </c>
      <c r="K548" s="227">
        <v>15.042999999999999</v>
      </c>
      <c r="M548" s="227">
        <v>50120</v>
      </c>
      <c r="N548" s="232">
        <v>-5.5935600000000001</v>
      </c>
      <c r="O548" s="232">
        <v>-142.86000000000001</v>
      </c>
      <c r="P548" s="232"/>
      <c r="Q548" s="232"/>
    </row>
    <row r="549" spans="9:17" ht="15" x14ac:dyDescent="0.25">
      <c r="I549" s="227">
        <v>63100</v>
      </c>
      <c r="J549" s="227">
        <v>-11.75</v>
      </c>
      <c r="K549" s="227">
        <v>-1.2692000000000001</v>
      </c>
      <c r="M549" s="227">
        <v>63100</v>
      </c>
      <c r="N549" s="232">
        <v>-6.4191700000000003</v>
      </c>
      <c r="O549" s="232">
        <v>-151.83000000000001</v>
      </c>
      <c r="P549" s="232"/>
      <c r="Q549" s="232"/>
    </row>
    <row r="550" spans="9:17" ht="15" x14ac:dyDescent="0.25">
      <c r="I550" s="227">
        <v>79440</v>
      </c>
      <c r="J550" s="227">
        <v>-12.6732</v>
      </c>
      <c r="K550" s="227">
        <v>-16.631</v>
      </c>
      <c r="M550" s="227">
        <v>79440</v>
      </c>
      <c r="N550" s="232">
        <v>-6.9911099999999999</v>
      </c>
      <c r="O550" s="232">
        <v>-161.02000000000001</v>
      </c>
      <c r="P550" s="232"/>
      <c r="Q550" s="232"/>
    </row>
    <row r="551" spans="9:17" ht="15" x14ac:dyDescent="0.25">
      <c r="I551" s="227">
        <v>100000</v>
      </c>
      <c r="J551" s="227">
        <v>-13.494400000000001</v>
      </c>
      <c r="K551" s="227">
        <v>-32.988999999999997</v>
      </c>
      <c r="M551" s="227">
        <v>100000</v>
      </c>
      <c r="N551" s="232">
        <v>-7.3113000000000001</v>
      </c>
      <c r="O551" s="232">
        <v>-169.62</v>
      </c>
      <c r="P551" s="232"/>
      <c r="Q551" s="232"/>
    </row>
    <row r="552" spans="9:17" ht="15" x14ac:dyDescent="0.25">
      <c r="I552" s="227">
        <v>125900</v>
      </c>
      <c r="J552" s="227">
        <v>-14.252599999999999</v>
      </c>
      <c r="K552" s="227">
        <v>-50.472999999999999</v>
      </c>
      <c r="M552" s="227">
        <v>125900</v>
      </c>
      <c r="N552" s="232">
        <v>-7.4893900000000002</v>
      </c>
      <c r="O552" s="232">
        <v>-179.77</v>
      </c>
      <c r="P552" s="232"/>
      <c r="Q552" s="232"/>
    </row>
    <row r="553" spans="9:17" ht="15" x14ac:dyDescent="0.25">
      <c r="I553" s="227">
        <v>158500</v>
      </c>
      <c r="J553" s="227">
        <v>-14.984500000000001</v>
      </c>
      <c r="K553" s="227">
        <v>-69.144000000000005</v>
      </c>
      <c r="M553" s="227">
        <v>158500</v>
      </c>
      <c r="N553" s="232">
        <v>-7.4759000000000002</v>
      </c>
      <c r="O553" s="232">
        <v>169.67</v>
      </c>
      <c r="P553" s="232"/>
      <c r="Q553" s="232"/>
    </row>
    <row r="554" spans="9:17" ht="15" x14ac:dyDescent="0.25">
      <c r="I554" s="227">
        <v>199500</v>
      </c>
      <c r="J554" s="227">
        <v>-15.6913</v>
      </c>
      <c r="K554" s="227">
        <v>-89.822000000000003</v>
      </c>
      <c r="M554" s="227">
        <v>199500</v>
      </c>
      <c r="N554" s="232">
        <v>-7.1994300000000004</v>
      </c>
      <c r="O554" s="232">
        <v>156.46</v>
      </c>
      <c r="P554" s="232"/>
      <c r="Q554" s="232"/>
    </row>
    <row r="555" spans="9:17" ht="15" x14ac:dyDescent="0.25">
      <c r="I555" s="227">
        <v>251200</v>
      </c>
      <c r="J555" s="227">
        <v>-16.584</v>
      </c>
      <c r="K555" s="227">
        <v>-113.72</v>
      </c>
      <c r="M555" s="227">
        <v>251200</v>
      </c>
      <c r="N555" s="232">
        <v>-6.92408</v>
      </c>
      <c r="O555" s="232">
        <v>139.71</v>
      </c>
      <c r="P555" s="232"/>
      <c r="Q555" s="232"/>
    </row>
    <row r="556" spans="9:17" ht="15" x14ac:dyDescent="0.25">
      <c r="I556" s="227">
        <v>316200</v>
      </c>
      <c r="J556" s="227">
        <v>-18.080200000000001</v>
      </c>
      <c r="K556" s="227">
        <v>-145.29</v>
      </c>
      <c r="M556" s="227">
        <v>316200</v>
      </c>
      <c r="N556" s="232">
        <v>-6.6042899999999998</v>
      </c>
      <c r="O556" s="232">
        <v>112.86</v>
      </c>
      <c r="P556" s="232"/>
      <c r="Q556" s="232"/>
    </row>
    <row r="557" spans="9:17" ht="15" x14ac:dyDescent="0.25">
      <c r="I557" s="227">
        <v>398100</v>
      </c>
      <c r="J557" s="227">
        <v>-23.304200000000002</v>
      </c>
      <c r="K557" s="227">
        <v>176.66</v>
      </c>
      <c r="M557" s="227">
        <v>398100</v>
      </c>
      <c r="N557" s="232">
        <v>-8.0669299999999993</v>
      </c>
      <c r="O557" s="232">
        <v>73.507000000000005</v>
      </c>
      <c r="P557" s="232"/>
      <c r="Q557" s="232"/>
    </row>
    <row r="558" spans="9:17" ht="15" x14ac:dyDescent="0.25">
      <c r="I558" s="227">
        <v>501200</v>
      </c>
      <c r="J558" s="227">
        <v>-38.991999999999997</v>
      </c>
      <c r="K558" s="227">
        <v>-165.65</v>
      </c>
      <c r="M558" s="227">
        <v>501200</v>
      </c>
      <c r="N558" s="232">
        <v>-13.757400000000001</v>
      </c>
      <c r="O558" s="232">
        <v>30.117999999999999</v>
      </c>
      <c r="P558" s="232"/>
      <c r="Q558" s="232"/>
    </row>
    <row r="559" spans="9:17" ht="15" x14ac:dyDescent="0.25">
      <c r="I559" s="227">
        <v>631000</v>
      </c>
      <c r="J559" s="227">
        <v>-30.333600000000001</v>
      </c>
      <c r="K559" s="227">
        <v>-88.369</v>
      </c>
      <c r="M559" s="227">
        <v>631000</v>
      </c>
      <c r="N559" s="232">
        <v>-23.852499999999999</v>
      </c>
      <c r="O559" s="232">
        <v>-3.9874999999999998</v>
      </c>
      <c r="P559" s="232"/>
      <c r="Q559" s="232"/>
    </row>
    <row r="560" spans="9:17" ht="15" x14ac:dyDescent="0.25">
      <c r="I560" s="227">
        <v>794400</v>
      </c>
      <c r="J560" s="227">
        <v>-25.927700000000002</v>
      </c>
      <c r="K560" s="227">
        <v>-95.198999999999998</v>
      </c>
      <c r="M560" s="227">
        <v>794400</v>
      </c>
      <c r="N560" s="232">
        <v>-23.9956</v>
      </c>
      <c r="O560" s="232">
        <v>159.97</v>
      </c>
      <c r="P560" s="232"/>
      <c r="Q560" s="232"/>
    </row>
    <row r="561" spans="9:17" ht="15" x14ac:dyDescent="0.25">
      <c r="I561" s="233">
        <v>1000000</v>
      </c>
      <c r="J561" s="227">
        <v>-25.588000000000001</v>
      </c>
      <c r="K561" s="227">
        <v>-97.18</v>
      </c>
      <c r="M561" s="233">
        <v>1000000</v>
      </c>
      <c r="N561" s="232">
        <v>-14.6715</v>
      </c>
      <c r="O561" s="232">
        <v>91.450999999999993</v>
      </c>
      <c r="P561" s="232"/>
      <c r="Q561" s="234"/>
    </row>
    <row r="562" spans="9:17" ht="15" x14ac:dyDescent="0.25">
      <c r="N562" s="232"/>
      <c r="O562" s="232"/>
      <c r="P562" s="232"/>
      <c r="Q562" s="232"/>
    </row>
    <row r="563" spans="9:17" ht="15" x14ac:dyDescent="0.25">
      <c r="K563" s="233"/>
      <c r="L563" s="233"/>
      <c r="N563" s="232"/>
      <c r="O563" s="232"/>
      <c r="P563" s="232"/>
      <c r="Q563" s="232"/>
    </row>
    <row r="564" spans="9:17" ht="15" x14ac:dyDescent="0.25">
      <c r="N564" s="232"/>
      <c r="O564" s="232"/>
      <c r="P564" s="232"/>
      <c r="Q564" s="232"/>
    </row>
    <row r="565" spans="9:17" ht="15" x14ac:dyDescent="0.25">
      <c r="N565" s="232"/>
      <c r="O565" s="232"/>
      <c r="P565" s="232"/>
      <c r="Q565" s="232"/>
    </row>
    <row r="566" spans="9:17" ht="15" x14ac:dyDescent="0.25">
      <c r="N566" s="232"/>
      <c r="O566" s="232"/>
      <c r="P566" s="232"/>
      <c r="Q566" s="232"/>
    </row>
    <row r="567" spans="9:17" ht="15" x14ac:dyDescent="0.25">
      <c r="N567" s="232"/>
      <c r="O567" s="232"/>
      <c r="P567" s="232"/>
      <c r="Q567" s="232"/>
    </row>
    <row r="568" spans="9:17" ht="15" x14ac:dyDescent="0.25">
      <c r="N568" s="232"/>
      <c r="O568" s="232"/>
      <c r="P568" s="232"/>
      <c r="Q568" s="232"/>
    </row>
    <row r="569" spans="9:17" ht="15" x14ac:dyDescent="0.25">
      <c r="N569" s="232"/>
      <c r="O569" s="232"/>
      <c r="P569" s="232"/>
      <c r="Q569" s="232"/>
    </row>
    <row r="570" spans="9:17" ht="15" x14ac:dyDescent="0.25">
      <c r="N570" s="232"/>
      <c r="O570" s="232"/>
      <c r="P570" s="232"/>
      <c r="Q570" s="232"/>
    </row>
    <row r="571" spans="9:17" ht="15" x14ac:dyDescent="0.25">
      <c r="N571" s="232"/>
      <c r="O571" s="232"/>
      <c r="P571" s="232"/>
      <c r="Q571" s="232"/>
    </row>
    <row r="572" spans="9:17" ht="15" x14ac:dyDescent="0.25">
      <c r="N572" s="232"/>
      <c r="O572" s="232"/>
      <c r="P572" s="232"/>
      <c r="Q572" s="232"/>
    </row>
    <row r="573" spans="9:17" ht="15" x14ac:dyDescent="0.25">
      <c r="N573" s="232"/>
      <c r="O573" s="232"/>
      <c r="P573" s="232"/>
      <c r="Q573" s="232"/>
    </row>
    <row r="574" spans="9:17" ht="15" x14ac:dyDescent="0.25">
      <c r="N574" s="232"/>
      <c r="O574" s="232"/>
      <c r="P574" s="232"/>
      <c r="Q574" s="232"/>
    </row>
    <row r="575" spans="9:17" ht="15" x14ac:dyDescent="0.25">
      <c r="N575" s="232"/>
      <c r="O575" s="232"/>
      <c r="P575" s="232"/>
      <c r="Q575" s="232"/>
    </row>
    <row r="576" spans="9:17" ht="15" x14ac:dyDescent="0.25">
      <c r="N576" s="232"/>
      <c r="O576" s="232"/>
      <c r="P576" s="232"/>
      <c r="Q576" s="232"/>
    </row>
    <row r="577" spans="14:17" ht="15" x14ac:dyDescent="0.25">
      <c r="N577" s="232"/>
      <c r="O577" s="232"/>
      <c r="P577" s="232"/>
      <c r="Q577" s="232"/>
    </row>
    <row r="578" spans="14:17" ht="15" x14ac:dyDescent="0.25">
      <c r="N578" s="232"/>
      <c r="O578" s="232"/>
      <c r="P578" s="232"/>
      <c r="Q578" s="232"/>
    </row>
    <row r="579" spans="14:17" ht="15" x14ac:dyDescent="0.25">
      <c r="N579" s="232"/>
      <c r="O579" s="232"/>
      <c r="P579" s="232"/>
      <c r="Q579" s="232"/>
    </row>
    <row r="580" spans="14:17" ht="15" x14ac:dyDescent="0.25">
      <c r="N580" s="232"/>
      <c r="O580" s="232"/>
      <c r="P580" s="232"/>
      <c r="Q580" s="232"/>
    </row>
    <row r="581" spans="14:17" ht="15" x14ac:dyDescent="0.25">
      <c r="N581" s="232"/>
      <c r="O581" s="232"/>
      <c r="P581" s="232"/>
      <c r="Q581" s="232"/>
    </row>
    <row r="582" spans="14:17" ht="15" x14ac:dyDescent="0.25">
      <c r="N582" s="232"/>
      <c r="O582" s="232"/>
      <c r="P582" s="232"/>
      <c r="Q582" s="232"/>
    </row>
    <row r="583" spans="14:17" ht="15" x14ac:dyDescent="0.25">
      <c r="N583" s="232"/>
      <c r="O583" s="232"/>
      <c r="P583" s="232"/>
      <c r="Q583" s="232"/>
    </row>
    <row r="584" spans="14:17" ht="15" x14ac:dyDescent="0.25">
      <c r="N584" s="232"/>
      <c r="O584" s="232"/>
      <c r="P584" s="232"/>
      <c r="Q584" s="232"/>
    </row>
    <row r="585" spans="14:17" ht="15" x14ac:dyDescent="0.25">
      <c r="N585" s="232"/>
      <c r="O585" s="232"/>
      <c r="P585" s="232"/>
      <c r="Q585" s="232"/>
    </row>
    <row r="586" spans="14:17" ht="15" x14ac:dyDescent="0.25">
      <c r="N586" s="232"/>
      <c r="O586" s="232"/>
      <c r="P586" s="232"/>
      <c r="Q586" s="232"/>
    </row>
    <row r="587" spans="14:17" ht="15" x14ac:dyDescent="0.25">
      <c r="N587" s="232"/>
      <c r="O587" s="232"/>
      <c r="P587" s="232"/>
      <c r="Q587" s="232"/>
    </row>
    <row r="588" spans="14:17" ht="15" x14ac:dyDescent="0.25">
      <c r="N588" s="232"/>
      <c r="O588" s="232"/>
      <c r="P588" s="232"/>
      <c r="Q588" s="232"/>
    </row>
    <row r="589" spans="14:17" ht="15" x14ac:dyDescent="0.25">
      <c r="N589" s="232"/>
      <c r="O589" s="232"/>
      <c r="P589" s="232"/>
      <c r="Q589" s="232"/>
    </row>
    <row r="590" spans="14:17" ht="15" x14ac:dyDescent="0.25">
      <c r="N590" s="232"/>
      <c r="O590" s="232"/>
      <c r="P590" s="232"/>
      <c r="Q590" s="232"/>
    </row>
    <row r="591" spans="14:17" ht="15" x14ac:dyDescent="0.25">
      <c r="N591" s="232"/>
      <c r="O591" s="232"/>
      <c r="P591" s="232"/>
      <c r="Q591" s="232"/>
    </row>
    <row r="592" spans="14:17" ht="15" x14ac:dyDescent="0.25">
      <c r="N592" s="232"/>
      <c r="O592" s="232"/>
      <c r="P592" s="232"/>
      <c r="Q592" s="232"/>
    </row>
    <row r="593" spans="14:17" ht="15" x14ac:dyDescent="0.25">
      <c r="N593" s="232"/>
      <c r="O593" s="232"/>
      <c r="P593" s="232"/>
      <c r="Q593" s="232"/>
    </row>
    <row r="612" spans="9:17" x14ac:dyDescent="0.2">
      <c r="I612" s="233"/>
      <c r="M612" s="233"/>
      <c r="Q612" s="233"/>
    </row>
  </sheetData>
  <sheetProtection sheet="1"/>
  <mergeCells count="5">
    <mergeCell ref="C20:D20"/>
    <mergeCell ref="B2:D2"/>
    <mergeCell ref="E2:G2"/>
    <mergeCell ref="E26:G26"/>
    <mergeCell ref="E21:G21"/>
  </mergeCells>
  <phoneticPr fontId="0" type="noConversion"/>
  <conditionalFormatting sqref="F23">
    <cfRule type="cellIs" dxfId="1" priority="1" stopIfTrue="1" operator="lessThan">
      <formula>60</formula>
    </cfRule>
  </conditionalFormatting>
  <conditionalFormatting sqref="F24">
    <cfRule type="cellIs" dxfId="0" priority="2" stopIfTrue="1" operator="greaterThan">
      <formula>-10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1D64-F6B9-41E4-9047-93D90D515103}">
  <sheetPr>
    <pageSetUpPr fitToPage="1"/>
  </sheetPr>
  <dimension ref="A1:L146"/>
  <sheetViews>
    <sheetView zoomScaleNormal="100" workbookViewId="0">
      <selection activeCell="B42" sqref="B42"/>
    </sheetView>
  </sheetViews>
  <sheetFormatPr defaultRowHeight="12.75" x14ac:dyDescent="0.2"/>
  <cols>
    <col min="1" max="1" width="9.140625" style="10" customWidth="1"/>
    <col min="2" max="2" width="19.28515625" style="10" bestFit="1" customWidth="1"/>
    <col min="3" max="3" width="12.42578125" style="10" bestFit="1" customWidth="1"/>
    <col min="4" max="4" width="7.7109375" style="10" customWidth="1"/>
    <col min="5" max="8" width="8.7109375" style="3" customWidth="1"/>
    <col min="9" max="9" width="8.7109375" style="5" customWidth="1"/>
    <col min="10" max="11" width="9.140625" style="36" customWidth="1"/>
    <col min="12" max="12" width="4.7109375" style="36" bestFit="1" customWidth="1"/>
    <col min="13" max="17" width="9.140625" style="3" customWidth="1"/>
    <col min="18" max="16384" width="9.140625" style="3"/>
  </cols>
  <sheetData>
    <row r="1" spans="1:12" ht="18" x14ac:dyDescent="0.25">
      <c r="A1" s="4" t="s">
        <v>102</v>
      </c>
    </row>
    <row r="2" spans="1:12" ht="18.75" thickBot="1" x14ac:dyDescent="0.3">
      <c r="A2" s="2"/>
      <c r="B2" s="3"/>
      <c r="C2" s="3"/>
      <c r="D2" s="3"/>
      <c r="E2" s="4" t="s">
        <v>70</v>
      </c>
      <c r="J2" s="4" t="s">
        <v>71</v>
      </c>
      <c r="K2" s="10"/>
      <c r="L2" s="10"/>
    </row>
    <row r="3" spans="1:12" ht="13.5" thickBot="1" x14ac:dyDescent="0.25">
      <c r="A3" s="3"/>
      <c r="B3" s="6" t="s">
        <v>72</v>
      </c>
      <c r="C3" s="7">
        <v>100</v>
      </c>
      <c r="D3" s="28">
        <f>(IF((10^(LOG(C3)-INT(LOG(C3)))*100)-VLOOKUP((10^(LOG(C3)-INT(LOG(C3)))*100),E96_s:E96_f,1)&lt;VLOOKUP((10^(LOG(C3)-INT(LOG(C3)))*100),E96_s:E96_f,2)-(10^(LOG(C3)-INT(LOG(C3)))*100),VLOOKUP((10^(LOG(C3)-INT(LOG(C3)))*100),E96_s:E96_f,1),VLOOKUP((10^(LOG(C3)-INT(LOG(C3)))*100),E96_s:E96_f,2)))*10^INT(LOG(C3))/100</f>
        <v>100</v>
      </c>
      <c r="E3" s="271" t="s">
        <v>73</v>
      </c>
      <c r="F3" s="272"/>
      <c r="G3" s="273" t="s">
        <v>74</v>
      </c>
      <c r="H3" s="274"/>
      <c r="J3" s="8" t="s">
        <v>75</v>
      </c>
      <c r="K3" s="47">
        <v>6.8999999999999994E-11</v>
      </c>
      <c r="L3" s="9" t="s">
        <v>7</v>
      </c>
    </row>
    <row r="4" spans="1:12" ht="13.5" thickBot="1" x14ac:dyDescent="0.25">
      <c r="B4" s="3"/>
      <c r="E4" s="11">
        <v>100</v>
      </c>
      <c r="F4" s="12">
        <v>150</v>
      </c>
      <c r="G4" s="13">
        <v>100</v>
      </c>
      <c r="H4" s="14">
        <v>102</v>
      </c>
      <c r="J4" s="8"/>
      <c r="K4" s="46">
        <f>IF(K3*10^12&lt;10000,IF((10^(LOG(K3*10^12)-INT(LOG(K3*10^12))))-VLOOKUP((10^(LOG(K3*10^12)-INT(LOG(K3*10^12)))),c_s1:C_f1,1)&lt;VLOOKUP((10^(LOG(K3*10^12)-INT(LOG(K3*10^12)))),c_s1:C_f1,2)-(10^(LOG(K3*10^12)-INT(LOG(K3*10^12)))),VLOOKUP((10^(LOG(K3*10^12)-INT(LOG(K3*10^12)))),c_s1:C_f1,1),VLOOKUP((10^(LOG(K3*10^12)-INT(LOG(K3*10^12)))),c_s1:C_f1,2))*10^INT(LOG(K3*10^12)),IF((10^(LOG(K3*10^12)-INT(LOG(K3*10^12))))-VLOOKUP((10^(LOG(K3*10^12)-INT(LOG(K3*10^12)))),C_s2:C_f2,1)&lt;VLOOKUP((10^(LOG(K3*10^12)-INT(LOG(K3*10^12)))),C_s2:C_f2,2)-(10^(LOG(K3*10^12)-INT(LOG(K3*10^12)))),VLOOKUP((10^(LOG(K3*10^12)-INT(LOG(K3*10^12)))),C_s2:C_f2,1),VLOOKUP((10^(LOG(K3*10^12)-INT(LOG(K3*10^12)))),C_s2:C_f2,2))*10^INT(LOG(K3*10^12)))*10^-12</f>
        <v>6.7999999999999998E-11</v>
      </c>
      <c r="L4" s="15" t="s">
        <v>7</v>
      </c>
    </row>
    <row r="5" spans="1:12" ht="13.5" thickBot="1" x14ac:dyDescent="0.25">
      <c r="B5" s="16" t="s">
        <v>76</v>
      </c>
      <c r="C5" s="17">
        <f>(IF((10^(LOG(C3)-INT(LOG(C3)))*100)-VLOOKUP((10^(LOG(C3)-INT(LOG(C3)))*100),E6_s:E6_f,1)&lt;VLOOKUP((10^(LOG(C3)-INT(LOG(C3)))*100),E6_s:E6_f,2)-(10^(LOG(C3)-INT(LOG(C3)))*100),VLOOKUP((10^(LOG(C3)-INT(LOG(C3)))*100),E6_s:E6_f,1),VLOOKUP((10^(LOG(C3)-INT(LOG(C3)))*100),E6_s:E6_f,2)))*10^INT(LOG(C3))/100</f>
        <v>100</v>
      </c>
      <c r="E5" s="12">
        <v>150</v>
      </c>
      <c r="F5" s="11">
        <v>220</v>
      </c>
      <c r="G5" s="14">
        <v>102</v>
      </c>
      <c r="H5" s="13">
        <v>105</v>
      </c>
      <c r="J5" s="18"/>
      <c r="K5" s="19"/>
      <c r="L5" s="20"/>
    </row>
    <row r="6" spans="1:12" ht="13.5" thickBot="1" x14ac:dyDescent="0.25">
      <c r="B6" s="21" t="s">
        <v>77</v>
      </c>
      <c r="C6" s="22">
        <f>(IF((10^(LOG(C3)-INT(LOG(C3)))*100)-VLOOKUP((10^(LOG(C3)-INT(LOG(C3)))*100),E12_s:E12_f,1)&lt;VLOOKUP((10^(LOG(C3)-INT(LOG(C3)))*100),E12_s:E12_f,2)-(10^(LOG(C3)-INT(LOG(C3)))*100),VLOOKUP((10^(LOG(C3)-INT(LOG(C3)))*100),E12_s:E12_f,1),VLOOKUP((10^(LOG(C3)-INT(LOG(C3)))*100),E12_s:E12_f,2)))*10^INT(LOG(C3))/100</f>
        <v>100</v>
      </c>
      <c r="E6" s="11">
        <v>220</v>
      </c>
      <c r="F6" s="12">
        <v>330</v>
      </c>
      <c r="G6" s="13">
        <v>105</v>
      </c>
      <c r="H6" s="14">
        <v>107</v>
      </c>
      <c r="J6" s="23" t="s">
        <v>78</v>
      </c>
      <c r="K6" s="24"/>
      <c r="L6" s="3"/>
    </row>
    <row r="7" spans="1:12" ht="13.5" thickBot="1" x14ac:dyDescent="0.25">
      <c r="B7" s="21" t="s">
        <v>79</v>
      </c>
      <c r="C7" s="22">
        <f>(IF((10^(LOG(C3)-INT(LOG(C3)))*100)-VLOOKUP((10^(LOG(C3)-INT(LOG(C3)))*100),E24_s:E24_f,1)&lt;VLOOKUP((10^(LOG(C3)-INT(LOG(C3)))*100),E24_s:E24_f,2)-(10^(LOG(C3)-INT(LOG(C3)))*100),VLOOKUP((10^(LOG(C3)-INT(LOG(C3)))*100),E24_s:E24_f,1),VLOOKUP((10^(LOG(C3)-INT(LOG(C3)))*100),E24_s:E24_f,2)))*10^INT(LOG(C3))/100</f>
        <v>100</v>
      </c>
      <c r="E7" s="12">
        <v>330</v>
      </c>
      <c r="F7" s="11">
        <v>470</v>
      </c>
      <c r="G7" s="14">
        <v>107</v>
      </c>
      <c r="H7" s="13">
        <v>110</v>
      </c>
      <c r="J7" s="24">
        <v>1</v>
      </c>
      <c r="K7" s="24">
        <v>1.2</v>
      </c>
      <c r="L7" s="25">
        <f>IF((10^(LOG(K3)-INT(LOG(K3))))-VLOOKUP((10^(LOG(K3)-INT(LOG(K3)))),c_s1:C_f1,1)&lt;VLOOKUP((10^(LOG(K3)-INT(LOG(K3)))),c_s1:C_f1,2)-(10^(LOG(K3)-INT(LOG(K3)))),VLOOKUP((10^(LOG(K3)-INT(LOG(K3)))),c_s1:C_f1,1),VLOOKUP((10^(LOG(K3)-INT(LOG(K3)))),c_s1:C_f1,2))</f>
        <v>6.8</v>
      </c>
    </row>
    <row r="8" spans="1:12" ht="13.5" thickBot="1" x14ac:dyDescent="0.25">
      <c r="B8" s="21" t="s">
        <v>80</v>
      </c>
      <c r="C8" s="22">
        <f>(IF((10^(LOG(C3)-INT(LOG(C3)))*100)-VLOOKUP((10^(LOG(C3)-INT(LOG(C3)))*100),E48_s:E48_f,1)&lt;VLOOKUP((10^(LOG(C3)-INT(LOG(C3)))*100),E48_s:E48_f,2)-(10^(LOG(C3)-INT(LOG(C3)))*100),VLOOKUP((10^(LOG(C3)-INT(LOG(C3)))*100),E48_s:E48_f,1),VLOOKUP((10^(LOG(C3)-INT(LOG(C3)))*100),E48_s:E48_f,2)))*10^INT(LOG(C3))/100</f>
        <v>100</v>
      </c>
      <c r="E8" s="11">
        <v>470</v>
      </c>
      <c r="F8" s="12">
        <v>680</v>
      </c>
      <c r="G8" s="13">
        <v>110</v>
      </c>
      <c r="H8" s="14">
        <v>113</v>
      </c>
      <c r="J8" s="24">
        <v>1.2</v>
      </c>
      <c r="K8" s="24">
        <v>1.5</v>
      </c>
      <c r="L8" s="26"/>
    </row>
    <row r="9" spans="1:12" ht="13.5" thickBot="1" x14ac:dyDescent="0.25">
      <c r="B9" s="27" t="s">
        <v>81</v>
      </c>
      <c r="D9" s="3"/>
      <c r="E9" s="12">
        <v>680</v>
      </c>
      <c r="F9" s="12">
        <v>1000</v>
      </c>
      <c r="G9" s="14">
        <v>113</v>
      </c>
      <c r="H9" s="13">
        <v>115</v>
      </c>
      <c r="J9" s="24">
        <v>1.5</v>
      </c>
      <c r="K9" s="24">
        <v>1.8</v>
      </c>
      <c r="L9" s="26"/>
    </row>
    <row r="10" spans="1:12" ht="13.5" thickBot="1" x14ac:dyDescent="0.25">
      <c r="E10" s="275" t="s">
        <v>82</v>
      </c>
      <c r="F10" s="276"/>
      <c r="G10" s="13">
        <v>115</v>
      </c>
      <c r="H10" s="14">
        <v>118</v>
      </c>
      <c r="J10" s="24">
        <v>1.8</v>
      </c>
      <c r="K10" s="24">
        <v>2.2000000000000002</v>
      </c>
      <c r="L10" s="3"/>
    </row>
    <row r="11" spans="1:12" ht="13.5" thickBot="1" x14ac:dyDescent="0.25">
      <c r="B11" s="3"/>
      <c r="C11" s="3"/>
      <c r="E11" s="30">
        <v>100</v>
      </c>
      <c r="F11" s="31">
        <v>120</v>
      </c>
      <c r="G11" s="14">
        <v>118</v>
      </c>
      <c r="H11" s="13">
        <v>121</v>
      </c>
      <c r="J11" s="24">
        <v>2.2000000000000002</v>
      </c>
      <c r="K11" s="24">
        <v>2.7</v>
      </c>
      <c r="L11" s="3"/>
    </row>
    <row r="12" spans="1:12" ht="13.5" thickBot="1" x14ac:dyDescent="0.25">
      <c r="E12" s="31">
        <v>120</v>
      </c>
      <c r="F12" s="31">
        <v>150</v>
      </c>
      <c r="G12" s="13">
        <v>121</v>
      </c>
      <c r="H12" s="14">
        <v>124</v>
      </c>
      <c r="J12" s="24">
        <v>2.7</v>
      </c>
      <c r="K12" s="24">
        <v>3.3</v>
      </c>
      <c r="L12" s="3"/>
    </row>
    <row r="13" spans="1:12" ht="13.5" thickBot="1" x14ac:dyDescent="0.25">
      <c r="E13" s="31">
        <v>150</v>
      </c>
      <c r="F13" s="31">
        <v>180</v>
      </c>
      <c r="G13" s="14">
        <v>124</v>
      </c>
      <c r="H13" s="13">
        <v>127</v>
      </c>
      <c r="J13" s="24">
        <v>3.3</v>
      </c>
      <c r="K13" s="24">
        <v>3.9</v>
      </c>
      <c r="L13" s="3"/>
    </row>
    <row r="14" spans="1:12" ht="13.5" thickBot="1" x14ac:dyDescent="0.25">
      <c r="E14" s="31">
        <v>180</v>
      </c>
      <c r="F14" s="30">
        <v>220</v>
      </c>
      <c r="G14" s="13">
        <v>127</v>
      </c>
      <c r="H14" s="14">
        <v>130</v>
      </c>
      <c r="J14" s="24">
        <v>3.9</v>
      </c>
      <c r="K14" s="24">
        <v>4.7</v>
      </c>
      <c r="L14" s="3"/>
    </row>
    <row r="15" spans="1:12" ht="13.5" thickBot="1" x14ac:dyDescent="0.25">
      <c r="D15" s="32"/>
      <c r="E15" s="30">
        <v>220</v>
      </c>
      <c r="F15" s="31">
        <v>270</v>
      </c>
      <c r="G15" s="14">
        <v>130</v>
      </c>
      <c r="H15" s="13">
        <v>133</v>
      </c>
      <c r="J15" s="24">
        <v>4.7</v>
      </c>
      <c r="K15" s="24">
        <v>5.6</v>
      </c>
      <c r="L15" s="3"/>
    </row>
    <row r="16" spans="1:12" ht="13.5" thickBot="1" x14ac:dyDescent="0.25">
      <c r="A16" s="33"/>
      <c r="B16" s="34"/>
      <c r="D16" s="35"/>
      <c r="E16" s="31">
        <v>270</v>
      </c>
      <c r="F16" s="31">
        <v>330</v>
      </c>
      <c r="G16" s="13">
        <v>133</v>
      </c>
      <c r="H16" s="14">
        <v>137</v>
      </c>
      <c r="J16" s="24">
        <v>5.6</v>
      </c>
      <c r="K16" s="24">
        <v>6.8</v>
      </c>
      <c r="L16" s="3"/>
    </row>
    <row r="17" spans="1:12" ht="13.5" thickBot="1" x14ac:dyDescent="0.25">
      <c r="A17" s="33"/>
      <c r="B17" s="34"/>
      <c r="D17" s="35"/>
      <c r="E17" s="31">
        <v>330</v>
      </c>
      <c r="F17" s="31">
        <v>390</v>
      </c>
      <c r="G17" s="14">
        <v>137</v>
      </c>
      <c r="H17" s="13">
        <v>140</v>
      </c>
      <c r="J17" s="24">
        <v>6.8</v>
      </c>
      <c r="K17" s="24">
        <v>8.1999999999999993</v>
      </c>
      <c r="L17" s="3"/>
    </row>
    <row r="18" spans="1:12" ht="13.5" thickBot="1" x14ac:dyDescent="0.25">
      <c r="A18" s="33"/>
      <c r="B18" s="34"/>
      <c r="D18" s="35"/>
      <c r="E18" s="31">
        <v>390</v>
      </c>
      <c r="F18" s="30">
        <v>470</v>
      </c>
      <c r="G18" s="13">
        <v>140</v>
      </c>
      <c r="H18" s="14">
        <v>143</v>
      </c>
      <c r="J18" s="24">
        <v>8.1999999999999993</v>
      </c>
      <c r="K18" s="24">
        <v>10</v>
      </c>
      <c r="L18" s="3"/>
    </row>
    <row r="19" spans="1:12" ht="13.5" thickBot="1" x14ac:dyDescent="0.25">
      <c r="A19" s="33"/>
      <c r="B19" s="34"/>
      <c r="D19" s="35"/>
      <c r="E19" s="30">
        <v>470</v>
      </c>
      <c r="F19" s="31">
        <v>560</v>
      </c>
      <c r="G19" s="14">
        <v>143</v>
      </c>
      <c r="H19" s="13">
        <v>147</v>
      </c>
      <c r="J19" s="23" t="s">
        <v>83</v>
      </c>
      <c r="K19" s="24"/>
      <c r="L19" s="24"/>
    </row>
    <row r="20" spans="1:12" ht="13.5" thickBot="1" x14ac:dyDescent="0.25">
      <c r="A20" s="33"/>
      <c r="B20" s="34"/>
      <c r="D20" s="35"/>
      <c r="E20" s="31">
        <v>560</v>
      </c>
      <c r="F20" s="31">
        <v>680</v>
      </c>
      <c r="G20" s="13">
        <v>147</v>
      </c>
      <c r="H20" s="14">
        <v>150</v>
      </c>
      <c r="J20" s="24">
        <v>1</v>
      </c>
      <c r="K20" s="24">
        <v>1.5</v>
      </c>
      <c r="L20" s="25">
        <f>IF((10^(LOG(K3)-INT(LOG(K3))))-VLOOKUP((10^(LOG(K3)-INT(LOG(K3)))),C_s2:C_f2,1)&lt;VLOOKUP((10^(LOG(K3)-INT(LOG(K3)))),C_s2:C_f2,2)-(10^(LOG(K3)-INT(LOG(K3)))),VLOOKUP((10^(LOG(K3)-INT(LOG(K3)))),C_s2:C_f2,1),VLOOKUP((10^(LOG(K3)-INT(LOG(K3)))),C_s2:C_f2,2))</f>
        <v>6.8</v>
      </c>
    </row>
    <row r="21" spans="1:12" ht="13.5" thickBot="1" x14ac:dyDescent="0.25">
      <c r="A21" s="33"/>
      <c r="B21" s="34"/>
      <c r="D21" s="35"/>
      <c r="E21" s="29">
        <v>680</v>
      </c>
      <c r="F21" s="31">
        <v>820</v>
      </c>
      <c r="G21" s="14">
        <v>150</v>
      </c>
      <c r="H21" s="13">
        <v>154</v>
      </c>
      <c r="J21" s="24">
        <v>1.5</v>
      </c>
      <c r="K21" s="24">
        <v>2.2000000000000002</v>
      </c>
    </row>
    <row r="22" spans="1:12" ht="13.5" thickBot="1" x14ac:dyDescent="0.25">
      <c r="A22" s="33"/>
      <c r="B22" s="34"/>
      <c r="D22" s="35"/>
      <c r="E22" s="29">
        <v>820</v>
      </c>
      <c r="F22" s="31">
        <v>1000</v>
      </c>
      <c r="G22" s="13">
        <v>154</v>
      </c>
      <c r="H22" s="14">
        <v>158</v>
      </c>
      <c r="J22" s="24">
        <v>2.2000000000000002</v>
      </c>
      <c r="K22" s="24">
        <v>3.3</v>
      </c>
      <c r="L22" s="25"/>
    </row>
    <row r="23" spans="1:12" ht="13.5" thickBot="1" x14ac:dyDescent="0.25">
      <c r="A23" s="33"/>
      <c r="B23" s="34"/>
      <c r="D23" s="35"/>
      <c r="E23" s="277" t="s">
        <v>84</v>
      </c>
      <c r="F23" s="278"/>
      <c r="G23" s="14">
        <v>158</v>
      </c>
      <c r="H23" s="13">
        <v>162</v>
      </c>
      <c r="J23" s="24">
        <v>3.3</v>
      </c>
      <c r="K23" s="24">
        <v>4.7</v>
      </c>
      <c r="L23" s="25"/>
    </row>
    <row r="24" spans="1:12" ht="13.5" thickBot="1" x14ac:dyDescent="0.25">
      <c r="A24" s="33"/>
      <c r="B24" s="34"/>
      <c r="D24" s="35"/>
      <c r="E24" s="37">
        <v>100</v>
      </c>
      <c r="F24" s="38">
        <v>110</v>
      </c>
      <c r="G24" s="13">
        <v>162</v>
      </c>
      <c r="H24" s="14">
        <v>165</v>
      </c>
      <c r="J24" s="24">
        <v>4.7</v>
      </c>
      <c r="K24" s="24">
        <v>6.8</v>
      </c>
      <c r="L24" s="3"/>
    </row>
    <row r="25" spans="1:12" ht="13.5" thickBot="1" x14ac:dyDescent="0.25">
      <c r="A25" s="33"/>
      <c r="B25" s="34"/>
      <c r="D25" s="35"/>
      <c r="E25" s="38">
        <v>110</v>
      </c>
      <c r="F25" s="38">
        <v>120</v>
      </c>
      <c r="G25" s="14">
        <v>165</v>
      </c>
      <c r="H25" s="13">
        <v>169</v>
      </c>
      <c r="J25" s="24">
        <v>6.8</v>
      </c>
      <c r="K25" s="24">
        <v>10</v>
      </c>
      <c r="L25" s="3"/>
    </row>
    <row r="26" spans="1:12" ht="13.5" thickBot="1" x14ac:dyDescent="0.25">
      <c r="A26" s="33"/>
      <c r="B26" s="34"/>
      <c r="D26" s="35"/>
      <c r="E26" s="38">
        <v>120</v>
      </c>
      <c r="F26" s="38">
        <v>130</v>
      </c>
      <c r="G26" s="13">
        <v>169</v>
      </c>
      <c r="H26" s="14">
        <v>174</v>
      </c>
      <c r="J26" s="39"/>
      <c r="K26" s="39"/>
      <c r="L26" s="39"/>
    </row>
    <row r="27" spans="1:12" ht="13.5" thickBot="1" x14ac:dyDescent="0.25">
      <c r="A27" s="33"/>
      <c r="B27" s="34"/>
      <c r="D27" s="35"/>
      <c r="E27" s="38">
        <v>130</v>
      </c>
      <c r="F27" s="38">
        <v>150</v>
      </c>
      <c r="G27" s="14">
        <v>174</v>
      </c>
      <c r="H27" s="13">
        <v>178</v>
      </c>
      <c r="J27" s="39"/>
      <c r="K27" s="39"/>
      <c r="L27" s="39"/>
    </row>
    <row r="28" spans="1:12" ht="13.5" thickBot="1" x14ac:dyDescent="0.25">
      <c r="A28" s="33"/>
      <c r="B28" s="34"/>
      <c r="D28" s="35"/>
      <c r="E28" s="38">
        <v>150</v>
      </c>
      <c r="F28" s="38">
        <v>160</v>
      </c>
      <c r="G28" s="13">
        <v>178</v>
      </c>
      <c r="H28" s="14">
        <v>182</v>
      </c>
      <c r="I28" s="40"/>
      <c r="J28" s="39"/>
      <c r="K28" s="39"/>
      <c r="L28" s="39"/>
    </row>
    <row r="29" spans="1:12" ht="13.5" thickBot="1" x14ac:dyDescent="0.25">
      <c r="A29" s="33"/>
      <c r="B29" s="34"/>
      <c r="D29" s="35"/>
      <c r="E29" s="38">
        <v>160</v>
      </c>
      <c r="F29" s="38">
        <v>180</v>
      </c>
      <c r="G29" s="14">
        <v>182</v>
      </c>
      <c r="H29" s="13">
        <v>187</v>
      </c>
      <c r="I29" s="40"/>
      <c r="J29" s="39"/>
      <c r="K29" s="39"/>
      <c r="L29" s="39"/>
    </row>
    <row r="30" spans="1:12" ht="13.5" thickBot="1" x14ac:dyDescent="0.25">
      <c r="A30" s="33"/>
      <c r="B30" s="34"/>
      <c r="D30" s="35"/>
      <c r="E30" s="38">
        <v>180</v>
      </c>
      <c r="F30" s="41">
        <v>200</v>
      </c>
      <c r="G30" s="13">
        <v>187</v>
      </c>
      <c r="H30" s="14">
        <v>191</v>
      </c>
      <c r="I30" s="40"/>
      <c r="J30" s="39"/>
      <c r="K30" s="39"/>
      <c r="L30" s="39"/>
    </row>
    <row r="31" spans="1:12" ht="13.5" thickBot="1" x14ac:dyDescent="0.25">
      <c r="A31" s="33"/>
      <c r="B31" s="34"/>
      <c r="D31" s="35"/>
      <c r="E31" s="41">
        <v>200</v>
      </c>
      <c r="F31" s="37">
        <v>220</v>
      </c>
      <c r="G31" s="14">
        <v>191</v>
      </c>
      <c r="H31" s="13">
        <v>196</v>
      </c>
      <c r="I31" s="40"/>
      <c r="J31" s="39"/>
      <c r="K31" s="39"/>
      <c r="L31" s="39"/>
    </row>
    <row r="32" spans="1:12" ht="13.5" thickBot="1" x14ac:dyDescent="0.25">
      <c r="A32" s="33"/>
      <c r="B32" s="34"/>
      <c r="D32" s="35"/>
      <c r="E32" s="37">
        <v>220</v>
      </c>
      <c r="F32" s="38">
        <v>240</v>
      </c>
      <c r="G32" s="13">
        <v>196</v>
      </c>
      <c r="H32" s="14">
        <v>200</v>
      </c>
      <c r="I32" s="40"/>
      <c r="J32" s="39"/>
      <c r="K32" s="39"/>
      <c r="L32" s="39"/>
    </row>
    <row r="33" spans="1:12" ht="13.5" thickBot="1" x14ac:dyDescent="0.25">
      <c r="A33" s="33"/>
      <c r="B33" s="34"/>
      <c r="D33" s="35"/>
      <c r="E33" s="38">
        <v>240</v>
      </c>
      <c r="F33" s="38">
        <v>270</v>
      </c>
      <c r="G33" s="14">
        <v>200</v>
      </c>
      <c r="H33" s="13">
        <v>205</v>
      </c>
      <c r="I33" s="40"/>
      <c r="J33" s="39"/>
      <c r="K33" s="39"/>
      <c r="L33" s="39"/>
    </row>
    <row r="34" spans="1:12" s="43" customFormat="1" ht="13.5" thickBot="1" x14ac:dyDescent="0.25">
      <c r="A34" s="33"/>
      <c r="B34" s="34"/>
      <c r="C34" s="10"/>
      <c r="D34" s="35"/>
      <c r="E34" s="38">
        <v>270</v>
      </c>
      <c r="F34" s="38">
        <v>300</v>
      </c>
      <c r="G34" s="13">
        <v>205</v>
      </c>
      <c r="H34" s="14">
        <v>210</v>
      </c>
      <c r="I34" s="42"/>
      <c r="J34" s="39"/>
      <c r="K34" s="39"/>
      <c r="L34" s="39"/>
    </row>
    <row r="35" spans="1:12" s="43" customFormat="1" ht="13.5" thickBot="1" x14ac:dyDescent="0.25">
      <c r="E35" s="38">
        <v>300</v>
      </c>
      <c r="F35" s="38">
        <v>330</v>
      </c>
      <c r="G35" s="14">
        <v>210</v>
      </c>
      <c r="H35" s="13">
        <v>215</v>
      </c>
      <c r="I35" s="5"/>
      <c r="J35" s="39"/>
      <c r="K35" s="39"/>
      <c r="L35" s="39"/>
    </row>
    <row r="36" spans="1:12" s="43" customFormat="1" ht="13.5" thickBot="1" x14ac:dyDescent="0.25">
      <c r="E36" s="38">
        <v>330</v>
      </c>
      <c r="F36" s="38">
        <v>360</v>
      </c>
      <c r="G36" s="13">
        <v>215</v>
      </c>
      <c r="H36" s="14">
        <v>221</v>
      </c>
      <c r="I36" s="5"/>
      <c r="J36" s="39"/>
      <c r="K36" s="39"/>
      <c r="L36" s="39"/>
    </row>
    <row r="37" spans="1:12" s="43" customFormat="1" ht="13.5" thickBot="1" x14ac:dyDescent="0.25">
      <c r="E37" s="38">
        <v>360</v>
      </c>
      <c r="F37" s="38">
        <v>390</v>
      </c>
      <c r="G37" s="14">
        <v>221</v>
      </c>
      <c r="H37" s="13">
        <v>226</v>
      </c>
      <c r="I37" s="5"/>
      <c r="J37" s="39"/>
      <c r="K37" s="39"/>
      <c r="L37" s="39"/>
    </row>
    <row r="38" spans="1:12" s="43" customFormat="1" ht="13.5" thickBot="1" x14ac:dyDescent="0.25">
      <c r="E38" s="38">
        <v>390</v>
      </c>
      <c r="F38" s="41">
        <v>430</v>
      </c>
      <c r="G38" s="13">
        <v>226</v>
      </c>
      <c r="H38" s="14">
        <v>232</v>
      </c>
      <c r="I38" s="40"/>
      <c r="J38" s="39"/>
      <c r="K38" s="39"/>
      <c r="L38" s="39"/>
    </row>
    <row r="39" spans="1:12" ht="13.5" thickBot="1" x14ac:dyDescent="0.25">
      <c r="E39" s="41">
        <v>430</v>
      </c>
      <c r="F39" s="37">
        <v>470</v>
      </c>
      <c r="G39" s="14">
        <v>232</v>
      </c>
      <c r="H39" s="13">
        <v>237</v>
      </c>
      <c r="I39" s="40"/>
      <c r="J39" s="39"/>
      <c r="K39" s="39"/>
      <c r="L39" s="39"/>
    </row>
    <row r="40" spans="1:12" ht="13.5" thickBot="1" x14ac:dyDescent="0.25">
      <c r="E40" s="37">
        <v>470</v>
      </c>
      <c r="F40" s="38">
        <v>510</v>
      </c>
      <c r="G40" s="13">
        <v>237</v>
      </c>
      <c r="H40" s="14">
        <v>243</v>
      </c>
      <c r="I40" s="40"/>
      <c r="J40" s="39"/>
      <c r="K40" s="39"/>
      <c r="L40" s="39"/>
    </row>
    <row r="41" spans="1:12" ht="13.5" thickBot="1" x14ac:dyDescent="0.25">
      <c r="E41" s="38">
        <v>510</v>
      </c>
      <c r="F41" s="38">
        <v>560</v>
      </c>
      <c r="G41" s="14">
        <v>243</v>
      </c>
      <c r="H41" s="13">
        <v>249</v>
      </c>
      <c r="I41" s="40"/>
      <c r="J41" s="39"/>
      <c r="K41" s="39"/>
      <c r="L41" s="39"/>
    </row>
    <row r="42" spans="1:12" ht="13.5" thickBot="1" x14ac:dyDescent="0.25">
      <c r="E42" s="38">
        <v>560</v>
      </c>
      <c r="F42" s="38">
        <v>620</v>
      </c>
      <c r="G42" s="13">
        <v>249</v>
      </c>
      <c r="H42" s="14">
        <v>255</v>
      </c>
      <c r="I42" s="40"/>
      <c r="J42" s="39"/>
      <c r="K42" s="39"/>
      <c r="L42" s="39"/>
    </row>
    <row r="43" spans="1:12" ht="13.5" thickBot="1" x14ac:dyDescent="0.25">
      <c r="E43" s="38">
        <v>620</v>
      </c>
      <c r="F43" s="38">
        <v>680</v>
      </c>
      <c r="G43" s="14">
        <v>255</v>
      </c>
      <c r="H43" s="13">
        <v>261</v>
      </c>
      <c r="I43" s="40"/>
      <c r="J43" s="39"/>
      <c r="K43" s="39"/>
      <c r="L43" s="39"/>
    </row>
    <row r="44" spans="1:12" ht="13.5" thickBot="1" x14ac:dyDescent="0.25">
      <c r="E44" s="38">
        <v>680</v>
      </c>
      <c r="F44" s="38">
        <v>750</v>
      </c>
      <c r="G44" s="13">
        <v>261</v>
      </c>
      <c r="H44" s="14">
        <v>267</v>
      </c>
      <c r="I44" s="40"/>
      <c r="J44" s="39"/>
      <c r="K44" s="39"/>
      <c r="L44" s="39"/>
    </row>
    <row r="45" spans="1:12" ht="13.5" thickBot="1" x14ac:dyDescent="0.25">
      <c r="E45" s="38">
        <v>750</v>
      </c>
      <c r="F45" s="38">
        <v>820</v>
      </c>
      <c r="G45" s="14">
        <v>267</v>
      </c>
      <c r="H45" s="13">
        <v>274</v>
      </c>
      <c r="J45" s="39"/>
      <c r="K45" s="39"/>
      <c r="L45" s="39"/>
    </row>
    <row r="46" spans="1:12" ht="13.5" thickBot="1" x14ac:dyDescent="0.25">
      <c r="E46" s="38">
        <v>820</v>
      </c>
      <c r="F46" s="41">
        <v>910</v>
      </c>
      <c r="G46" s="13">
        <v>274</v>
      </c>
      <c r="H46" s="14">
        <v>280</v>
      </c>
      <c r="J46" s="39"/>
      <c r="K46" s="39"/>
      <c r="L46" s="39"/>
    </row>
    <row r="47" spans="1:12" ht="13.5" thickBot="1" x14ac:dyDescent="0.25">
      <c r="E47" s="41">
        <v>910</v>
      </c>
      <c r="F47" s="41">
        <v>1000</v>
      </c>
      <c r="G47" s="14">
        <v>280</v>
      </c>
      <c r="H47" s="13">
        <v>287</v>
      </c>
      <c r="J47" s="39"/>
      <c r="K47" s="39"/>
      <c r="L47" s="39"/>
    </row>
    <row r="48" spans="1:12" ht="13.5" thickBot="1" x14ac:dyDescent="0.25">
      <c r="E48" s="270" t="s">
        <v>85</v>
      </c>
      <c r="F48" s="270"/>
      <c r="G48" s="13">
        <v>287</v>
      </c>
      <c r="H48" s="14">
        <v>294</v>
      </c>
      <c r="J48" s="39"/>
      <c r="K48" s="39"/>
      <c r="L48" s="39"/>
    </row>
    <row r="49" spans="1:12" ht="13.5" thickBot="1" x14ac:dyDescent="0.25">
      <c r="E49" s="44">
        <v>100</v>
      </c>
      <c r="F49" s="44">
        <v>105</v>
      </c>
      <c r="G49" s="14">
        <v>294</v>
      </c>
      <c r="H49" s="13">
        <v>301</v>
      </c>
      <c r="J49" s="39"/>
      <c r="K49" s="39"/>
      <c r="L49" s="39"/>
    </row>
    <row r="50" spans="1:12" ht="13.5" thickBot="1" x14ac:dyDescent="0.25">
      <c r="A50" s="3"/>
      <c r="B50" s="3"/>
      <c r="C50" s="3"/>
      <c r="D50" s="3"/>
      <c r="E50" s="44">
        <v>105</v>
      </c>
      <c r="F50" s="44">
        <v>110</v>
      </c>
      <c r="G50" s="13">
        <v>301</v>
      </c>
      <c r="H50" s="14">
        <v>309</v>
      </c>
      <c r="J50" s="39"/>
      <c r="K50" s="39"/>
      <c r="L50" s="39"/>
    </row>
    <row r="51" spans="1:12" ht="13.5" thickBot="1" x14ac:dyDescent="0.25">
      <c r="A51" s="3"/>
      <c r="B51" s="3"/>
      <c r="C51" s="3"/>
      <c r="D51" s="3"/>
      <c r="E51" s="44">
        <v>110</v>
      </c>
      <c r="F51" s="44">
        <v>115</v>
      </c>
      <c r="G51" s="14">
        <v>309</v>
      </c>
      <c r="H51" s="13">
        <v>316</v>
      </c>
      <c r="J51" s="39"/>
      <c r="K51" s="39"/>
      <c r="L51" s="39"/>
    </row>
    <row r="52" spans="1:12" ht="13.5" thickBot="1" x14ac:dyDescent="0.25">
      <c r="A52" s="3"/>
      <c r="B52" s="3"/>
      <c r="C52" s="3"/>
      <c r="D52" s="3"/>
      <c r="E52" s="44">
        <v>115</v>
      </c>
      <c r="F52" s="44">
        <v>121</v>
      </c>
      <c r="G52" s="13">
        <v>316</v>
      </c>
      <c r="H52" s="14">
        <v>324</v>
      </c>
      <c r="J52" s="39"/>
      <c r="K52" s="39"/>
      <c r="L52" s="39"/>
    </row>
    <row r="53" spans="1:12" ht="13.5" thickBot="1" x14ac:dyDescent="0.25">
      <c r="A53" s="3"/>
      <c r="B53" s="3"/>
      <c r="C53" s="3"/>
      <c r="D53" s="3"/>
      <c r="E53" s="44">
        <v>121</v>
      </c>
      <c r="F53" s="44">
        <v>127</v>
      </c>
      <c r="G53" s="14">
        <v>324</v>
      </c>
      <c r="H53" s="13">
        <v>332</v>
      </c>
      <c r="J53" s="39"/>
      <c r="K53" s="39"/>
      <c r="L53" s="39"/>
    </row>
    <row r="54" spans="1:12" ht="13.5" thickBot="1" x14ac:dyDescent="0.25">
      <c r="A54" s="3"/>
      <c r="B54" s="3"/>
      <c r="C54" s="3"/>
      <c r="D54" s="3"/>
      <c r="E54" s="44">
        <v>127</v>
      </c>
      <c r="F54" s="44">
        <v>133</v>
      </c>
      <c r="G54" s="13">
        <v>332</v>
      </c>
      <c r="H54" s="14">
        <v>340</v>
      </c>
      <c r="J54" s="39"/>
      <c r="K54" s="39"/>
      <c r="L54" s="39"/>
    </row>
    <row r="55" spans="1:12" ht="13.5" thickBot="1" x14ac:dyDescent="0.25">
      <c r="A55" s="3"/>
      <c r="B55" s="3"/>
      <c r="C55" s="3"/>
      <c r="D55" s="3"/>
      <c r="E55" s="44">
        <v>133</v>
      </c>
      <c r="F55" s="44">
        <v>140</v>
      </c>
      <c r="G55" s="14">
        <v>340</v>
      </c>
      <c r="H55" s="13">
        <v>348</v>
      </c>
      <c r="J55" s="39"/>
      <c r="K55" s="39"/>
      <c r="L55" s="39"/>
    </row>
    <row r="56" spans="1:12" ht="13.5" thickBot="1" x14ac:dyDescent="0.25">
      <c r="A56" s="3"/>
      <c r="B56" s="3"/>
      <c r="C56" s="3"/>
      <c r="D56" s="3"/>
      <c r="E56" s="44">
        <v>140</v>
      </c>
      <c r="F56" s="44">
        <v>147</v>
      </c>
      <c r="G56" s="13">
        <v>348</v>
      </c>
      <c r="H56" s="14">
        <v>357</v>
      </c>
      <c r="J56" s="39"/>
      <c r="K56" s="39"/>
      <c r="L56" s="39"/>
    </row>
    <row r="57" spans="1:12" ht="13.5" thickBot="1" x14ac:dyDescent="0.25">
      <c r="A57" s="3"/>
      <c r="B57" s="3"/>
      <c r="C57" s="3"/>
      <c r="D57" s="3"/>
      <c r="E57" s="44">
        <v>147</v>
      </c>
      <c r="F57" s="44">
        <v>154</v>
      </c>
      <c r="G57" s="14">
        <v>357</v>
      </c>
      <c r="H57" s="13">
        <v>365</v>
      </c>
      <c r="J57" s="39"/>
      <c r="K57" s="39"/>
      <c r="L57" s="39"/>
    </row>
    <row r="58" spans="1:12" ht="13.5" thickBot="1" x14ac:dyDescent="0.25">
      <c r="A58" s="3"/>
      <c r="B58" s="3"/>
      <c r="C58" s="3"/>
      <c r="D58" s="3"/>
      <c r="E58" s="44">
        <v>154</v>
      </c>
      <c r="F58" s="44">
        <v>162</v>
      </c>
      <c r="G58" s="13">
        <v>365</v>
      </c>
      <c r="H58" s="14">
        <v>374</v>
      </c>
      <c r="J58" s="39"/>
      <c r="K58" s="39"/>
      <c r="L58" s="39"/>
    </row>
    <row r="59" spans="1:12" ht="13.5" thickBot="1" x14ac:dyDescent="0.25">
      <c r="A59" s="3"/>
      <c r="B59" s="3"/>
      <c r="C59" s="3"/>
      <c r="D59" s="3"/>
      <c r="E59" s="44">
        <v>162</v>
      </c>
      <c r="F59" s="44">
        <v>169</v>
      </c>
      <c r="G59" s="14">
        <v>374</v>
      </c>
      <c r="H59" s="13">
        <v>383</v>
      </c>
      <c r="J59" s="39"/>
      <c r="K59" s="39"/>
      <c r="L59" s="39"/>
    </row>
    <row r="60" spans="1:12" ht="13.5" thickBot="1" x14ac:dyDescent="0.25">
      <c r="A60" s="3"/>
      <c r="B60" s="3"/>
      <c r="C60" s="3"/>
      <c r="D60" s="3"/>
      <c r="E60" s="44">
        <v>169</v>
      </c>
      <c r="F60" s="44">
        <v>178</v>
      </c>
      <c r="G60" s="13">
        <v>383</v>
      </c>
      <c r="H60" s="14">
        <v>392</v>
      </c>
      <c r="J60" s="39"/>
      <c r="K60" s="39"/>
      <c r="L60" s="39"/>
    </row>
    <row r="61" spans="1:12" ht="13.5" thickBot="1" x14ac:dyDescent="0.25">
      <c r="A61" s="3"/>
      <c r="B61" s="3"/>
      <c r="C61" s="3"/>
      <c r="D61" s="3"/>
      <c r="E61" s="44">
        <v>178</v>
      </c>
      <c r="F61" s="44">
        <v>187</v>
      </c>
      <c r="G61" s="14">
        <v>392</v>
      </c>
      <c r="H61" s="13">
        <v>402</v>
      </c>
      <c r="J61" s="39"/>
      <c r="K61" s="39"/>
      <c r="L61" s="39"/>
    </row>
    <row r="62" spans="1:12" ht="13.5" thickBot="1" x14ac:dyDescent="0.25">
      <c r="A62" s="3"/>
      <c r="B62" s="3"/>
      <c r="C62" s="3"/>
      <c r="D62" s="3"/>
      <c r="E62" s="44">
        <v>187</v>
      </c>
      <c r="F62" s="44">
        <v>196</v>
      </c>
      <c r="G62" s="13">
        <v>402</v>
      </c>
      <c r="H62" s="14">
        <v>412</v>
      </c>
      <c r="J62" s="39"/>
      <c r="K62" s="39"/>
      <c r="L62" s="39"/>
    </row>
    <row r="63" spans="1:12" ht="13.5" thickBot="1" x14ac:dyDescent="0.25">
      <c r="A63" s="3"/>
      <c r="B63" s="3"/>
      <c r="C63" s="3"/>
      <c r="D63" s="3"/>
      <c r="E63" s="44">
        <v>196</v>
      </c>
      <c r="F63" s="44">
        <v>205</v>
      </c>
      <c r="G63" s="14">
        <v>412</v>
      </c>
      <c r="H63" s="13">
        <v>422</v>
      </c>
      <c r="J63" s="39"/>
      <c r="K63" s="39"/>
      <c r="L63" s="39"/>
    </row>
    <row r="64" spans="1:12" ht="13.5" thickBot="1" x14ac:dyDescent="0.25">
      <c r="A64" s="3"/>
      <c r="B64" s="3"/>
      <c r="C64" s="3"/>
      <c r="D64" s="3"/>
      <c r="E64" s="44">
        <v>205</v>
      </c>
      <c r="F64" s="44">
        <v>215</v>
      </c>
      <c r="G64" s="13">
        <v>422</v>
      </c>
      <c r="H64" s="14">
        <v>432</v>
      </c>
      <c r="J64" s="39"/>
      <c r="K64" s="39"/>
      <c r="L64" s="39"/>
    </row>
    <row r="65" spans="5:12" s="3" customFormat="1" ht="13.5" thickBot="1" x14ac:dyDescent="0.25">
      <c r="E65" s="44">
        <v>215</v>
      </c>
      <c r="F65" s="44">
        <v>226</v>
      </c>
      <c r="G65" s="14">
        <v>432</v>
      </c>
      <c r="H65" s="13">
        <v>442</v>
      </c>
      <c r="I65" s="5"/>
      <c r="J65" s="39"/>
      <c r="K65" s="39"/>
      <c r="L65" s="39"/>
    </row>
    <row r="66" spans="5:12" s="3" customFormat="1" ht="13.5" thickBot="1" x14ac:dyDescent="0.25">
      <c r="E66" s="44">
        <v>226</v>
      </c>
      <c r="F66" s="44">
        <v>237</v>
      </c>
      <c r="G66" s="13">
        <v>442</v>
      </c>
      <c r="H66" s="14">
        <v>453</v>
      </c>
      <c r="I66" s="5"/>
      <c r="J66" s="39"/>
      <c r="K66" s="39"/>
      <c r="L66" s="39"/>
    </row>
    <row r="67" spans="5:12" s="3" customFormat="1" ht="13.5" thickBot="1" x14ac:dyDescent="0.25">
      <c r="E67" s="44">
        <v>237</v>
      </c>
      <c r="F67" s="44">
        <v>249</v>
      </c>
      <c r="G67" s="14">
        <v>453</v>
      </c>
      <c r="H67" s="13">
        <v>464</v>
      </c>
      <c r="I67" s="5"/>
      <c r="J67" s="39"/>
      <c r="K67" s="39"/>
      <c r="L67" s="39"/>
    </row>
    <row r="68" spans="5:12" s="3" customFormat="1" ht="13.5" thickBot="1" x14ac:dyDescent="0.25">
      <c r="E68" s="44">
        <v>249</v>
      </c>
      <c r="F68" s="44">
        <v>261</v>
      </c>
      <c r="G68" s="13">
        <v>464</v>
      </c>
      <c r="H68" s="14">
        <v>475</v>
      </c>
      <c r="I68" s="5"/>
      <c r="J68" s="39"/>
      <c r="K68" s="39"/>
      <c r="L68" s="39"/>
    </row>
    <row r="69" spans="5:12" s="3" customFormat="1" ht="13.5" thickBot="1" x14ac:dyDescent="0.25">
      <c r="E69" s="44">
        <v>261</v>
      </c>
      <c r="F69" s="44">
        <v>274</v>
      </c>
      <c r="G69" s="14">
        <v>475</v>
      </c>
      <c r="H69" s="13">
        <v>487</v>
      </c>
      <c r="I69" s="5"/>
      <c r="J69" s="39"/>
      <c r="K69" s="39"/>
      <c r="L69" s="39"/>
    </row>
    <row r="70" spans="5:12" s="3" customFormat="1" ht="13.5" thickBot="1" x14ac:dyDescent="0.25">
      <c r="E70" s="44">
        <v>274</v>
      </c>
      <c r="F70" s="44">
        <v>287</v>
      </c>
      <c r="G70" s="13">
        <v>487</v>
      </c>
      <c r="H70" s="14">
        <v>499</v>
      </c>
      <c r="I70" s="5"/>
      <c r="J70" s="39"/>
      <c r="K70" s="39"/>
      <c r="L70" s="39"/>
    </row>
    <row r="71" spans="5:12" s="3" customFormat="1" ht="13.5" thickBot="1" x14ac:dyDescent="0.25">
      <c r="E71" s="44">
        <v>287</v>
      </c>
      <c r="F71" s="44">
        <v>301</v>
      </c>
      <c r="G71" s="14">
        <v>499</v>
      </c>
      <c r="H71" s="13">
        <v>511</v>
      </c>
      <c r="I71" s="5"/>
      <c r="J71" s="39"/>
      <c r="K71" s="39"/>
      <c r="L71" s="39"/>
    </row>
    <row r="72" spans="5:12" s="3" customFormat="1" ht="13.5" thickBot="1" x14ac:dyDescent="0.25">
      <c r="E72" s="44">
        <v>301</v>
      </c>
      <c r="F72" s="44">
        <v>316</v>
      </c>
      <c r="G72" s="13">
        <v>511</v>
      </c>
      <c r="H72" s="14">
        <v>523</v>
      </c>
      <c r="I72" s="5"/>
      <c r="J72" s="39"/>
      <c r="K72" s="39"/>
      <c r="L72" s="39"/>
    </row>
    <row r="73" spans="5:12" s="3" customFormat="1" ht="13.5" thickBot="1" x14ac:dyDescent="0.25">
      <c r="E73" s="44">
        <v>316</v>
      </c>
      <c r="F73" s="44">
        <v>332</v>
      </c>
      <c r="G73" s="14">
        <v>523</v>
      </c>
      <c r="H73" s="13">
        <v>536</v>
      </c>
      <c r="I73" s="5"/>
      <c r="J73" s="39"/>
      <c r="K73" s="39"/>
      <c r="L73" s="39"/>
    </row>
    <row r="74" spans="5:12" s="3" customFormat="1" ht="13.5" thickBot="1" x14ac:dyDescent="0.25">
      <c r="E74" s="44">
        <v>332</v>
      </c>
      <c r="F74" s="44">
        <v>348</v>
      </c>
      <c r="G74" s="13">
        <v>536</v>
      </c>
      <c r="H74" s="14">
        <v>549</v>
      </c>
      <c r="I74" s="5"/>
      <c r="J74" s="39"/>
      <c r="K74" s="39"/>
      <c r="L74" s="39"/>
    </row>
    <row r="75" spans="5:12" s="3" customFormat="1" ht="13.5" thickBot="1" x14ac:dyDescent="0.25">
      <c r="E75" s="44">
        <v>348</v>
      </c>
      <c r="F75" s="44">
        <v>365</v>
      </c>
      <c r="G75" s="14">
        <v>549</v>
      </c>
      <c r="H75" s="13">
        <v>562</v>
      </c>
      <c r="I75" s="5"/>
      <c r="J75" s="39"/>
      <c r="K75" s="39"/>
      <c r="L75" s="39"/>
    </row>
    <row r="76" spans="5:12" s="3" customFormat="1" ht="13.5" thickBot="1" x14ac:dyDescent="0.25">
      <c r="E76" s="44">
        <v>365</v>
      </c>
      <c r="F76" s="44">
        <v>383</v>
      </c>
      <c r="G76" s="13">
        <v>562</v>
      </c>
      <c r="H76" s="14">
        <v>576</v>
      </c>
      <c r="I76" s="5"/>
      <c r="J76" s="45"/>
      <c r="K76" s="45"/>
      <c r="L76" s="45"/>
    </row>
    <row r="77" spans="5:12" s="3" customFormat="1" ht="13.5" thickBot="1" x14ac:dyDescent="0.25">
      <c r="E77" s="44">
        <v>383</v>
      </c>
      <c r="F77" s="44">
        <v>402</v>
      </c>
      <c r="G77" s="14">
        <v>576</v>
      </c>
      <c r="H77" s="13">
        <v>590</v>
      </c>
      <c r="I77" s="5"/>
      <c r="J77" s="45"/>
      <c r="K77" s="45"/>
      <c r="L77" s="45"/>
    </row>
    <row r="78" spans="5:12" s="3" customFormat="1" ht="13.5" thickBot="1" x14ac:dyDescent="0.25">
      <c r="E78" s="44">
        <v>402</v>
      </c>
      <c r="F78" s="44">
        <v>422</v>
      </c>
      <c r="G78" s="13">
        <v>590</v>
      </c>
      <c r="H78" s="14">
        <v>604</v>
      </c>
      <c r="I78" s="5"/>
      <c r="J78" s="45"/>
      <c r="K78" s="45"/>
      <c r="L78" s="45"/>
    </row>
    <row r="79" spans="5:12" s="3" customFormat="1" ht="13.5" thickBot="1" x14ac:dyDescent="0.25">
      <c r="E79" s="44">
        <v>422</v>
      </c>
      <c r="F79" s="44">
        <v>442</v>
      </c>
      <c r="G79" s="14">
        <v>604</v>
      </c>
      <c r="H79" s="13">
        <v>619</v>
      </c>
      <c r="I79" s="5"/>
      <c r="J79" s="45"/>
      <c r="K79" s="45"/>
      <c r="L79" s="45"/>
    </row>
    <row r="80" spans="5:12" s="3" customFormat="1" ht="13.5" thickBot="1" x14ac:dyDescent="0.25">
      <c r="E80" s="44">
        <v>442</v>
      </c>
      <c r="F80" s="44">
        <v>464</v>
      </c>
      <c r="G80" s="13">
        <v>619</v>
      </c>
      <c r="H80" s="14">
        <v>634</v>
      </c>
      <c r="I80" s="5"/>
      <c r="J80" s="45"/>
      <c r="K80" s="45"/>
      <c r="L80" s="45"/>
    </row>
    <row r="81" spans="5:12" s="3" customFormat="1" ht="13.5" thickBot="1" x14ac:dyDescent="0.25">
      <c r="E81" s="44">
        <v>464</v>
      </c>
      <c r="F81" s="44">
        <v>487</v>
      </c>
      <c r="G81" s="14">
        <v>634</v>
      </c>
      <c r="H81" s="13">
        <v>649</v>
      </c>
      <c r="I81" s="5"/>
      <c r="J81" s="45"/>
      <c r="K81" s="45"/>
      <c r="L81" s="45"/>
    </row>
    <row r="82" spans="5:12" s="3" customFormat="1" ht="13.5" thickBot="1" x14ac:dyDescent="0.25">
      <c r="E82" s="44">
        <v>487</v>
      </c>
      <c r="F82" s="44">
        <v>511</v>
      </c>
      <c r="G82" s="13">
        <v>649</v>
      </c>
      <c r="H82" s="14">
        <v>665</v>
      </c>
      <c r="I82" s="5"/>
      <c r="J82" s="45"/>
      <c r="K82" s="45"/>
      <c r="L82" s="45"/>
    </row>
    <row r="83" spans="5:12" s="3" customFormat="1" ht="13.5" thickBot="1" x14ac:dyDescent="0.25">
      <c r="E83" s="44">
        <v>511</v>
      </c>
      <c r="F83" s="44">
        <v>536</v>
      </c>
      <c r="G83" s="14">
        <v>665</v>
      </c>
      <c r="H83" s="13">
        <v>681</v>
      </c>
      <c r="I83" s="5"/>
      <c r="J83" s="45"/>
      <c r="K83" s="45"/>
      <c r="L83" s="45"/>
    </row>
    <row r="84" spans="5:12" s="3" customFormat="1" ht="13.5" thickBot="1" x14ac:dyDescent="0.25">
      <c r="E84" s="44">
        <v>536</v>
      </c>
      <c r="F84" s="44">
        <v>562</v>
      </c>
      <c r="G84" s="13">
        <v>681</v>
      </c>
      <c r="H84" s="14">
        <v>698</v>
      </c>
      <c r="I84" s="5"/>
      <c r="J84" s="45"/>
      <c r="K84" s="45"/>
      <c r="L84" s="45"/>
    </row>
    <row r="85" spans="5:12" s="3" customFormat="1" ht="13.5" thickBot="1" x14ac:dyDescent="0.25">
      <c r="E85" s="44">
        <v>562</v>
      </c>
      <c r="F85" s="44">
        <v>590</v>
      </c>
      <c r="G85" s="14">
        <v>698</v>
      </c>
      <c r="H85" s="13">
        <v>715</v>
      </c>
      <c r="I85" s="5"/>
      <c r="J85" s="45"/>
      <c r="K85" s="45"/>
      <c r="L85" s="45"/>
    </row>
    <row r="86" spans="5:12" s="3" customFormat="1" ht="13.5" thickBot="1" x14ac:dyDescent="0.25">
      <c r="E86" s="44">
        <v>590</v>
      </c>
      <c r="F86" s="44">
        <v>619</v>
      </c>
      <c r="G86" s="13">
        <v>715</v>
      </c>
      <c r="H86" s="14">
        <v>732</v>
      </c>
      <c r="I86" s="5"/>
      <c r="J86" s="45"/>
      <c r="K86" s="45"/>
      <c r="L86" s="45"/>
    </row>
    <row r="87" spans="5:12" s="3" customFormat="1" ht="13.5" thickBot="1" x14ac:dyDescent="0.25">
      <c r="E87" s="44">
        <v>619</v>
      </c>
      <c r="F87" s="44">
        <v>649</v>
      </c>
      <c r="G87" s="14">
        <v>732</v>
      </c>
      <c r="H87" s="13">
        <v>750</v>
      </c>
      <c r="I87" s="5"/>
      <c r="J87" s="45"/>
      <c r="K87" s="45"/>
      <c r="L87" s="45"/>
    </row>
    <row r="88" spans="5:12" s="3" customFormat="1" ht="13.5" thickBot="1" x14ac:dyDescent="0.25">
      <c r="E88" s="44">
        <v>649</v>
      </c>
      <c r="F88" s="44">
        <v>681</v>
      </c>
      <c r="G88" s="13">
        <v>750</v>
      </c>
      <c r="H88" s="14">
        <v>768</v>
      </c>
      <c r="I88" s="5"/>
      <c r="J88" s="45"/>
      <c r="K88" s="45"/>
      <c r="L88" s="45"/>
    </row>
    <row r="89" spans="5:12" s="3" customFormat="1" ht="13.5" thickBot="1" x14ac:dyDescent="0.25">
      <c r="E89" s="44">
        <v>681</v>
      </c>
      <c r="F89" s="44">
        <v>715</v>
      </c>
      <c r="G89" s="14">
        <v>768</v>
      </c>
      <c r="H89" s="13">
        <v>787</v>
      </c>
      <c r="I89" s="5"/>
      <c r="J89" s="45"/>
      <c r="K89" s="45"/>
      <c r="L89" s="45"/>
    </row>
    <row r="90" spans="5:12" s="3" customFormat="1" ht="13.5" thickBot="1" x14ac:dyDescent="0.25">
      <c r="E90" s="44">
        <v>715</v>
      </c>
      <c r="F90" s="44">
        <v>750</v>
      </c>
      <c r="G90" s="13">
        <v>787</v>
      </c>
      <c r="H90" s="14">
        <v>806</v>
      </c>
      <c r="I90" s="5"/>
      <c r="J90" s="45"/>
      <c r="K90" s="45"/>
      <c r="L90" s="45"/>
    </row>
    <row r="91" spans="5:12" s="3" customFormat="1" ht="13.5" thickBot="1" x14ac:dyDescent="0.25">
      <c r="E91" s="44">
        <v>750</v>
      </c>
      <c r="F91" s="44">
        <v>787</v>
      </c>
      <c r="G91" s="14">
        <v>806</v>
      </c>
      <c r="H91" s="13">
        <v>825</v>
      </c>
      <c r="I91" s="5"/>
      <c r="J91" s="45"/>
      <c r="K91" s="45"/>
      <c r="L91" s="45"/>
    </row>
    <row r="92" spans="5:12" s="3" customFormat="1" ht="13.5" thickBot="1" x14ac:dyDescent="0.25">
      <c r="E92" s="44">
        <v>787</v>
      </c>
      <c r="F92" s="44">
        <v>825</v>
      </c>
      <c r="G92" s="13">
        <v>825</v>
      </c>
      <c r="H92" s="14">
        <v>845</v>
      </c>
      <c r="I92" s="5"/>
      <c r="J92" s="45"/>
      <c r="K92" s="45"/>
      <c r="L92" s="45"/>
    </row>
    <row r="93" spans="5:12" s="3" customFormat="1" ht="13.5" thickBot="1" x14ac:dyDescent="0.25">
      <c r="E93" s="44">
        <v>825</v>
      </c>
      <c r="F93" s="44">
        <v>866</v>
      </c>
      <c r="G93" s="14">
        <v>845</v>
      </c>
      <c r="H93" s="13">
        <v>866</v>
      </c>
      <c r="I93" s="5"/>
      <c r="J93" s="45"/>
      <c r="K93" s="45"/>
      <c r="L93" s="45"/>
    </row>
    <row r="94" spans="5:12" s="3" customFormat="1" ht="13.5" thickBot="1" x14ac:dyDescent="0.25">
      <c r="E94" s="44">
        <v>866</v>
      </c>
      <c r="F94" s="44">
        <v>909</v>
      </c>
      <c r="G94" s="13">
        <v>866</v>
      </c>
      <c r="H94" s="14">
        <v>887</v>
      </c>
      <c r="I94" s="5"/>
      <c r="J94" s="45"/>
      <c r="K94" s="45"/>
      <c r="L94" s="45"/>
    </row>
    <row r="95" spans="5:12" s="3" customFormat="1" ht="13.5" thickBot="1" x14ac:dyDescent="0.25">
      <c r="E95" s="44">
        <v>909</v>
      </c>
      <c r="F95" s="44">
        <v>953</v>
      </c>
      <c r="G95" s="14">
        <v>887</v>
      </c>
      <c r="H95" s="13">
        <v>909</v>
      </c>
      <c r="I95" s="5"/>
      <c r="J95" s="45"/>
      <c r="K95" s="45"/>
      <c r="L95" s="45"/>
    </row>
    <row r="96" spans="5:12" s="3" customFormat="1" ht="13.5" thickBot="1" x14ac:dyDescent="0.25">
      <c r="E96" s="44">
        <v>953</v>
      </c>
      <c r="F96" s="44">
        <v>1000</v>
      </c>
      <c r="G96" s="13">
        <v>909</v>
      </c>
      <c r="H96" s="14">
        <v>931</v>
      </c>
      <c r="I96" s="5"/>
      <c r="J96" s="45"/>
      <c r="K96" s="45"/>
      <c r="L96" s="45"/>
    </row>
    <row r="97" spans="7:12" s="3" customFormat="1" ht="13.5" thickBot="1" x14ac:dyDescent="0.25">
      <c r="G97" s="14">
        <v>931</v>
      </c>
      <c r="H97" s="13">
        <v>953</v>
      </c>
      <c r="I97" s="5"/>
      <c r="J97" s="45"/>
      <c r="K97" s="45"/>
      <c r="L97" s="45"/>
    </row>
    <row r="98" spans="7:12" s="3" customFormat="1" ht="13.5" thickBot="1" x14ac:dyDescent="0.25">
      <c r="G98" s="13">
        <v>953</v>
      </c>
      <c r="H98" s="14">
        <v>976</v>
      </c>
      <c r="I98" s="5"/>
      <c r="J98" s="45"/>
      <c r="K98" s="45"/>
      <c r="L98" s="45"/>
    </row>
    <row r="99" spans="7:12" s="3" customFormat="1" ht="13.5" thickBot="1" x14ac:dyDescent="0.25">
      <c r="G99" s="14">
        <v>976</v>
      </c>
      <c r="H99" s="14">
        <v>1000</v>
      </c>
      <c r="I99" s="5"/>
      <c r="J99" s="45"/>
      <c r="K99" s="45"/>
      <c r="L99" s="45"/>
    </row>
    <row r="100" spans="7:12" s="3" customFormat="1" x14ac:dyDescent="0.2">
      <c r="I100" s="5"/>
      <c r="J100" s="45"/>
      <c r="K100" s="45"/>
      <c r="L100" s="45"/>
    </row>
    <row r="101" spans="7:12" s="3" customFormat="1" x14ac:dyDescent="0.2">
      <c r="I101" s="5"/>
      <c r="J101" s="45"/>
      <c r="K101" s="45"/>
      <c r="L101" s="45"/>
    </row>
    <row r="102" spans="7:12" s="3" customFormat="1" x14ac:dyDescent="0.2">
      <c r="I102" s="5"/>
      <c r="J102" s="45"/>
      <c r="K102" s="45"/>
      <c r="L102" s="45"/>
    </row>
    <row r="103" spans="7:12" s="3" customFormat="1" x14ac:dyDescent="0.2">
      <c r="I103" s="5"/>
      <c r="J103" s="45"/>
      <c r="K103" s="45"/>
      <c r="L103" s="45"/>
    </row>
    <row r="104" spans="7:12" s="3" customFormat="1" x14ac:dyDescent="0.2">
      <c r="I104" s="5"/>
      <c r="J104" s="45"/>
      <c r="K104" s="45"/>
      <c r="L104" s="45"/>
    </row>
    <row r="105" spans="7:12" s="3" customFormat="1" x14ac:dyDescent="0.2">
      <c r="I105" s="5"/>
      <c r="J105" s="45"/>
      <c r="K105" s="45"/>
      <c r="L105" s="45"/>
    </row>
    <row r="106" spans="7:12" s="3" customFormat="1" x14ac:dyDescent="0.2">
      <c r="I106" s="5"/>
      <c r="J106" s="45"/>
      <c r="K106" s="45"/>
      <c r="L106" s="45"/>
    </row>
    <row r="107" spans="7:12" s="3" customFormat="1" x14ac:dyDescent="0.2">
      <c r="I107" s="5"/>
      <c r="J107" s="45"/>
      <c r="K107" s="45"/>
      <c r="L107" s="45"/>
    </row>
    <row r="108" spans="7:12" s="3" customFormat="1" x14ac:dyDescent="0.2">
      <c r="I108" s="5"/>
      <c r="J108" s="45"/>
      <c r="K108" s="45"/>
      <c r="L108" s="45"/>
    </row>
    <row r="109" spans="7:12" s="3" customFormat="1" x14ac:dyDescent="0.2">
      <c r="I109" s="5"/>
      <c r="J109" s="45"/>
      <c r="K109" s="45"/>
      <c r="L109" s="45"/>
    </row>
    <row r="110" spans="7:12" s="3" customFormat="1" x14ac:dyDescent="0.2">
      <c r="I110" s="5"/>
      <c r="J110" s="45"/>
      <c r="K110" s="45"/>
      <c r="L110" s="45"/>
    </row>
    <row r="111" spans="7:12" s="3" customFormat="1" x14ac:dyDescent="0.2">
      <c r="I111" s="5"/>
      <c r="J111" s="45"/>
      <c r="K111" s="45"/>
      <c r="L111" s="45"/>
    </row>
    <row r="112" spans="7:12" s="3" customFormat="1" x14ac:dyDescent="0.2">
      <c r="I112" s="5"/>
      <c r="J112" s="45"/>
      <c r="K112" s="45"/>
      <c r="L112" s="45"/>
    </row>
    <row r="113" spans="9:12" s="3" customFormat="1" x14ac:dyDescent="0.2">
      <c r="I113" s="5"/>
      <c r="J113" s="45"/>
      <c r="K113" s="45"/>
      <c r="L113" s="45"/>
    </row>
    <row r="114" spans="9:12" s="3" customFormat="1" x14ac:dyDescent="0.2">
      <c r="J114" s="45"/>
      <c r="K114" s="45"/>
      <c r="L114" s="45"/>
    </row>
    <row r="115" spans="9:12" s="3" customFormat="1" x14ac:dyDescent="0.2">
      <c r="J115" s="45"/>
      <c r="K115" s="45"/>
      <c r="L115" s="45"/>
    </row>
    <row r="116" spans="9:12" s="3" customFormat="1" x14ac:dyDescent="0.2">
      <c r="J116" s="45"/>
      <c r="K116" s="45"/>
      <c r="L116" s="45"/>
    </row>
    <row r="117" spans="9:12" s="3" customFormat="1" x14ac:dyDescent="0.2">
      <c r="J117" s="45"/>
      <c r="K117" s="45"/>
      <c r="L117" s="45"/>
    </row>
    <row r="118" spans="9:12" s="3" customFormat="1" x14ac:dyDescent="0.2">
      <c r="J118" s="45"/>
      <c r="K118" s="45"/>
      <c r="L118" s="45"/>
    </row>
    <row r="119" spans="9:12" s="3" customFormat="1" x14ac:dyDescent="0.2">
      <c r="J119" s="45"/>
      <c r="K119" s="45"/>
      <c r="L119" s="45"/>
    </row>
    <row r="120" spans="9:12" s="3" customFormat="1" x14ac:dyDescent="0.2">
      <c r="J120" s="45"/>
      <c r="K120" s="45"/>
      <c r="L120" s="45"/>
    </row>
    <row r="121" spans="9:12" s="3" customFormat="1" x14ac:dyDescent="0.2">
      <c r="J121" s="45"/>
      <c r="K121" s="45"/>
      <c r="L121" s="45"/>
    </row>
    <row r="122" spans="9:12" s="3" customFormat="1" x14ac:dyDescent="0.2">
      <c r="J122" s="45"/>
      <c r="K122" s="45"/>
      <c r="L122" s="45"/>
    </row>
    <row r="123" spans="9:12" s="3" customFormat="1" x14ac:dyDescent="0.2">
      <c r="J123" s="45"/>
      <c r="K123" s="45"/>
      <c r="L123" s="45"/>
    </row>
    <row r="124" spans="9:12" s="3" customFormat="1" x14ac:dyDescent="0.2">
      <c r="J124" s="45"/>
      <c r="K124" s="45"/>
      <c r="L124" s="45"/>
    </row>
    <row r="125" spans="9:12" s="3" customFormat="1" x14ac:dyDescent="0.2">
      <c r="J125" s="45"/>
      <c r="K125" s="45"/>
      <c r="L125" s="45"/>
    </row>
    <row r="126" spans="9:12" s="3" customFormat="1" x14ac:dyDescent="0.2">
      <c r="J126" s="45"/>
      <c r="K126" s="45"/>
      <c r="L126" s="45"/>
    </row>
    <row r="127" spans="9:12" s="3" customFormat="1" x14ac:dyDescent="0.2">
      <c r="J127" s="45"/>
      <c r="K127" s="45"/>
      <c r="L127" s="45"/>
    </row>
    <row r="128" spans="9:12" s="3" customFormat="1" x14ac:dyDescent="0.2">
      <c r="J128" s="45"/>
      <c r="K128" s="45"/>
      <c r="L128" s="45"/>
    </row>
    <row r="129" spans="10:12" s="3" customFormat="1" x14ac:dyDescent="0.2">
      <c r="J129" s="45"/>
      <c r="K129" s="45"/>
      <c r="L129" s="45"/>
    </row>
    <row r="130" spans="10:12" s="3" customFormat="1" x14ac:dyDescent="0.2">
      <c r="J130" s="45"/>
      <c r="K130" s="45"/>
      <c r="L130" s="45"/>
    </row>
    <row r="131" spans="10:12" s="3" customFormat="1" x14ac:dyDescent="0.2">
      <c r="J131" s="45"/>
      <c r="K131" s="45"/>
      <c r="L131" s="45"/>
    </row>
    <row r="132" spans="10:12" s="3" customFormat="1" x14ac:dyDescent="0.2">
      <c r="J132" s="45"/>
      <c r="K132" s="45"/>
      <c r="L132" s="45"/>
    </row>
    <row r="133" spans="10:12" s="3" customFormat="1" x14ac:dyDescent="0.2">
      <c r="J133" s="45"/>
      <c r="K133" s="45"/>
      <c r="L133" s="45"/>
    </row>
    <row r="134" spans="10:12" s="3" customFormat="1" x14ac:dyDescent="0.2">
      <c r="J134" s="45"/>
      <c r="K134" s="45"/>
      <c r="L134" s="45"/>
    </row>
    <row r="135" spans="10:12" s="3" customFormat="1" x14ac:dyDescent="0.2">
      <c r="J135" s="45"/>
      <c r="K135" s="45"/>
      <c r="L135" s="45"/>
    </row>
    <row r="136" spans="10:12" s="3" customFormat="1" x14ac:dyDescent="0.2">
      <c r="J136" s="45"/>
      <c r="K136" s="45"/>
      <c r="L136" s="45"/>
    </row>
    <row r="137" spans="10:12" s="3" customFormat="1" x14ac:dyDescent="0.2">
      <c r="J137" s="45"/>
      <c r="K137" s="45"/>
      <c r="L137" s="45"/>
    </row>
    <row r="138" spans="10:12" s="3" customFormat="1" x14ac:dyDescent="0.2">
      <c r="J138" s="45"/>
      <c r="K138" s="45"/>
      <c r="L138" s="45"/>
    </row>
    <row r="139" spans="10:12" s="3" customFormat="1" x14ac:dyDescent="0.2">
      <c r="J139" s="45"/>
      <c r="K139" s="45"/>
      <c r="L139" s="45"/>
    </row>
    <row r="140" spans="10:12" s="3" customFormat="1" x14ac:dyDescent="0.2">
      <c r="J140" s="45"/>
      <c r="K140" s="45"/>
      <c r="L140" s="45"/>
    </row>
    <row r="141" spans="10:12" s="3" customFormat="1" x14ac:dyDescent="0.2">
      <c r="J141" s="45"/>
      <c r="K141" s="45"/>
      <c r="L141" s="45"/>
    </row>
    <row r="142" spans="10:12" s="3" customFormat="1" x14ac:dyDescent="0.2">
      <c r="J142" s="45"/>
      <c r="K142" s="45"/>
      <c r="L142" s="45"/>
    </row>
    <row r="143" spans="10:12" s="3" customFormat="1" x14ac:dyDescent="0.2">
      <c r="J143" s="45"/>
      <c r="K143" s="45"/>
      <c r="L143" s="45"/>
    </row>
    <row r="144" spans="10:12" s="3" customFormat="1" x14ac:dyDescent="0.2">
      <c r="J144" s="45"/>
      <c r="K144" s="45"/>
      <c r="L144" s="45"/>
    </row>
    <row r="145" spans="10:12" s="3" customFormat="1" x14ac:dyDescent="0.2">
      <c r="J145" s="45"/>
      <c r="K145" s="45"/>
      <c r="L145" s="45"/>
    </row>
    <row r="146" spans="10:12" s="3" customFormat="1" x14ac:dyDescent="0.2">
      <c r="J146" s="45"/>
      <c r="K146" s="45"/>
      <c r="L146" s="45"/>
    </row>
  </sheetData>
  <sheetProtection selectLockedCells="1"/>
  <mergeCells count="5">
    <mergeCell ref="E48:F48"/>
    <mergeCell ref="E3:F3"/>
    <mergeCell ref="G3:H3"/>
    <mergeCell ref="E10:F10"/>
    <mergeCell ref="E23:F23"/>
  </mergeCells>
  <phoneticPr fontId="0" type="noConversion"/>
  <pageMargins left="0.49" right="0.42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0019-4A25-476F-A741-E24C363F259D}">
  <dimension ref="A1:S13"/>
  <sheetViews>
    <sheetView workbookViewId="0">
      <selection activeCell="A5" sqref="A5"/>
    </sheetView>
  </sheetViews>
  <sheetFormatPr defaultRowHeight="12.75" x14ac:dyDescent="0.2"/>
  <sheetData>
    <row r="1" spans="1:19" x14ac:dyDescent="0.2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8"/>
      <c r="N1" s="108"/>
      <c r="O1" s="108"/>
      <c r="P1" s="108"/>
      <c r="Q1" s="107"/>
      <c r="R1" s="107"/>
      <c r="S1" s="107"/>
    </row>
    <row r="2" spans="1:19" x14ac:dyDescent="0.2">
      <c r="A2" s="111" t="s">
        <v>301</v>
      </c>
      <c r="B2" s="78" t="s">
        <v>229</v>
      </c>
      <c r="C2" s="78" t="s">
        <v>224</v>
      </c>
      <c r="D2" s="78" t="s">
        <v>275</v>
      </c>
      <c r="E2" s="78" t="s">
        <v>274</v>
      </c>
      <c r="F2" s="78" t="s">
        <v>276</v>
      </c>
      <c r="G2" s="78" t="s">
        <v>277</v>
      </c>
      <c r="H2" s="111"/>
      <c r="I2" s="111"/>
      <c r="J2" s="111"/>
      <c r="K2" s="111"/>
      <c r="L2" s="111"/>
      <c r="M2" s="112"/>
      <c r="N2" s="112"/>
      <c r="O2" s="111"/>
      <c r="P2" s="112"/>
      <c r="Q2" s="111"/>
      <c r="R2" s="111"/>
      <c r="S2" s="111"/>
    </row>
    <row r="3" spans="1:19" x14ac:dyDescent="0.2">
      <c r="A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7"/>
      <c r="N3" s="107"/>
      <c r="O3" s="107"/>
      <c r="P3" s="107"/>
      <c r="Q3" s="107"/>
      <c r="R3" s="107"/>
      <c r="S3" s="107"/>
    </row>
    <row r="4" spans="1:19" x14ac:dyDescent="0.2">
      <c r="A4" s="110" t="s">
        <v>299</v>
      </c>
      <c r="B4">
        <v>7.5</v>
      </c>
      <c r="C4" s="110" t="s">
        <v>121</v>
      </c>
      <c r="D4" s="110">
        <v>2</v>
      </c>
      <c r="E4" s="110">
        <v>1.2</v>
      </c>
      <c r="F4" s="110">
        <v>2</v>
      </c>
      <c r="G4" s="110">
        <v>1.2</v>
      </c>
      <c r="H4" s="113"/>
      <c r="I4" s="114"/>
      <c r="J4" s="113"/>
      <c r="K4" s="114"/>
      <c r="L4" s="114"/>
      <c r="M4" s="113"/>
      <c r="N4" s="113"/>
      <c r="O4" s="113"/>
      <c r="P4" s="114"/>
      <c r="Q4" s="107"/>
      <c r="R4" s="107"/>
      <c r="S4" s="107"/>
    </row>
    <row r="5" spans="1:19" x14ac:dyDescent="0.2">
      <c r="A5" s="110" t="s">
        <v>300</v>
      </c>
      <c r="B5">
        <v>5.5</v>
      </c>
      <c r="C5" s="110">
        <v>0.75</v>
      </c>
      <c r="D5" s="110">
        <v>2.5</v>
      </c>
      <c r="E5" s="110">
        <v>1.6</v>
      </c>
      <c r="F5" s="110">
        <v>5</v>
      </c>
      <c r="G5" s="110">
        <v>3</v>
      </c>
      <c r="H5" s="113"/>
      <c r="I5" s="114"/>
      <c r="J5" s="113"/>
      <c r="K5" s="114"/>
      <c r="L5" s="114"/>
      <c r="M5" s="113"/>
      <c r="N5" s="113"/>
      <c r="O5" s="113"/>
      <c r="P5" s="114"/>
      <c r="Q5" s="107"/>
      <c r="R5" s="107"/>
      <c r="S5" s="107"/>
    </row>
    <row r="6" spans="1:19" x14ac:dyDescent="0.2">
      <c r="A6" s="110"/>
      <c r="C6" s="110"/>
      <c r="D6" s="110"/>
      <c r="E6" s="110"/>
      <c r="F6" s="110"/>
      <c r="G6" s="110"/>
      <c r="H6" s="113"/>
      <c r="I6" s="114"/>
      <c r="J6" s="113"/>
      <c r="K6" s="114"/>
      <c r="L6" s="114"/>
      <c r="M6" s="113"/>
      <c r="N6" s="113"/>
      <c r="O6" s="113"/>
      <c r="P6" s="114"/>
      <c r="Q6" s="107"/>
      <c r="R6" s="107"/>
      <c r="S6" s="107"/>
    </row>
    <row r="7" spans="1:19" x14ac:dyDescent="0.2">
      <c r="A7" s="110"/>
      <c r="C7" s="110"/>
      <c r="D7" s="110"/>
      <c r="E7" s="110"/>
      <c r="F7" s="110"/>
      <c r="G7" s="110"/>
      <c r="H7" s="113"/>
      <c r="I7" s="114"/>
      <c r="J7" s="113"/>
      <c r="K7" s="114"/>
      <c r="L7" s="114"/>
      <c r="M7" s="113"/>
      <c r="N7" s="113"/>
      <c r="O7" s="113"/>
      <c r="P7" s="114"/>
      <c r="Q7" s="107"/>
      <c r="R7" s="107"/>
      <c r="S7" s="107"/>
    </row>
    <row r="8" spans="1:19" x14ac:dyDescent="0.2">
      <c r="A8" s="110"/>
      <c r="B8" s="110"/>
      <c r="C8" s="110"/>
      <c r="D8" s="110"/>
      <c r="E8" s="110"/>
      <c r="F8" s="110"/>
      <c r="G8" s="110"/>
      <c r="H8" s="113"/>
      <c r="I8" s="114"/>
      <c r="J8" s="113"/>
      <c r="K8" s="114"/>
      <c r="L8" s="114"/>
      <c r="M8" s="113"/>
      <c r="N8" s="113"/>
      <c r="O8" s="113"/>
      <c r="P8" s="114"/>
      <c r="Q8" s="107"/>
      <c r="R8" s="107"/>
      <c r="S8" s="107"/>
    </row>
    <row r="9" spans="1:19" x14ac:dyDescent="0.2">
      <c r="A9" s="110"/>
      <c r="B9" s="110"/>
      <c r="C9" s="110"/>
      <c r="D9" s="110"/>
      <c r="E9" s="110"/>
      <c r="F9" s="110"/>
      <c r="G9" s="110"/>
      <c r="H9" s="113"/>
      <c r="I9" s="114"/>
      <c r="J9" s="113"/>
      <c r="K9" s="114"/>
      <c r="L9" s="114"/>
      <c r="M9" s="113"/>
      <c r="N9" s="113"/>
      <c r="O9" s="113"/>
      <c r="P9" s="114"/>
      <c r="Q9" s="107"/>
      <c r="R9" s="107"/>
      <c r="S9" s="107"/>
    </row>
    <row r="10" spans="1:19" x14ac:dyDescent="0.2">
      <c r="A10" s="110"/>
      <c r="B10" s="110"/>
      <c r="C10" s="110"/>
      <c r="D10" s="110"/>
      <c r="E10" s="110"/>
      <c r="F10" s="110"/>
      <c r="G10" s="110"/>
      <c r="H10" s="113"/>
      <c r="I10" s="114"/>
      <c r="J10" s="113"/>
      <c r="K10" s="114"/>
      <c r="L10" s="114"/>
      <c r="M10" s="113"/>
      <c r="N10" s="113"/>
      <c r="O10" s="113"/>
      <c r="P10" s="114"/>
      <c r="Q10" s="107"/>
      <c r="R10" s="107"/>
      <c r="S10" s="107"/>
    </row>
    <row r="11" spans="1:19" x14ac:dyDescent="0.2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</row>
    <row r="12" spans="1:19" x14ac:dyDescent="0.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spans="1:19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279c20c3caf3300dae6b438536eb8c56">
  <xsd:schema xmlns:xsd="http://www.w3.org/2001/XMLSchema" xmlns:p="http://schemas.microsoft.com/office/2006/metadata/properties" targetNamespace="http://schemas.microsoft.com/office/2006/metadata/properties" ma:root="true" ma:fieldsID="0d2e1ca116041f9e11471c52c4c9d60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0515AA-3747-44C2-9DAA-1264A554F3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8F97F0-3F7C-4CAD-A04A-6F406EDE7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EF8435C-502C-41AE-AD35-98175F51DE8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135</vt:i4>
      </vt:variant>
    </vt:vector>
  </HeadingPairs>
  <TitlesOfParts>
    <vt:vector size="141" baseType="lpstr">
      <vt:lpstr>Intro</vt:lpstr>
      <vt:lpstr>Boost Calculations</vt:lpstr>
      <vt:lpstr>Small Signal</vt:lpstr>
      <vt:lpstr>Std. R and C Values</vt:lpstr>
      <vt:lpstr>partdata</vt:lpstr>
      <vt:lpstr>EVM Matching</vt:lpstr>
      <vt:lpstr>Acs</vt:lpstr>
      <vt:lpstr>aol</vt:lpstr>
      <vt:lpstr>C_f1</vt:lpstr>
      <vt:lpstr>C_f2</vt:lpstr>
      <vt:lpstr>c_s1</vt:lpstr>
      <vt:lpstr>C_s2</vt:lpstr>
      <vt:lpstr>Cbulkss</vt:lpstr>
      <vt:lpstr>Ccerss</vt:lpstr>
      <vt:lpstr>Ccomp</vt:lpstr>
      <vt:lpstr>Ccompss</vt:lpstr>
      <vt:lpstr>Cffss</vt:lpstr>
      <vt:lpstr>Chf</vt:lpstr>
      <vt:lpstr>Chfss</vt:lpstr>
      <vt:lpstr>Cin_chosen</vt:lpstr>
      <vt:lpstr>Co</vt:lpstr>
      <vt:lpstr>Co_esr</vt:lpstr>
      <vt:lpstr>Cochosen</vt:lpstr>
      <vt:lpstr>Coss</vt:lpstr>
      <vt:lpstr>CVcc</vt:lpstr>
      <vt:lpstr>DCR</vt:lpstr>
      <vt:lpstr>DCRss</vt:lpstr>
      <vt:lpstr>devfreqmax</vt:lpstr>
      <vt:lpstr>devfreqmin</vt:lpstr>
      <vt:lpstr>dItran</vt:lpstr>
      <vt:lpstr>Dmax</vt:lpstr>
      <vt:lpstr>Dmin</vt:lpstr>
      <vt:lpstr>Dnom</vt:lpstr>
      <vt:lpstr>Dss</vt:lpstr>
      <vt:lpstr>dVtran</vt:lpstr>
      <vt:lpstr>E12_f</vt:lpstr>
      <vt:lpstr>E12_s</vt:lpstr>
      <vt:lpstr>E24_f</vt:lpstr>
      <vt:lpstr>E24_s</vt:lpstr>
      <vt:lpstr>E48_f</vt:lpstr>
      <vt:lpstr>E48_s</vt:lpstr>
      <vt:lpstr>E6_f</vt:lpstr>
      <vt:lpstr>E6_s</vt:lpstr>
      <vt:lpstr>E96_f</vt:lpstr>
      <vt:lpstr>E96_s</vt:lpstr>
      <vt:lpstr>ESRss</vt:lpstr>
      <vt:lpstr>Fco_target</vt:lpstr>
      <vt:lpstr>Fm</vt:lpstr>
      <vt:lpstr>frhpz</vt:lpstr>
      <vt:lpstr>fswss</vt:lpstr>
      <vt:lpstr>gbw</vt:lpstr>
      <vt:lpstr>gea</vt:lpstr>
      <vt:lpstr>gea_typ</vt:lpstr>
      <vt:lpstr>Icrit</vt:lpstr>
      <vt:lpstr>Idrive_hs</vt:lpstr>
      <vt:lpstr>Idrive_ls</vt:lpstr>
      <vt:lpstr>Ien_hys</vt:lpstr>
      <vt:lpstr>Ien_pup</vt:lpstr>
      <vt:lpstr>Iin_max</vt:lpstr>
      <vt:lpstr>Ilpeak</vt:lpstr>
      <vt:lpstr>Ilrms</vt:lpstr>
      <vt:lpstr>Iout</vt:lpstr>
      <vt:lpstr>Ioutss</vt:lpstr>
      <vt:lpstr>Iq</vt:lpstr>
      <vt:lpstr>Iripple</vt:lpstr>
      <vt:lpstr>Irms_cin</vt:lpstr>
      <vt:lpstr>Irms_cout</vt:lpstr>
      <vt:lpstr>Isat</vt:lpstr>
      <vt:lpstr>Iss</vt:lpstr>
      <vt:lpstr>k_3</vt:lpstr>
      <vt:lpstr>Kind</vt:lpstr>
      <vt:lpstr>L</vt:lpstr>
      <vt:lpstr>Lss</vt:lpstr>
      <vt:lpstr>M</vt:lpstr>
      <vt:lpstr>mc</vt:lpstr>
      <vt:lpstr>Pind</vt:lpstr>
      <vt:lpstr>Pls_sw</vt:lpstr>
      <vt:lpstr>'Std. R and C Values'!Print_Area</vt:lpstr>
      <vt:lpstr>PSgain_fco</vt:lpstr>
      <vt:lpstr>Psw_cond</vt:lpstr>
      <vt:lpstr>q0</vt:lpstr>
      <vt:lpstr>Qg_hs</vt:lpstr>
      <vt:lpstr>Qg_ls</vt:lpstr>
      <vt:lpstr>Qgd</vt:lpstr>
      <vt:lpstr>Rcerss</vt:lpstr>
      <vt:lpstr>Rcomp</vt:lpstr>
      <vt:lpstr>Rcompss</vt:lpstr>
      <vt:lpstr>Rdson_hs</vt:lpstr>
      <vt:lpstr>Rdson_ls</vt:lpstr>
      <vt:lpstr>Rdsonss</vt:lpstr>
      <vt:lpstr>Rea</vt:lpstr>
      <vt:lpstr>Rffss</vt:lpstr>
      <vt:lpstr>Rfreq</vt:lpstr>
      <vt:lpstr>Rg_hs</vt:lpstr>
      <vt:lpstr>Rg_ls</vt:lpstr>
      <vt:lpstr>Rgd_hs</vt:lpstr>
      <vt:lpstr>Rgd_ls</vt:lpstr>
      <vt:lpstr>Rhdrv_pd</vt:lpstr>
      <vt:lpstr>Rhdrv_pu</vt:lpstr>
      <vt:lpstr>Risense</vt:lpstr>
      <vt:lpstr>Rldrv_pd</vt:lpstr>
      <vt:lpstr>Rldrv_pu</vt:lpstr>
      <vt:lpstr>Ro</vt:lpstr>
      <vt:lpstr>Ross</vt:lpstr>
      <vt:lpstr>Rsense</vt:lpstr>
      <vt:lpstr>Rsh</vt:lpstr>
      <vt:lpstr>Rshss</vt:lpstr>
      <vt:lpstr>Rsl</vt:lpstr>
      <vt:lpstr>Rslss</vt:lpstr>
      <vt:lpstr>Ruvloh</vt:lpstr>
      <vt:lpstr>Ruvlol</vt:lpstr>
      <vt:lpstr>sess</vt:lpstr>
      <vt:lpstr>snss</vt:lpstr>
      <vt:lpstr>tnonoverlap</vt:lpstr>
      <vt:lpstr>toffmin</vt:lpstr>
      <vt:lpstr>tonmin</vt:lpstr>
      <vt:lpstr>tss</vt:lpstr>
      <vt:lpstr>Vcc_typ</vt:lpstr>
      <vt:lpstr>Vcs</vt:lpstr>
      <vt:lpstr>Vcs0duty_max</vt:lpstr>
      <vt:lpstr>Vcs0duty_min</vt:lpstr>
      <vt:lpstr>vdevmax</vt:lpstr>
      <vt:lpstr>Ven_dis</vt:lpstr>
      <vt:lpstr>Ven_on</vt:lpstr>
      <vt:lpstr>vf_body</vt:lpstr>
      <vt:lpstr>Vfboot</vt:lpstr>
      <vt:lpstr>Vfboot_int</vt:lpstr>
      <vt:lpstr>Vin_Max</vt:lpstr>
      <vt:lpstr>Vin_Min</vt:lpstr>
      <vt:lpstr>Vin_Nom</vt:lpstr>
      <vt:lpstr>Vinss</vt:lpstr>
      <vt:lpstr>Viripple</vt:lpstr>
      <vt:lpstr>Vout</vt:lpstr>
      <vt:lpstr>Vout_ripple</vt:lpstr>
      <vt:lpstr>Voutss</vt:lpstr>
      <vt:lpstr>Vref</vt:lpstr>
      <vt:lpstr>Vsl</vt:lpstr>
      <vt:lpstr>Vstart</vt:lpstr>
      <vt:lpstr>Vstop</vt:lpstr>
      <vt:lpstr>Vth</vt:lpstr>
      <vt:lpstr>wn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a0192789</dc:creator>
  <cp:lastModifiedBy>Jed Wang</cp:lastModifiedBy>
  <cp:lastPrinted>2009-05-21T20:23:27Z</cp:lastPrinted>
  <dcterms:created xsi:type="dcterms:W3CDTF">2009-03-26T20:28:21Z</dcterms:created>
  <dcterms:modified xsi:type="dcterms:W3CDTF">2025-05-15T06:44:24Z</dcterms:modified>
</cp:coreProperties>
</file>