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chi\Documents\Nerd Shit\rm_electrical-supercap\Design\"/>
    </mc:Choice>
  </mc:AlternateContent>
  <xr:revisionPtr revIDLastSave="0" documentId="8_{433134CF-5A15-432D-9AC9-C388140BF19F}" xr6:coauthVersionLast="47" xr6:coauthVersionMax="47" xr10:uidLastSave="{00000000-0000-0000-0000-000000000000}"/>
  <bookViews>
    <workbookView xWindow="7200" yWindow="4215" windowWidth="21600" windowHeight="11385" activeTab="1" xr2:uid="{54449181-DBEC-415B-9D38-DA42EECC2BCF}"/>
  </bookViews>
  <sheets>
    <sheet name="Intro" sheetId="7" r:id="rId1"/>
    <sheet name="Boost Calculations" sheetId="1" r:id="rId2"/>
    <sheet name="Small Signal" sheetId="4" r:id="rId3"/>
    <sheet name="EVM Matching" sheetId="9" state="hidden" r:id="rId4"/>
    <sheet name="Std. R and C Values" sheetId="6" state="hidden" r:id="rId5"/>
    <sheet name="partdata" sheetId="8" state="hidden" r:id="rId6"/>
  </sheets>
  <definedNames>
    <definedName name="Acs">'Small Signal'!$C$56</definedName>
    <definedName name="aol">'Small Signal'!$C$58</definedName>
    <definedName name="C_f1">'Std. R and C Values'!$K$18</definedName>
    <definedName name="C_f2">'Std. R and C Values'!$K$25</definedName>
    <definedName name="c_s1">'Std. R and C Values'!$J$7</definedName>
    <definedName name="C_s2">'Std. R and C Values'!$J$20</definedName>
    <definedName name="Cbulkss">'Small Signal'!$F$17</definedName>
    <definedName name="Ccerss">'Small Signal'!$C$54</definedName>
    <definedName name="Ccomp">'Boost Calculations'!$D$174</definedName>
    <definedName name="Ccompss">'Small Signal'!$F$11</definedName>
    <definedName name="Cffss">'Small Signal'!$C$50</definedName>
    <definedName name="Chf">'Boost Calculations'!$D$177</definedName>
    <definedName name="Chfss">'Small Signal'!$F$12</definedName>
    <definedName name="Cin_chosen">'Boost Calculations'!$D$129</definedName>
    <definedName name="Co">'Boost Calculations'!$D$83</definedName>
    <definedName name="Co_esr">'Boost Calculations'!$D$84</definedName>
    <definedName name="Cochosen">'Boost Calculations'!$D$83</definedName>
    <definedName name="Coss">'Boost Calculations'!$D$94</definedName>
    <definedName name="CVcc">'Boost Calculations'!$D$117</definedName>
    <definedName name="DCR">'Boost Calculations'!$D$59</definedName>
    <definedName name="DCRss">'Small Signal'!$F$15</definedName>
    <definedName name="devfreqmax">'Boost Calculations'!$F$186</definedName>
    <definedName name="devfreqmin">'Boost Calculations'!$D$186</definedName>
    <definedName name="dItran">'Boost Calculations'!$D$15</definedName>
    <definedName name="Dmax">'Boost Calculations'!$D$45</definedName>
    <definedName name="Dmin">'Boost Calculations'!$D$46</definedName>
    <definedName name="Dnom">'Boost Calculations'!$D$44</definedName>
    <definedName name="Dss">'Small Signal'!$F$27</definedName>
    <definedName name="dVtran">'Boost Calculations'!$D$16</definedName>
    <definedName name="E12_f">'Std. R and C Values'!$F$22</definedName>
    <definedName name="E12_s">'Std. R and C Values'!$E$11</definedName>
    <definedName name="E24_f">'Std. R and C Values'!$F$47</definedName>
    <definedName name="E24_s">'Std. R and C Values'!$E$24</definedName>
    <definedName name="E48_f">'Std. R and C Values'!$F$96</definedName>
    <definedName name="E48_s">'Std. R and C Values'!$E$49</definedName>
    <definedName name="E6_f">'Std. R and C Values'!$F$9</definedName>
    <definedName name="E6_s">'Std. R and C Values'!$E$4</definedName>
    <definedName name="E96_f">'Std. R and C Values'!$H$99</definedName>
    <definedName name="E96_s">'Std. R and C Values'!$G$4</definedName>
    <definedName name="ESRss">'Small Signal'!$F$18</definedName>
    <definedName name="Fco_target">'Boost Calculations'!$D$167</definedName>
    <definedName name="Fm">'Small Signal'!$F$30</definedName>
    <definedName name="frhpz">'Boost Calculations'!$D$161</definedName>
    <definedName name="fsw">'Boost Calculations'!$D$14*1000</definedName>
    <definedName name="fswss">'Small Signal'!$F$13</definedName>
    <definedName name="gbw">'Small Signal'!$F$36</definedName>
    <definedName name="gea">'Boost Calculations'!$E$187</definedName>
    <definedName name="gea_typ">'Boost Calculations'!$E$187</definedName>
    <definedName name="Icrit">'Boost Calculations'!$F$61</definedName>
    <definedName name="Idrive_hs">'Boost Calculations'!$D$105</definedName>
    <definedName name="Idrive_ls">'Boost Calculations'!$D$90</definedName>
    <definedName name="Ien_hys">'Boost Calculations'!$E$204</definedName>
    <definedName name="Ien_pup">'Boost Calculations'!$E$203</definedName>
    <definedName name="Iin_max">'Boost Calculations'!$D$52</definedName>
    <definedName name="Ilpeak">'Boost Calculations'!$D$64</definedName>
    <definedName name="Ilrms">'Boost Calculations'!$D$63</definedName>
    <definedName name="Iout">'Boost Calculations'!$D$13</definedName>
    <definedName name="Ioutss">'Small Signal'!$F$7</definedName>
    <definedName name="Iq">'Boost Calculations'!$E$205</definedName>
    <definedName name="Iripple">'Boost Calculations'!$D$60</definedName>
    <definedName name="Irms_cin">'Boost Calculations'!$D$130</definedName>
    <definedName name="Irms_cout">'Boost Calculations'!$D$85</definedName>
    <definedName name="Isat">'Boost Calculations'!$E$64</definedName>
    <definedName name="Iss">'Boost Calculations'!$E$206</definedName>
    <definedName name="k_3">'Small Signal'!$C$49</definedName>
    <definedName name="Kind">'Boost Calculations'!$D$53</definedName>
    <definedName name="L">'Boost Calculations'!$D$58</definedName>
    <definedName name="Lss">'Small Signal'!$F$14</definedName>
    <definedName name="M">'Small Signal'!$F$28</definedName>
    <definedName name="mc">'Small Signal'!$F$35</definedName>
    <definedName name="Pind">'Boost Calculations'!$D$65</definedName>
    <definedName name="Pls_sw">'Boost Calculations'!$D$97</definedName>
    <definedName name="_xlnm.Print_Area" localSheetId="4">'Std. R and C Values'!$A$2:$I$46</definedName>
    <definedName name="PSgain_fco">'Boost Calculations'!$D$169</definedName>
    <definedName name="Psw_cond">'Boost Calculations'!$D$92</definedName>
    <definedName name="q0">'Small Signal'!$F$33</definedName>
    <definedName name="Qg_hs">'Boost Calculations'!$D$104</definedName>
    <definedName name="Qg_ls">'Boost Calculations'!$D$89</definedName>
    <definedName name="Qgd">'Boost Calculations'!$D$95</definedName>
    <definedName name="Rcerss">'Small Signal'!$C$55</definedName>
    <definedName name="Rcomp">'Boost Calculations'!$D$172</definedName>
    <definedName name="Rcompss">'Small Signal'!$F$10</definedName>
    <definedName name="Rdson_hs">'Boost Calculations'!$D$108</definedName>
    <definedName name="Rdson_ls">'Boost Calculations'!$D$91</definedName>
    <definedName name="Rdsonss">'Small Signal'!$C$16</definedName>
    <definedName name="Rea">'Boost Calculations'!$E$188</definedName>
    <definedName name="Rffss">'Small Signal'!$C$51</definedName>
    <definedName name="Rfreq">'Boost Calculations'!$D$49</definedName>
    <definedName name="Rg_hs">'Boost Calculations'!$D$110</definedName>
    <definedName name="Rg_ls">'Boost Calculations'!$D$96</definedName>
    <definedName name="Rgd_hs">'Boost Calculations'!$D$122</definedName>
    <definedName name="Rgd_ls">'Boost Calculations'!$D$121</definedName>
    <definedName name="Rhdrv_pd">'Boost Calculations'!$E$200</definedName>
    <definedName name="Rhdrv_pu">'Boost Calculations'!$E$199</definedName>
    <definedName name="Risense">'Small Signal'!$F$19</definedName>
    <definedName name="Rldrv_pd">'Boost Calculations'!$E$198</definedName>
    <definedName name="Rldrv_pu">'Boost Calculations'!$E$197</definedName>
    <definedName name="Ro">'Boost Calculations'!$D$158</definedName>
    <definedName name="Ross">'Small Signal'!$F$29</definedName>
    <definedName name="Rsense">'Boost Calculations'!$D$71</definedName>
    <definedName name="Rsh">'Boost Calculations'!$D$137</definedName>
    <definedName name="Rshss">'Small Signal'!$F$8</definedName>
    <definedName name="Rsl">'Boost Calculations'!$D$135</definedName>
    <definedName name="Rslss">'Small Signal'!$F$9</definedName>
    <definedName name="Ruvloh">'Boost Calculations'!$D$146</definedName>
    <definedName name="Ruvlol">'Boost Calculations'!$D$148</definedName>
    <definedName name="sess">'Small Signal'!$F$32</definedName>
    <definedName name="snss">'Small Signal'!$F$31</definedName>
    <definedName name="tnonoverlap">'Boost Calculations'!$E$196</definedName>
    <definedName name="toffmin">'Boost Calculations'!$E$191</definedName>
    <definedName name="tonmin">'Boost Calculations'!$E$190</definedName>
    <definedName name="tss">'Boost Calculations'!$D$140</definedName>
    <definedName name="Vcc_typ">'Boost Calculations'!$E$194</definedName>
    <definedName name="Vcs">'Boost Calculations'!$D$69</definedName>
    <definedName name="Vcs0duty_max">'Boost Calculations'!$F$192</definedName>
    <definedName name="Vcs0duty_min">'Boost Calculations'!$D$192</definedName>
    <definedName name="vdevmax">'Boost Calculations'!$F$184</definedName>
    <definedName name="Ven_dis">'Boost Calculations'!$E$202</definedName>
    <definedName name="Ven_on">'Boost Calculations'!$E$201</definedName>
    <definedName name="vf_body">'Boost Calculations'!$D$111</definedName>
    <definedName name="Vfboot">'Boost Calculations'!$D$119</definedName>
    <definedName name="Vfboot_int">'Boost Calculations'!$E$195</definedName>
    <definedName name="Vin_Max">'Boost Calculations'!$D$9</definedName>
    <definedName name="Vin_Min">'Boost Calculations'!$D$8</definedName>
    <definedName name="Vin_Nom">'Boost Calculations'!$D$7</definedName>
    <definedName name="Vinss">'Small Signal'!$F$3</definedName>
    <definedName name="Viripple">'Boost Calculations'!$D$10</definedName>
    <definedName name="Vout">'Boost Calculations'!$D$11</definedName>
    <definedName name="Vout_ripple">'Boost Calculations'!$D$12</definedName>
    <definedName name="Voutss">'Small Signal'!$F$6</definedName>
    <definedName name="Vref">'Boost Calculations'!$E$189</definedName>
    <definedName name="Vsl">'Small Signal'!$C$57</definedName>
    <definedName name="Vstart">'Boost Calculations'!$D$17</definedName>
    <definedName name="Vstop">'Boost Calculations'!$D$18</definedName>
    <definedName name="Vth">'Boost Calculations'!$D$93</definedName>
    <definedName name="wn">'Small Signal'!$F$34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0" i="1" l="1"/>
  <c r="D108" i="1"/>
  <c r="D104" i="1"/>
  <c r="F13" i="4"/>
  <c r="D12" i="1"/>
  <c r="F6" i="4"/>
  <c r="D10" i="1"/>
  <c r="D39" i="1"/>
  <c r="E27" i="1"/>
  <c r="E28" i="1"/>
  <c r="D31" i="1"/>
  <c r="D30" i="1"/>
  <c r="D26" i="1"/>
  <c r="D25" i="1"/>
  <c r="D106" i="1"/>
  <c r="E106" i="1"/>
  <c r="D166" i="1"/>
  <c r="C7" i="4"/>
  <c r="F7" i="4"/>
  <c r="F29" i="4"/>
  <c r="D3" i="6"/>
  <c r="K4" i="6"/>
  <c r="C5" i="6"/>
  <c r="C6" i="6"/>
  <c r="C7" i="6"/>
  <c r="L7" i="6"/>
  <c r="C8" i="6"/>
  <c r="L20" i="6"/>
  <c r="C3" i="4"/>
  <c r="F3" i="4"/>
  <c r="C4" i="4"/>
  <c r="J4" i="4"/>
  <c r="K4" i="4"/>
  <c r="L4" i="4"/>
  <c r="C5" i="4"/>
  <c r="J5" i="4"/>
  <c r="K5" i="4"/>
  <c r="L5" i="4"/>
  <c r="C6" i="4"/>
  <c r="J6" i="4"/>
  <c r="K6" i="4"/>
  <c r="J7" i="4"/>
  <c r="K7" i="4"/>
  <c r="J8" i="4"/>
  <c r="K8" i="4"/>
  <c r="C9" i="4"/>
  <c r="F9" i="4"/>
  <c r="J9" i="4"/>
  <c r="K9" i="4"/>
  <c r="J10" i="4"/>
  <c r="K10" i="4"/>
  <c r="J11" i="4"/>
  <c r="K11" i="4"/>
  <c r="Q11" i="4"/>
  <c r="J12" i="4"/>
  <c r="K12" i="4"/>
  <c r="C13" i="4"/>
  <c r="J13" i="4"/>
  <c r="K13" i="4"/>
  <c r="L13" i="4"/>
  <c r="J14" i="4"/>
  <c r="K14" i="4"/>
  <c r="C15" i="4"/>
  <c r="F15" i="4"/>
  <c r="J15" i="4"/>
  <c r="K15" i="4"/>
  <c r="L15" i="4"/>
  <c r="C16" i="4"/>
  <c r="F16" i="4"/>
  <c r="J16" i="4"/>
  <c r="K16" i="4"/>
  <c r="Q16" i="4"/>
  <c r="J17" i="4"/>
  <c r="K17" i="4"/>
  <c r="J18" i="4"/>
  <c r="K18" i="4"/>
  <c r="J19" i="4"/>
  <c r="K19" i="4"/>
  <c r="J20" i="4"/>
  <c r="K20" i="4"/>
  <c r="Q20" i="4"/>
  <c r="J21" i="4"/>
  <c r="K21" i="4"/>
  <c r="J22" i="4"/>
  <c r="K22" i="4"/>
  <c r="J23" i="4"/>
  <c r="K23" i="4"/>
  <c r="J24" i="4"/>
  <c r="K24" i="4"/>
  <c r="L24" i="4"/>
  <c r="J25" i="4"/>
  <c r="K25" i="4"/>
  <c r="J26" i="4"/>
  <c r="K26" i="4"/>
  <c r="J27" i="4"/>
  <c r="K27" i="4"/>
  <c r="J28" i="4"/>
  <c r="K28" i="4"/>
  <c r="J29" i="4"/>
  <c r="K29" i="4"/>
  <c r="L29" i="4"/>
  <c r="J30" i="4"/>
  <c r="K30" i="4"/>
  <c r="J31" i="4"/>
  <c r="K31" i="4"/>
  <c r="L31" i="4"/>
  <c r="J32" i="4"/>
  <c r="K32" i="4"/>
  <c r="J33" i="4"/>
  <c r="K33" i="4"/>
  <c r="J34" i="4"/>
  <c r="K34" i="4"/>
  <c r="J35" i="4"/>
  <c r="K35" i="4"/>
  <c r="J36" i="4"/>
  <c r="K36" i="4"/>
  <c r="Q36" i="4"/>
  <c r="J37" i="4"/>
  <c r="K37" i="4"/>
  <c r="Q37" i="4"/>
  <c r="J38" i="4"/>
  <c r="K38" i="4"/>
  <c r="J39" i="4"/>
  <c r="K39" i="4"/>
  <c r="J40" i="4"/>
  <c r="K40" i="4"/>
  <c r="Q40" i="4"/>
  <c r="J41" i="4"/>
  <c r="K41" i="4"/>
  <c r="L41" i="4"/>
  <c r="J42" i="4"/>
  <c r="K42" i="4"/>
  <c r="L42" i="4"/>
  <c r="J43" i="4"/>
  <c r="K43" i="4"/>
  <c r="J44" i="4"/>
  <c r="K44" i="4"/>
  <c r="L44" i="4"/>
  <c r="J45" i="4"/>
  <c r="K45" i="4"/>
  <c r="L45" i="4"/>
  <c r="J46" i="4"/>
  <c r="K46" i="4"/>
  <c r="J47" i="4"/>
  <c r="K47" i="4"/>
  <c r="J48" i="4"/>
  <c r="K48" i="4"/>
  <c r="Q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L57" i="4"/>
  <c r="C58" i="4"/>
  <c r="J58" i="4"/>
  <c r="K58" i="4"/>
  <c r="L58" i="4"/>
  <c r="J59" i="4"/>
  <c r="K59" i="4"/>
  <c r="J60" i="4"/>
  <c r="K60" i="4"/>
  <c r="L60" i="4"/>
  <c r="J61" i="4"/>
  <c r="K61" i="4"/>
  <c r="J62" i="4"/>
  <c r="K62" i="4"/>
  <c r="J63" i="4"/>
  <c r="K63" i="4"/>
  <c r="J64" i="4"/>
  <c r="K64" i="4"/>
  <c r="J65" i="4"/>
  <c r="K65" i="4"/>
  <c r="J66" i="4"/>
  <c r="K66" i="4"/>
  <c r="J67" i="4"/>
  <c r="K67" i="4"/>
  <c r="J68" i="4"/>
  <c r="K68" i="4"/>
  <c r="J69" i="4"/>
  <c r="K69" i="4"/>
  <c r="L69" i="4"/>
  <c r="J70" i="4"/>
  <c r="K70" i="4"/>
  <c r="J71" i="4"/>
  <c r="K71" i="4"/>
  <c r="J72" i="4"/>
  <c r="K72" i="4"/>
  <c r="J73" i="4"/>
  <c r="K73" i="4"/>
  <c r="J74" i="4"/>
  <c r="K74" i="4"/>
  <c r="J75" i="4"/>
  <c r="K75" i="4"/>
  <c r="L75" i="4"/>
  <c r="J76" i="4"/>
  <c r="K76" i="4"/>
  <c r="J77" i="4"/>
  <c r="K77" i="4"/>
  <c r="J78" i="4"/>
  <c r="K78" i="4"/>
  <c r="Q78" i="4"/>
  <c r="J79" i="4"/>
  <c r="K79" i="4"/>
  <c r="J80" i="4"/>
  <c r="K80" i="4"/>
  <c r="J81" i="4"/>
  <c r="K81" i="4"/>
  <c r="L81" i="4"/>
  <c r="J82" i="4"/>
  <c r="K82" i="4"/>
  <c r="L82" i="4"/>
  <c r="J83" i="4"/>
  <c r="K83" i="4"/>
  <c r="J84" i="4"/>
  <c r="K84" i="4"/>
  <c r="J85" i="4"/>
  <c r="K85" i="4"/>
  <c r="J86" i="4"/>
  <c r="K86" i="4"/>
  <c r="J87" i="4"/>
  <c r="K87" i="4"/>
  <c r="J88" i="4"/>
  <c r="K88" i="4"/>
  <c r="Q88" i="4"/>
  <c r="J89" i="4"/>
  <c r="K89" i="4"/>
  <c r="L89" i="4"/>
  <c r="J90" i="4"/>
  <c r="K90" i="4"/>
  <c r="L90" i="4"/>
  <c r="J91" i="4"/>
  <c r="K91" i="4"/>
  <c r="L91" i="4"/>
  <c r="J92" i="4"/>
  <c r="K92" i="4"/>
  <c r="L92" i="4"/>
  <c r="J93" i="4"/>
  <c r="K93" i="4"/>
  <c r="Q93" i="4"/>
  <c r="J94" i="4"/>
  <c r="K94" i="4"/>
  <c r="Q94" i="4"/>
  <c r="J95" i="4"/>
  <c r="K95" i="4"/>
  <c r="J96" i="4"/>
  <c r="K96" i="4"/>
  <c r="J97" i="4"/>
  <c r="K97" i="4"/>
  <c r="J98" i="4"/>
  <c r="K98" i="4"/>
  <c r="Q98" i="4"/>
  <c r="J99" i="4"/>
  <c r="K99" i="4"/>
  <c r="J100" i="4"/>
  <c r="K100" i="4"/>
  <c r="Q100" i="4"/>
  <c r="J101" i="4"/>
  <c r="K101" i="4"/>
  <c r="J102" i="4"/>
  <c r="K102" i="4"/>
  <c r="J103" i="4"/>
  <c r="K103" i="4"/>
  <c r="Q103" i="4"/>
  <c r="J104" i="4"/>
  <c r="K104" i="4"/>
  <c r="J105" i="4"/>
  <c r="K105" i="4"/>
  <c r="J106" i="4"/>
  <c r="K106" i="4"/>
  <c r="Q106" i="4"/>
  <c r="J107" i="4"/>
  <c r="K107" i="4"/>
  <c r="L107" i="4"/>
  <c r="J108" i="4"/>
  <c r="K108" i="4"/>
  <c r="J109" i="4"/>
  <c r="K109" i="4"/>
  <c r="J110" i="4"/>
  <c r="K110" i="4"/>
  <c r="J111" i="4"/>
  <c r="K111" i="4"/>
  <c r="Q111" i="4"/>
  <c r="J112" i="4"/>
  <c r="K112" i="4"/>
  <c r="Q112" i="4"/>
  <c r="J113" i="4"/>
  <c r="K113" i="4"/>
  <c r="J114" i="4"/>
  <c r="K114" i="4"/>
  <c r="Q114" i="4"/>
  <c r="J115" i="4"/>
  <c r="K115" i="4"/>
  <c r="J116" i="4"/>
  <c r="K116" i="4"/>
  <c r="Q116" i="4"/>
  <c r="J117" i="4"/>
  <c r="K117" i="4"/>
  <c r="J118" i="4"/>
  <c r="K118" i="4"/>
  <c r="J119" i="4"/>
  <c r="K119" i="4"/>
  <c r="Q119" i="4"/>
  <c r="J120" i="4"/>
  <c r="K120" i="4"/>
  <c r="Q120" i="4"/>
  <c r="J121" i="4"/>
  <c r="K121" i="4"/>
  <c r="J122" i="4"/>
  <c r="K122" i="4"/>
  <c r="J123" i="4"/>
  <c r="K123" i="4"/>
  <c r="Q123" i="4"/>
  <c r="J124" i="4"/>
  <c r="K124" i="4"/>
  <c r="J125" i="4"/>
  <c r="K125" i="4"/>
  <c r="J126" i="4"/>
  <c r="K126" i="4"/>
  <c r="L126" i="4"/>
  <c r="J127" i="4"/>
  <c r="K127" i="4"/>
  <c r="J128" i="4"/>
  <c r="K128" i="4"/>
  <c r="J129" i="4"/>
  <c r="K129" i="4"/>
  <c r="J130" i="4"/>
  <c r="K130" i="4"/>
  <c r="J131" i="4"/>
  <c r="K131" i="4"/>
  <c r="J132" i="4"/>
  <c r="K132" i="4"/>
  <c r="Q132" i="4"/>
  <c r="J133" i="4"/>
  <c r="K133" i="4"/>
  <c r="J134" i="4"/>
  <c r="K134" i="4"/>
  <c r="J135" i="4"/>
  <c r="K135" i="4"/>
  <c r="J136" i="4"/>
  <c r="K136" i="4"/>
  <c r="J137" i="4"/>
  <c r="K137" i="4"/>
  <c r="L137" i="4"/>
  <c r="J138" i="4"/>
  <c r="K138" i="4"/>
  <c r="J139" i="4"/>
  <c r="K139" i="4"/>
  <c r="J140" i="4"/>
  <c r="K140" i="4"/>
  <c r="J141" i="4"/>
  <c r="K141" i="4"/>
  <c r="Q141" i="4"/>
  <c r="J142" i="4"/>
  <c r="K142" i="4"/>
  <c r="J143" i="4"/>
  <c r="K143" i="4"/>
  <c r="L143" i="4"/>
  <c r="J144" i="4"/>
  <c r="K144" i="4"/>
  <c r="L144" i="4"/>
  <c r="J145" i="4"/>
  <c r="K145" i="4"/>
  <c r="J146" i="4"/>
  <c r="K146" i="4"/>
  <c r="J147" i="4"/>
  <c r="K147" i="4"/>
  <c r="Q147" i="4"/>
  <c r="J148" i="4"/>
  <c r="K148" i="4"/>
  <c r="Q148" i="4"/>
  <c r="J149" i="4"/>
  <c r="K149" i="4"/>
  <c r="J150" i="4"/>
  <c r="K150" i="4"/>
  <c r="J151" i="4"/>
  <c r="K151" i="4"/>
  <c r="J152" i="4"/>
  <c r="K152" i="4"/>
  <c r="J153" i="4"/>
  <c r="K153" i="4"/>
  <c r="J154" i="4"/>
  <c r="K154" i="4"/>
  <c r="J155" i="4"/>
  <c r="K155" i="4"/>
  <c r="J156" i="4"/>
  <c r="K156" i="4"/>
  <c r="J157" i="4"/>
  <c r="K157" i="4"/>
  <c r="J158" i="4"/>
  <c r="K158" i="4"/>
  <c r="J159" i="4"/>
  <c r="K159" i="4"/>
  <c r="L159" i="4"/>
  <c r="J160" i="4"/>
  <c r="K160" i="4"/>
  <c r="J161" i="4"/>
  <c r="K161" i="4"/>
  <c r="J162" i="4"/>
  <c r="K162" i="4"/>
  <c r="J163" i="4"/>
  <c r="K163" i="4"/>
  <c r="Q163" i="4"/>
  <c r="J164" i="4"/>
  <c r="K164" i="4"/>
  <c r="J165" i="4"/>
  <c r="K165" i="4"/>
  <c r="Q165" i="4"/>
  <c r="J166" i="4"/>
  <c r="K166" i="4"/>
  <c r="Q166" i="4"/>
  <c r="J167" i="4"/>
  <c r="K167" i="4"/>
  <c r="Q167" i="4"/>
  <c r="J168" i="4"/>
  <c r="K168" i="4"/>
  <c r="J169" i="4"/>
  <c r="K169" i="4"/>
  <c r="J170" i="4"/>
  <c r="K170" i="4"/>
  <c r="L170" i="4"/>
  <c r="J171" i="4"/>
  <c r="K171" i="4"/>
  <c r="J172" i="4"/>
  <c r="K172" i="4"/>
  <c r="J173" i="4"/>
  <c r="K173" i="4"/>
  <c r="J174" i="4"/>
  <c r="K174" i="4"/>
  <c r="L174" i="4"/>
  <c r="J175" i="4"/>
  <c r="K175" i="4"/>
  <c r="J176" i="4"/>
  <c r="K176" i="4"/>
  <c r="J177" i="4"/>
  <c r="K177" i="4"/>
  <c r="J178" i="4"/>
  <c r="K178" i="4"/>
  <c r="J179" i="4"/>
  <c r="K179" i="4"/>
  <c r="J180" i="4"/>
  <c r="K180" i="4"/>
  <c r="J181" i="4"/>
  <c r="K181" i="4"/>
  <c r="J182" i="4"/>
  <c r="K182" i="4"/>
  <c r="J183" i="4"/>
  <c r="K183" i="4"/>
  <c r="J184" i="4"/>
  <c r="K184" i="4"/>
  <c r="J185" i="4"/>
  <c r="K185" i="4"/>
  <c r="Q185" i="4"/>
  <c r="J186" i="4"/>
  <c r="K186" i="4"/>
  <c r="J187" i="4"/>
  <c r="K187" i="4"/>
  <c r="L187" i="4"/>
  <c r="J188" i="4"/>
  <c r="K188" i="4"/>
  <c r="J189" i="4"/>
  <c r="K189" i="4"/>
  <c r="J190" i="4"/>
  <c r="K190" i="4"/>
  <c r="J191" i="4"/>
  <c r="K191" i="4"/>
  <c r="Q191" i="4"/>
  <c r="J192" i="4"/>
  <c r="K192" i="4"/>
  <c r="J193" i="4"/>
  <c r="K193" i="4"/>
  <c r="Q193" i="4"/>
  <c r="J194" i="4"/>
  <c r="K194" i="4"/>
  <c r="L194" i="4"/>
  <c r="J195" i="4"/>
  <c r="K195" i="4"/>
  <c r="J196" i="4"/>
  <c r="K196" i="4"/>
  <c r="L196" i="4"/>
  <c r="J197" i="4"/>
  <c r="K197" i="4"/>
  <c r="J198" i="4"/>
  <c r="K198" i="4"/>
  <c r="J199" i="4"/>
  <c r="K199" i="4"/>
  <c r="J200" i="4"/>
  <c r="K200" i="4"/>
  <c r="J201" i="4"/>
  <c r="K201" i="4"/>
  <c r="J202" i="4"/>
  <c r="K202" i="4"/>
  <c r="J203" i="4"/>
  <c r="K203" i="4"/>
  <c r="J204" i="4"/>
  <c r="K204" i="4"/>
  <c r="J205" i="4"/>
  <c r="K205" i="4"/>
  <c r="J206" i="4"/>
  <c r="K206" i="4"/>
  <c r="Q206" i="4"/>
  <c r="J207" i="4"/>
  <c r="K207" i="4"/>
  <c r="J208" i="4"/>
  <c r="K208" i="4"/>
  <c r="J209" i="4"/>
  <c r="K209" i="4"/>
  <c r="J210" i="4"/>
  <c r="K210" i="4"/>
  <c r="J211" i="4"/>
  <c r="K211" i="4"/>
  <c r="J212" i="4"/>
  <c r="K212" i="4"/>
  <c r="J213" i="4"/>
  <c r="K213" i="4"/>
  <c r="J214" i="4"/>
  <c r="K214" i="4"/>
  <c r="Q214" i="4"/>
  <c r="J215" i="4"/>
  <c r="K215" i="4"/>
  <c r="J216" i="4"/>
  <c r="K216" i="4"/>
  <c r="Q216" i="4"/>
  <c r="J217" i="4"/>
  <c r="K217" i="4"/>
  <c r="J218" i="4"/>
  <c r="K218" i="4"/>
  <c r="L218" i="4"/>
  <c r="J219" i="4"/>
  <c r="K219" i="4"/>
  <c r="J220" i="4"/>
  <c r="K220" i="4"/>
  <c r="J221" i="4"/>
  <c r="K221" i="4"/>
  <c r="J222" i="4"/>
  <c r="K222" i="4"/>
  <c r="J223" i="4"/>
  <c r="K223" i="4"/>
  <c r="J224" i="4"/>
  <c r="K224" i="4"/>
  <c r="J225" i="4"/>
  <c r="K225" i="4"/>
  <c r="J226" i="4"/>
  <c r="K226" i="4"/>
  <c r="J227" i="4"/>
  <c r="K227" i="4"/>
  <c r="J228" i="4"/>
  <c r="K228" i="4"/>
  <c r="J229" i="4"/>
  <c r="K229" i="4"/>
  <c r="J230" i="4"/>
  <c r="K230" i="4"/>
  <c r="J231" i="4"/>
  <c r="K231" i="4"/>
  <c r="J232" i="4"/>
  <c r="K232" i="4"/>
  <c r="J233" i="4"/>
  <c r="K233" i="4"/>
  <c r="J234" i="4"/>
  <c r="K234" i="4"/>
  <c r="J235" i="4"/>
  <c r="K235" i="4"/>
  <c r="J236" i="4"/>
  <c r="K236" i="4"/>
  <c r="J237" i="4"/>
  <c r="K237" i="4"/>
  <c r="J238" i="4"/>
  <c r="K238" i="4"/>
  <c r="J239" i="4"/>
  <c r="K239" i="4"/>
  <c r="J240" i="4"/>
  <c r="K240" i="4"/>
  <c r="Q240" i="4"/>
  <c r="J241" i="4"/>
  <c r="K241" i="4"/>
  <c r="L241" i="4"/>
  <c r="J242" i="4"/>
  <c r="K242" i="4"/>
  <c r="J243" i="4"/>
  <c r="K243" i="4"/>
  <c r="J244" i="4"/>
  <c r="K244" i="4"/>
  <c r="L244" i="4"/>
  <c r="J245" i="4"/>
  <c r="K245" i="4"/>
  <c r="J246" i="4"/>
  <c r="K246" i="4"/>
  <c r="J247" i="4"/>
  <c r="K247" i="4"/>
  <c r="Q247" i="4"/>
  <c r="J248" i="4"/>
  <c r="K248" i="4"/>
  <c r="J249" i="4"/>
  <c r="K249" i="4"/>
  <c r="J250" i="4"/>
  <c r="K250" i="4"/>
  <c r="L250" i="4"/>
  <c r="J251" i="4"/>
  <c r="K251" i="4"/>
  <c r="J252" i="4"/>
  <c r="K252" i="4"/>
  <c r="J253" i="4"/>
  <c r="K253" i="4"/>
  <c r="J254" i="4"/>
  <c r="K254" i="4"/>
  <c r="J255" i="4"/>
  <c r="K255" i="4"/>
  <c r="J256" i="4"/>
  <c r="K256" i="4"/>
  <c r="J257" i="4"/>
  <c r="K257" i="4"/>
  <c r="L257" i="4"/>
  <c r="J258" i="4"/>
  <c r="K258" i="4"/>
  <c r="J259" i="4"/>
  <c r="K259" i="4"/>
  <c r="J260" i="4"/>
  <c r="K260" i="4"/>
  <c r="Q260" i="4"/>
  <c r="J261" i="4"/>
  <c r="K261" i="4"/>
  <c r="Q261" i="4"/>
  <c r="J262" i="4"/>
  <c r="K262" i="4"/>
  <c r="J263" i="4"/>
  <c r="K263" i="4"/>
  <c r="J264" i="4"/>
  <c r="K264" i="4"/>
  <c r="L264" i="4"/>
  <c r="J265" i="4"/>
  <c r="K265" i="4"/>
  <c r="J266" i="4"/>
  <c r="K266" i="4"/>
  <c r="J267" i="4"/>
  <c r="K267" i="4"/>
  <c r="L267" i="4"/>
  <c r="J268" i="4"/>
  <c r="K268" i="4"/>
  <c r="J269" i="4"/>
  <c r="K269" i="4"/>
  <c r="J270" i="4"/>
  <c r="K270" i="4"/>
  <c r="J271" i="4"/>
  <c r="K271" i="4"/>
  <c r="J272" i="4"/>
  <c r="K272" i="4"/>
  <c r="J273" i="4"/>
  <c r="K273" i="4"/>
  <c r="J274" i="4"/>
  <c r="K274" i="4"/>
  <c r="L274" i="4"/>
  <c r="J275" i="4"/>
  <c r="K275" i="4"/>
  <c r="J276" i="4"/>
  <c r="K276" i="4"/>
  <c r="J277" i="4"/>
  <c r="K277" i="4"/>
  <c r="J278" i="4"/>
  <c r="K278" i="4"/>
  <c r="J279" i="4"/>
  <c r="K279" i="4"/>
  <c r="J280" i="4"/>
  <c r="K280" i="4"/>
  <c r="J281" i="4"/>
  <c r="K281" i="4"/>
  <c r="J282" i="4"/>
  <c r="K282" i="4"/>
  <c r="J283" i="4"/>
  <c r="K283" i="4"/>
  <c r="J284" i="4"/>
  <c r="K284" i="4"/>
  <c r="J285" i="4"/>
  <c r="K285" i="4"/>
  <c r="J286" i="4"/>
  <c r="K286" i="4"/>
  <c r="J287" i="4"/>
  <c r="K287" i="4"/>
  <c r="L287" i="4"/>
  <c r="J288" i="4"/>
  <c r="K288" i="4"/>
  <c r="J289" i="4"/>
  <c r="K289" i="4"/>
  <c r="J290" i="4"/>
  <c r="K290" i="4"/>
  <c r="L290" i="4"/>
  <c r="J291" i="4"/>
  <c r="K291" i="4"/>
  <c r="Q291" i="4"/>
  <c r="J292" i="4"/>
  <c r="K292" i="4"/>
  <c r="Q292" i="4"/>
  <c r="J293" i="4"/>
  <c r="K293" i="4"/>
  <c r="J294" i="4"/>
  <c r="K294" i="4"/>
  <c r="J295" i="4"/>
  <c r="K295" i="4"/>
  <c r="J296" i="4"/>
  <c r="K296" i="4"/>
  <c r="J297" i="4"/>
  <c r="K297" i="4"/>
  <c r="J298" i="4"/>
  <c r="K298" i="4"/>
  <c r="Q298" i="4"/>
  <c r="J299" i="4"/>
  <c r="K299" i="4"/>
  <c r="L299" i="4"/>
  <c r="J300" i="4"/>
  <c r="K300" i="4"/>
  <c r="Q300" i="4"/>
  <c r="J301" i="4"/>
  <c r="K301" i="4"/>
  <c r="Q301" i="4"/>
  <c r="J302" i="4"/>
  <c r="K302" i="4"/>
  <c r="Q302" i="4"/>
  <c r="J303" i="4"/>
  <c r="K303" i="4"/>
  <c r="J304" i="4"/>
  <c r="K304" i="4"/>
  <c r="J305" i="4"/>
  <c r="K305" i="4"/>
  <c r="J306" i="4"/>
  <c r="K306" i="4"/>
  <c r="Q306" i="4"/>
  <c r="J307" i="4"/>
  <c r="K307" i="4"/>
  <c r="J308" i="4"/>
  <c r="K308" i="4"/>
  <c r="Q308" i="4"/>
  <c r="J309" i="4"/>
  <c r="K309" i="4"/>
  <c r="J310" i="4"/>
  <c r="K310" i="4"/>
  <c r="L310" i="4"/>
  <c r="J311" i="4"/>
  <c r="K311" i="4"/>
  <c r="J312" i="4"/>
  <c r="K312" i="4"/>
  <c r="J313" i="4"/>
  <c r="K313" i="4"/>
  <c r="J314" i="4"/>
  <c r="K314" i="4"/>
  <c r="J315" i="4"/>
  <c r="K315" i="4"/>
  <c r="J316" i="4"/>
  <c r="K316" i="4"/>
  <c r="J317" i="4"/>
  <c r="K317" i="4"/>
  <c r="J318" i="4"/>
  <c r="K318" i="4"/>
  <c r="J319" i="4"/>
  <c r="K319" i="4"/>
  <c r="J320" i="4"/>
  <c r="K320" i="4"/>
  <c r="J321" i="4"/>
  <c r="K321" i="4"/>
  <c r="J322" i="4"/>
  <c r="K322" i="4"/>
  <c r="J323" i="4"/>
  <c r="K323" i="4"/>
  <c r="L323" i="4"/>
  <c r="J324" i="4"/>
  <c r="K324" i="4"/>
  <c r="L324" i="4"/>
  <c r="J325" i="4"/>
  <c r="K325" i="4"/>
  <c r="J326" i="4"/>
  <c r="K326" i="4"/>
  <c r="L326" i="4"/>
  <c r="J327" i="4"/>
  <c r="K327" i="4"/>
  <c r="J328" i="4"/>
  <c r="K328" i="4"/>
  <c r="J329" i="4"/>
  <c r="K329" i="4"/>
  <c r="J330" i="4"/>
  <c r="K330" i="4"/>
  <c r="L330" i="4"/>
  <c r="J331" i="4"/>
  <c r="K331" i="4"/>
  <c r="J332" i="4"/>
  <c r="K332" i="4"/>
  <c r="J333" i="4"/>
  <c r="K333" i="4"/>
  <c r="J334" i="4"/>
  <c r="K334" i="4"/>
  <c r="J335" i="4"/>
  <c r="K335" i="4"/>
  <c r="J336" i="4"/>
  <c r="K336" i="4"/>
  <c r="J337" i="4"/>
  <c r="K337" i="4"/>
  <c r="J338" i="4"/>
  <c r="K338" i="4"/>
  <c r="J339" i="4"/>
  <c r="K339" i="4"/>
  <c r="J340" i="4"/>
  <c r="K340" i="4"/>
  <c r="J341" i="4"/>
  <c r="K341" i="4"/>
  <c r="J342" i="4"/>
  <c r="K342" i="4"/>
  <c r="L342" i="4"/>
  <c r="J343" i="4"/>
  <c r="K343" i="4"/>
  <c r="Q343" i="4"/>
  <c r="J344" i="4"/>
  <c r="K344" i="4"/>
  <c r="L344" i="4"/>
  <c r="J345" i="4"/>
  <c r="K345" i="4"/>
  <c r="J346" i="4"/>
  <c r="K346" i="4"/>
  <c r="J347" i="4"/>
  <c r="K347" i="4"/>
  <c r="J348" i="4"/>
  <c r="K348" i="4"/>
  <c r="J349" i="4"/>
  <c r="K349" i="4"/>
  <c r="J350" i="4"/>
  <c r="K350" i="4"/>
  <c r="J351" i="4"/>
  <c r="K351" i="4"/>
  <c r="J352" i="4"/>
  <c r="K352" i="4"/>
  <c r="J353" i="4"/>
  <c r="K353" i="4"/>
  <c r="L353" i="4"/>
  <c r="J354" i="4"/>
  <c r="K354" i="4"/>
  <c r="J355" i="4"/>
  <c r="K355" i="4"/>
  <c r="J356" i="4"/>
  <c r="K356" i="4"/>
  <c r="Q356" i="4"/>
  <c r="J357" i="4"/>
  <c r="K357" i="4"/>
  <c r="J358" i="4"/>
  <c r="K358" i="4"/>
  <c r="J359" i="4"/>
  <c r="K359" i="4"/>
  <c r="J360" i="4"/>
  <c r="K360" i="4"/>
  <c r="J361" i="4"/>
  <c r="K361" i="4"/>
  <c r="J362" i="4"/>
  <c r="K362" i="4"/>
  <c r="J363" i="4"/>
  <c r="K363" i="4"/>
  <c r="J364" i="4"/>
  <c r="K364" i="4"/>
  <c r="Q364" i="4"/>
  <c r="L364" i="4"/>
  <c r="J365" i="4"/>
  <c r="K365" i="4"/>
  <c r="J366" i="4"/>
  <c r="K366" i="4"/>
  <c r="J367" i="4"/>
  <c r="K367" i="4"/>
  <c r="L367" i="4"/>
  <c r="J368" i="4"/>
  <c r="K368" i="4"/>
  <c r="J369" i="4"/>
  <c r="K369" i="4"/>
  <c r="J370" i="4"/>
  <c r="K370" i="4"/>
  <c r="J371" i="4"/>
  <c r="K371" i="4"/>
  <c r="J372" i="4"/>
  <c r="K372" i="4"/>
  <c r="Q372" i="4"/>
  <c r="J373" i="4"/>
  <c r="K373" i="4"/>
  <c r="J374" i="4"/>
  <c r="K374" i="4"/>
  <c r="J375" i="4"/>
  <c r="K375" i="4"/>
  <c r="L375" i="4"/>
  <c r="J376" i="4"/>
  <c r="K376" i="4"/>
  <c r="J377" i="4"/>
  <c r="K377" i="4"/>
  <c r="Q377" i="4"/>
  <c r="J378" i="4"/>
  <c r="K378" i="4"/>
  <c r="J379" i="4"/>
  <c r="K379" i="4"/>
  <c r="J380" i="4"/>
  <c r="K380" i="4"/>
  <c r="J381" i="4"/>
  <c r="K381" i="4"/>
  <c r="L381" i="4"/>
  <c r="J382" i="4"/>
  <c r="K382" i="4"/>
  <c r="J383" i="4"/>
  <c r="K383" i="4"/>
  <c r="L383" i="4"/>
  <c r="J384" i="4"/>
  <c r="K384" i="4"/>
  <c r="J385" i="4"/>
  <c r="K385" i="4"/>
  <c r="J386" i="4"/>
  <c r="K386" i="4"/>
  <c r="J387" i="4"/>
  <c r="K387" i="4"/>
  <c r="J388" i="4"/>
  <c r="K388" i="4"/>
  <c r="J389" i="4"/>
  <c r="K389" i="4"/>
  <c r="J390" i="4"/>
  <c r="K390" i="4"/>
  <c r="Q390" i="4"/>
  <c r="J391" i="4"/>
  <c r="K391" i="4"/>
  <c r="J392" i="4"/>
  <c r="K392" i="4"/>
  <c r="J393" i="4"/>
  <c r="K393" i="4"/>
  <c r="Q393" i="4"/>
  <c r="J394" i="4"/>
  <c r="K394" i="4"/>
  <c r="J395" i="4"/>
  <c r="K395" i="4"/>
  <c r="J396" i="4"/>
  <c r="K396" i="4"/>
  <c r="L396" i="4"/>
  <c r="J397" i="4"/>
  <c r="K397" i="4"/>
  <c r="J398" i="4"/>
  <c r="K398" i="4"/>
  <c r="J399" i="4"/>
  <c r="K399" i="4"/>
  <c r="J400" i="4"/>
  <c r="K400" i="4"/>
  <c r="L400" i="4"/>
  <c r="J401" i="4"/>
  <c r="K401" i="4"/>
  <c r="J402" i="4"/>
  <c r="K402" i="4"/>
  <c r="J403" i="4"/>
  <c r="K403" i="4"/>
  <c r="J404" i="4"/>
  <c r="K404" i="4"/>
  <c r="J405" i="4"/>
  <c r="K405" i="4"/>
  <c r="J406" i="4"/>
  <c r="K406" i="4"/>
  <c r="Q406" i="4"/>
  <c r="J407" i="4"/>
  <c r="K407" i="4"/>
  <c r="J408" i="4"/>
  <c r="K408" i="4"/>
  <c r="L408" i="4"/>
  <c r="J409" i="4"/>
  <c r="K409" i="4"/>
  <c r="J410" i="4"/>
  <c r="K410" i="4"/>
  <c r="J411" i="4"/>
  <c r="K411" i="4"/>
  <c r="Q411" i="4"/>
  <c r="J412" i="4"/>
  <c r="K412" i="4"/>
  <c r="Q412" i="4"/>
  <c r="J413" i="4"/>
  <c r="K413" i="4"/>
  <c r="J414" i="4"/>
  <c r="K414" i="4"/>
  <c r="Q414" i="4"/>
  <c r="J415" i="4"/>
  <c r="K415" i="4"/>
  <c r="J416" i="4"/>
  <c r="K416" i="4"/>
  <c r="Q416" i="4"/>
  <c r="J417" i="4"/>
  <c r="K417" i="4"/>
  <c r="J418" i="4"/>
  <c r="K418" i="4"/>
  <c r="J419" i="4"/>
  <c r="K419" i="4"/>
  <c r="J420" i="4"/>
  <c r="K420" i="4"/>
  <c r="J421" i="4"/>
  <c r="K421" i="4"/>
  <c r="J422" i="4"/>
  <c r="K422" i="4"/>
  <c r="Q422" i="4"/>
  <c r="J423" i="4"/>
  <c r="K423" i="4"/>
  <c r="J424" i="4"/>
  <c r="K424" i="4"/>
  <c r="J425" i="4"/>
  <c r="K425" i="4"/>
  <c r="J426" i="4"/>
  <c r="K426" i="4"/>
  <c r="J427" i="4"/>
  <c r="K427" i="4"/>
  <c r="J428" i="4"/>
  <c r="K428" i="4"/>
  <c r="J429" i="4"/>
  <c r="K429" i="4"/>
  <c r="Q429" i="4"/>
  <c r="J430" i="4"/>
  <c r="K430" i="4"/>
  <c r="J431" i="4"/>
  <c r="K431" i="4"/>
  <c r="Q431" i="4"/>
  <c r="J432" i="4"/>
  <c r="K432" i="4"/>
  <c r="J433" i="4"/>
  <c r="K433" i="4"/>
  <c r="J434" i="4"/>
  <c r="K434" i="4"/>
  <c r="Q434" i="4"/>
  <c r="J435" i="4"/>
  <c r="K435" i="4"/>
  <c r="Q435" i="4"/>
  <c r="J436" i="4"/>
  <c r="K436" i="4"/>
  <c r="J437" i="4"/>
  <c r="K437" i="4"/>
  <c r="L437" i="4"/>
  <c r="J438" i="4"/>
  <c r="K438" i="4"/>
  <c r="J439" i="4"/>
  <c r="K439" i="4"/>
  <c r="J440" i="4"/>
  <c r="K440" i="4"/>
  <c r="Q440" i="4"/>
  <c r="J441" i="4"/>
  <c r="K441" i="4"/>
  <c r="J442" i="4"/>
  <c r="K442" i="4"/>
  <c r="J443" i="4"/>
  <c r="K443" i="4"/>
  <c r="Q443" i="4"/>
  <c r="L443" i="4"/>
  <c r="J444" i="4"/>
  <c r="K444" i="4"/>
  <c r="J445" i="4"/>
  <c r="K445" i="4"/>
  <c r="J446" i="4"/>
  <c r="K446" i="4"/>
  <c r="L446" i="4"/>
  <c r="J447" i="4"/>
  <c r="K447" i="4"/>
  <c r="J448" i="4"/>
  <c r="K448" i="4"/>
  <c r="J449" i="4"/>
  <c r="K449" i="4"/>
  <c r="J450" i="4"/>
  <c r="K450" i="4"/>
  <c r="J451" i="4"/>
  <c r="K451" i="4"/>
  <c r="J452" i="4"/>
  <c r="K452" i="4"/>
  <c r="J453" i="4"/>
  <c r="K453" i="4"/>
  <c r="J454" i="4"/>
  <c r="K454" i="4"/>
  <c r="J455" i="4"/>
  <c r="K455" i="4"/>
  <c r="J456" i="4"/>
  <c r="K456" i="4"/>
  <c r="J457" i="4"/>
  <c r="K457" i="4"/>
  <c r="J458" i="4"/>
  <c r="K458" i="4"/>
  <c r="J459" i="4"/>
  <c r="K459" i="4"/>
  <c r="J460" i="4"/>
  <c r="K460" i="4"/>
  <c r="J461" i="4"/>
  <c r="K461" i="4"/>
  <c r="J462" i="4"/>
  <c r="K462" i="4"/>
  <c r="J463" i="4"/>
  <c r="K463" i="4"/>
  <c r="J464" i="4"/>
  <c r="K464" i="4"/>
  <c r="J465" i="4"/>
  <c r="K465" i="4"/>
  <c r="L465" i="4"/>
  <c r="Q465" i="4"/>
  <c r="J466" i="4"/>
  <c r="K466" i="4"/>
  <c r="J467" i="4"/>
  <c r="K467" i="4"/>
  <c r="J468" i="4"/>
  <c r="K468" i="4"/>
  <c r="J469" i="4"/>
  <c r="K469" i="4"/>
  <c r="L469" i="4"/>
  <c r="J470" i="4"/>
  <c r="K470" i="4"/>
  <c r="J471" i="4"/>
  <c r="K471" i="4"/>
  <c r="J472" i="4"/>
  <c r="K472" i="4"/>
  <c r="J473" i="4"/>
  <c r="K473" i="4"/>
  <c r="J474" i="4"/>
  <c r="K474" i="4"/>
  <c r="J475" i="4"/>
  <c r="K475" i="4"/>
  <c r="J476" i="4"/>
  <c r="K476" i="4"/>
  <c r="J477" i="4"/>
  <c r="K477" i="4"/>
  <c r="Q477" i="4"/>
  <c r="J478" i="4"/>
  <c r="K478" i="4"/>
  <c r="Q478" i="4"/>
  <c r="J479" i="4"/>
  <c r="K479" i="4"/>
  <c r="J480" i="4"/>
  <c r="K480" i="4"/>
  <c r="Q480" i="4"/>
  <c r="J481" i="4"/>
  <c r="K481" i="4"/>
  <c r="Q481" i="4"/>
  <c r="J482" i="4"/>
  <c r="K482" i="4"/>
  <c r="L482" i="4"/>
  <c r="J483" i="4"/>
  <c r="K483" i="4"/>
  <c r="L483" i="4"/>
  <c r="Q483" i="4"/>
  <c r="J484" i="4"/>
  <c r="K484" i="4"/>
  <c r="J485" i="4"/>
  <c r="K485" i="4"/>
  <c r="L485" i="4"/>
  <c r="J486" i="4"/>
  <c r="K486" i="4"/>
  <c r="J487" i="4"/>
  <c r="K487" i="4"/>
  <c r="Q487" i="4"/>
  <c r="J488" i="4"/>
  <c r="K488" i="4"/>
  <c r="J489" i="4"/>
  <c r="K489" i="4"/>
  <c r="Q489" i="4"/>
  <c r="L489" i="4"/>
  <c r="J490" i="4"/>
  <c r="K490" i="4"/>
  <c r="Q490" i="4"/>
  <c r="J491" i="4"/>
  <c r="K491" i="4"/>
  <c r="L491" i="4"/>
  <c r="J492" i="4"/>
  <c r="K492" i="4"/>
  <c r="J493" i="4"/>
  <c r="K493" i="4"/>
  <c r="Q493" i="4"/>
  <c r="J494" i="4"/>
  <c r="K494" i="4"/>
  <c r="J495" i="4"/>
  <c r="K495" i="4"/>
  <c r="Q495" i="4"/>
  <c r="L495" i="4"/>
  <c r="J496" i="4"/>
  <c r="K496" i="4"/>
  <c r="J497" i="4"/>
  <c r="K497" i="4"/>
  <c r="J498" i="4"/>
  <c r="K498" i="4"/>
  <c r="L498" i="4"/>
  <c r="J499" i="4"/>
  <c r="K499" i="4"/>
  <c r="J500" i="4"/>
  <c r="K500" i="4"/>
  <c r="L500" i="4"/>
  <c r="J501" i="4"/>
  <c r="K501" i="4"/>
  <c r="J502" i="4"/>
  <c r="K502" i="4"/>
  <c r="Q502" i="4"/>
  <c r="J503" i="4"/>
  <c r="K503" i="4"/>
  <c r="J504" i="4"/>
  <c r="K504" i="4"/>
  <c r="E187" i="1"/>
  <c r="E188" i="1"/>
  <c r="E194" i="1"/>
  <c r="E25" i="1"/>
  <c r="E195" i="1"/>
  <c r="D119" i="1"/>
  <c r="D118" i="1"/>
  <c r="D28" i="1"/>
  <c r="E197" i="1"/>
  <c r="E198" i="1"/>
  <c r="E199" i="1"/>
  <c r="D123" i="1"/>
  <c r="E200" i="1"/>
  <c r="D16" i="1"/>
  <c r="E21" i="1"/>
  <c r="D37" i="1"/>
  <c r="D43" i="1"/>
  <c r="E43" i="1"/>
  <c r="D44" i="1"/>
  <c r="E68" i="1"/>
  <c r="E74" i="1"/>
  <c r="D45" i="1"/>
  <c r="E47" i="1"/>
  <c r="D46" i="1"/>
  <c r="F69" i="1"/>
  <c r="D90" i="1"/>
  <c r="D105" i="1"/>
  <c r="D125" i="1"/>
  <c r="D145" i="1"/>
  <c r="E145" i="1"/>
  <c r="D146" i="1" s="1"/>
  <c r="D136" i="1"/>
  <c r="E136" i="1"/>
  <c r="D137" i="1" s="1"/>
  <c r="D48" i="1"/>
  <c r="E48" i="1"/>
  <c r="D49" i="1"/>
  <c r="D36" i="1" s="1"/>
  <c r="D141" i="1"/>
  <c r="E141" i="1"/>
  <c r="D142" i="1" s="1"/>
  <c r="D23" i="1" s="1"/>
  <c r="D158" i="1"/>
  <c r="D15" i="1"/>
  <c r="Q326" i="4"/>
  <c r="Q44" i="4"/>
  <c r="L40" i="4"/>
  <c r="L147" i="4"/>
  <c r="L343" i="4"/>
  <c r="L103" i="4"/>
  <c r="L37" i="4"/>
  <c r="L141" i="4"/>
  <c r="Q81" i="4"/>
  <c r="Q196" i="4"/>
  <c r="L216" i="4"/>
  <c r="L377" i="4"/>
  <c r="L112" i="4"/>
  <c r="L185" i="4"/>
  <c r="L20" i="4"/>
  <c r="Q287" i="4"/>
  <c r="Q45" i="4"/>
  <c r="L261" i="4"/>
  <c r="Q241" i="4"/>
  <c r="Q24" i="4"/>
  <c r="L301" i="4"/>
  <c r="Q290" i="4"/>
  <c r="L66" i="4"/>
  <c r="Q66" i="4"/>
  <c r="L390" i="4"/>
  <c r="L248" i="4"/>
  <c r="Q248" i="4"/>
  <c r="Q29" i="4"/>
  <c r="Q15" i="4"/>
  <c r="Q264" i="4"/>
  <c r="L39" i="4"/>
  <c r="Q39" i="4"/>
  <c r="Q381" i="4"/>
  <c r="L243" i="4"/>
  <c r="Q243" i="4"/>
  <c r="L179" i="4"/>
  <c r="Q179" i="4"/>
  <c r="Q72" i="4"/>
  <c r="L72" i="4"/>
  <c r="L302" i="4"/>
  <c r="Q187" i="4"/>
  <c r="Q57" i="4"/>
  <c r="L193" i="4"/>
  <c r="L111" i="4"/>
  <c r="Q375" i="4"/>
  <c r="L114" i="4"/>
  <c r="L406" i="4"/>
  <c r="L306" i="4"/>
  <c r="Q133" i="4"/>
  <c r="L133" i="4"/>
  <c r="Q408" i="4"/>
  <c r="Q299" i="4"/>
  <c r="L260" i="4"/>
  <c r="L163" i="4"/>
  <c r="Q107" i="4"/>
  <c r="Q90" i="4"/>
  <c r="Q92" i="4"/>
  <c r="Q304" i="4"/>
  <c r="L304" i="4"/>
  <c r="Q437" i="4"/>
  <c r="L481" i="4"/>
  <c r="Q367" i="4"/>
  <c r="Q324" i="4"/>
  <c r="Q143" i="4"/>
  <c r="L88" i="4"/>
  <c r="Q69" i="4"/>
  <c r="Q5" i="4"/>
  <c r="L167" i="4"/>
  <c r="L106" i="4"/>
  <c r="L120" i="4"/>
  <c r="Q383" i="4"/>
  <c r="L36" i="4"/>
  <c r="Q75" i="4"/>
  <c r="Q485" i="4"/>
  <c r="L365" i="4"/>
  <c r="Q365" i="4"/>
  <c r="L289" i="4"/>
  <c r="Q289" i="4"/>
  <c r="L411" i="4"/>
  <c r="L308" i="4"/>
  <c r="L203" i="4"/>
  <c r="Q203" i="4"/>
  <c r="L173" i="4"/>
  <c r="Q173" i="4"/>
  <c r="Q374" i="4"/>
  <c r="L374" i="4"/>
  <c r="Q204" i="4"/>
  <c r="L204" i="4"/>
  <c r="Q194" i="4"/>
  <c r="Q124" i="4"/>
  <c r="L124" i="4"/>
  <c r="Q101" i="4"/>
  <c r="L101" i="4"/>
  <c r="Q33" i="4"/>
  <c r="L33" i="4"/>
  <c r="Q137" i="4"/>
  <c r="Q330" i="4"/>
  <c r="L393" i="4"/>
  <c r="Q170" i="4"/>
  <c r="Q344" i="4"/>
  <c r="Q274" i="4"/>
  <c r="Q310" i="4"/>
  <c r="Q244" i="4"/>
  <c r="Q323" i="4"/>
  <c r="L292" i="4"/>
  <c r="L98" i="4"/>
  <c r="L422" i="4"/>
  <c r="L414" i="4"/>
  <c r="L412" i="4"/>
  <c r="L284" i="4"/>
  <c r="Q284" i="4"/>
  <c r="Q252" i="4"/>
  <c r="L252" i="4"/>
  <c r="Q250" i="4"/>
  <c r="Q142" i="4"/>
  <c r="L142" i="4"/>
  <c r="L48" i="4"/>
  <c r="Q41" i="4"/>
  <c r="Q18" i="4"/>
  <c r="L18" i="4"/>
  <c r="L10" i="4"/>
  <c r="Q10" i="4"/>
  <c r="F27" i="4"/>
  <c r="F28" i="4"/>
  <c r="Q21" i="4"/>
  <c r="L21" i="4"/>
  <c r="L11" i="4"/>
  <c r="Q58" i="4"/>
  <c r="L298" i="4"/>
  <c r="L296" i="4"/>
  <c r="Q296" i="4"/>
  <c r="L259" i="4"/>
  <c r="Q259" i="4"/>
  <c r="Q144" i="4"/>
  <c r="L132" i="4"/>
  <c r="Q91" i="4"/>
  <c r="Q85" i="4"/>
  <c r="L85" i="4"/>
  <c r="Q245" i="4"/>
  <c r="L245" i="4"/>
  <c r="L207" i="4"/>
  <c r="Q174" i="4"/>
  <c r="L166" i="4"/>
  <c r="L151" i="4"/>
  <c r="Q151" i="4"/>
  <c r="L140" i="4"/>
  <c r="Q140" i="4"/>
  <c r="L78" i="4"/>
  <c r="Q469" i="4"/>
  <c r="L434" i="4"/>
  <c r="L431" i="4"/>
  <c r="L211" i="4"/>
  <c r="Q211" i="4"/>
  <c r="L178" i="4"/>
  <c r="Q178" i="4"/>
  <c r="Q146" i="4"/>
  <c r="L146" i="4"/>
  <c r="L97" i="4"/>
  <c r="Q97" i="4"/>
  <c r="L93" i="4"/>
  <c r="Q89" i="4"/>
  <c r="L73" i="4"/>
  <c r="Q73" i="4"/>
  <c r="Q71" i="4"/>
  <c r="L71" i="4"/>
  <c r="Q65" i="4"/>
  <c r="L65" i="4"/>
  <c r="Q60" i="4"/>
  <c r="Q52" i="4"/>
  <c r="L52" i="4"/>
  <c r="Q31" i="4"/>
  <c r="Q207" i="4"/>
  <c r="Q491" i="4"/>
  <c r="Q455" i="4"/>
  <c r="L455" i="4"/>
  <c r="L435" i="4"/>
  <c r="Q353" i="4"/>
  <c r="L300" i="4"/>
  <c r="L291" i="4"/>
  <c r="Q267" i="4"/>
  <c r="L263" i="4"/>
  <c r="Q263" i="4"/>
  <c r="Q218" i="4"/>
  <c r="L214" i="4"/>
  <c r="Q126" i="4"/>
  <c r="L117" i="4"/>
  <c r="Q117" i="4"/>
  <c r="L109" i="4"/>
  <c r="Q109" i="4"/>
  <c r="L17" i="4"/>
  <c r="Q17" i="4"/>
  <c r="Q13" i="4"/>
  <c r="Q4" i="4"/>
  <c r="L490" i="4"/>
  <c r="Q446" i="4"/>
  <c r="L429" i="4"/>
  <c r="Q400" i="4"/>
  <c r="L325" i="4"/>
  <c r="Q325" i="4"/>
  <c r="Q271" i="4"/>
  <c r="L271" i="4"/>
  <c r="Q262" i="4"/>
  <c r="L262" i="4"/>
  <c r="L255" i="4"/>
  <c r="Q255" i="4"/>
  <c r="L247" i="4"/>
  <c r="L199" i="4"/>
  <c r="Q199" i="4"/>
  <c r="Q128" i="4"/>
  <c r="L128" i="4"/>
  <c r="L123" i="4"/>
  <c r="L119" i="4"/>
  <c r="L100" i="4"/>
  <c r="Q82" i="4"/>
  <c r="Q46" i="4"/>
  <c r="L46" i="4"/>
  <c r="Q19" i="4"/>
  <c r="L19" i="4"/>
  <c r="L16" i="4"/>
  <c r="L206" i="4"/>
  <c r="L70" i="4"/>
  <c r="Q70" i="4"/>
  <c r="L487" i="4"/>
  <c r="L502" i="4"/>
  <c r="Q266" i="4"/>
  <c r="L266" i="4"/>
  <c r="Q168" i="4"/>
  <c r="L168" i="4"/>
  <c r="L165" i="4"/>
  <c r="L145" i="4"/>
  <c r="Q145" i="4"/>
  <c r="Q131" i="4"/>
  <c r="L131" i="4"/>
  <c r="L104" i="4"/>
  <c r="Q104" i="4"/>
  <c r="Q51" i="4"/>
  <c r="L51" i="4"/>
  <c r="L94" i="4"/>
  <c r="D32" i="1"/>
  <c r="C19" i="4"/>
  <c r="F19" i="4"/>
  <c r="D159" i="1"/>
  <c r="D72" i="1"/>
  <c r="E32" i="1"/>
  <c r="E159" i="1"/>
  <c r="Q504" i="4"/>
  <c r="L504" i="4"/>
  <c r="Q500" i="4"/>
  <c r="Q498" i="4"/>
  <c r="L480" i="4"/>
  <c r="Q442" i="4"/>
  <c r="L442" i="4"/>
  <c r="L440" i="4"/>
  <c r="L372" i="4"/>
  <c r="Q360" i="4"/>
  <c r="L360" i="4"/>
  <c r="Q358" i="4"/>
  <c r="L358" i="4"/>
  <c r="L356" i="4"/>
  <c r="Q354" i="4"/>
  <c r="L354" i="4"/>
  <c r="L352" i="4"/>
  <c r="Q352" i="4"/>
  <c r="Q342" i="4"/>
  <c r="Q337" i="4"/>
  <c r="L337" i="4"/>
  <c r="Q321" i="4"/>
  <c r="L321" i="4"/>
  <c r="Q276" i="4"/>
  <c r="L276" i="4"/>
  <c r="L240" i="4"/>
  <c r="L238" i="4"/>
  <c r="Q238" i="4"/>
  <c r="Q236" i="4"/>
  <c r="L236" i="4"/>
  <c r="Q230" i="4"/>
  <c r="L230" i="4"/>
  <c r="Q228" i="4"/>
  <c r="L228" i="4"/>
  <c r="L190" i="4"/>
  <c r="Q190" i="4"/>
  <c r="Q183" i="4"/>
  <c r="L183" i="4"/>
  <c r="L181" i="4"/>
  <c r="Q181" i="4"/>
  <c r="Q176" i="4"/>
  <c r="L176" i="4"/>
  <c r="L171" i="4"/>
  <c r="Q171" i="4"/>
  <c r="Q164" i="4"/>
  <c r="L164" i="4"/>
  <c r="Q161" i="4"/>
  <c r="L161" i="4"/>
  <c r="Q158" i="4"/>
  <c r="L158" i="4"/>
  <c r="L155" i="4"/>
  <c r="Q155" i="4"/>
  <c r="Q152" i="4"/>
  <c r="L152" i="4"/>
  <c r="L149" i="4"/>
  <c r="Q149" i="4"/>
  <c r="L135" i="4"/>
  <c r="Q135" i="4"/>
  <c r="L127" i="4"/>
  <c r="Q127" i="4"/>
  <c r="Q122" i="4"/>
  <c r="L122" i="4"/>
  <c r="Q110" i="4"/>
  <c r="L110" i="4"/>
  <c r="Q102" i="4"/>
  <c r="L102" i="4"/>
  <c r="Q87" i="4"/>
  <c r="L87" i="4"/>
  <c r="L76" i="4"/>
  <c r="Q76" i="4"/>
  <c r="L62" i="4"/>
  <c r="Q62" i="4"/>
  <c r="Q59" i="4"/>
  <c r="L59" i="4"/>
  <c r="Q56" i="4"/>
  <c r="L56" i="4"/>
  <c r="Q54" i="4"/>
  <c r="L54" i="4"/>
  <c r="Q34" i="4"/>
  <c r="L34" i="4"/>
  <c r="Q28" i="4"/>
  <c r="L28" i="4"/>
  <c r="L25" i="4"/>
  <c r="Q25" i="4"/>
  <c r="L22" i="4"/>
  <c r="Q22" i="4"/>
  <c r="L12" i="4"/>
  <c r="Q12" i="4"/>
  <c r="Q9" i="4"/>
  <c r="L9" i="4"/>
  <c r="Q6" i="4"/>
  <c r="L6" i="4"/>
  <c r="Q503" i="4"/>
  <c r="L503" i="4"/>
  <c r="Q501" i="4"/>
  <c r="L501" i="4"/>
  <c r="Q482" i="4"/>
  <c r="L479" i="4"/>
  <c r="Q479" i="4"/>
  <c r="L477" i="4"/>
  <c r="Q463" i="4"/>
  <c r="L463" i="4"/>
  <c r="Q453" i="4"/>
  <c r="L453" i="4"/>
  <c r="L417" i="4"/>
  <c r="Q417" i="4"/>
  <c r="L373" i="4"/>
  <c r="Q373" i="4"/>
  <c r="L371" i="4"/>
  <c r="Q371" i="4"/>
  <c r="L369" i="4"/>
  <c r="Q369" i="4"/>
  <c r="Q366" i="4"/>
  <c r="L366" i="4"/>
  <c r="L362" i="4"/>
  <c r="Q362" i="4"/>
  <c r="Q359" i="4"/>
  <c r="L359" i="4"/>
  <c r="Q357" i="4"/>
  <c r="L357" i="4"/>
  <c r="L355" i="4"/>
  <c r="Q355" i="4"/>
  <c r="Q349" i="4"/>
  <c r="L349" i="4"/>
  <c r="Q347" i="4"/>
  <c r="L347" i="4"/>
  <c r="Q341" i="4"/>
  <c r="L341" i="4"/>
  <c r="L339" i="4"/>
  <c r="Q339" i="4"/>
  <c r="Q335" i="4"/>
  <c r="L335" i="4"/>
  <c r="Q327" i="4"/>
  <c r="L327" i="4"/>
  <c r="Q319" i="4"/>
  <c r="L319" i="4"/>
  <c r="L282" i="4"/>
  <c r="Q282" i="4"/>
  <c r="Q278" i="4"/>
  <c r="L278" i="4"/>
  <c r="Q234" i="4"/>
  <c r="L234" i="4"/>
  <c r="Q231" i="4"/>
  <c r="L231" i="4"/>
  <c r="L229" i="4"/>
  <c r="Q229" i="4"/>
  <c r="L201" i="4"/>
  <c r="Q201" i="4"/>
  <c r="L191" i="4"/>
  <c r="L184" i="4"/>
  <c r="Q184" i="4"/>
  <c r="Q180" i="4"/>
  <c r="L180" i="4"/>
  <c r="L177" i="4"/>
  <c r="Q177" i="4"/>
  <c r="Q175" i="4"/>
  <c r="L175" i="4"/>
  <c r="L172" i="4"/>
  <c r="Q172" i="4"/>
  <c r="Q160" i="4"/>
  <c r="L160" i="4"/>
  <c r="L156" i="4"/>
  <c r="Q156" i="4"/>
  <c r="Q154" i="4"/>
  <c r="L154" i="4"/>
  <c r="L150" i="4"/>
  <c r="Q150" i="4"/>
  <c r="L139" i="4"/>
  <c r="Q139" i="4"/>
  <c r="Q136" i="4"/>
  <c r="L136" i="4"/>
  <c r="Q118" i="4"/>
  <c r="L118" i="4"/>
  <c r="Q96" i="4"/>
  <c r="L96" i="4"/>
  <c r="L86" i="4"/>
  <c r="Q86" i="4"/>
  <c r="L83" i="4"/>
  <c r="Q83" i="4"/>
  <c r="L80" i="4"/>
  <c r="Q80" i="4"/>
  <c r="Q77" i="4"/>
  <c r="L77" i="4"/>
  <c r="Q64" i="4"/>
  <c r="L64" i="4"/>
  <c r="Q61" i="4"/>
  <c r="L61" i="4"/>
  <c r="L55" i="4"/>
  <c r="Q55" i="4"/>
  <c r="Q49" i="4"/>
  <c r="L49" i="4"/>
  <c r="L38" i="4"/>
  <c r="Q38" i="4"/>
  <c r="L35" i="4"/>
  <c r="Q35" i="4"/>
  <c r="L27" i="4"/>
  <c r="Q27" i="4"/>
  <c r="Q23" i="4"/>
  <c r="L23" i="4"/>
  <c r="F32" i="4"/>
  <c r="F34" i="4"/>
  <c r="Q7" i="4"/>
  <c r="L7" i="4"/>
  <c r="Q472" i="4"/>
  <c r="L472" i="4"/>
  <c r="Q427" i="4"/>
  <c r="L427" i="4"/>
  <c r="L415" i="4"/>
  <c r="Q415" i="4"/>
  <c r="L388" i="4"/>
  <c r="Q388" i="4"/>
  <c r="Q474" i="4"/>
  <c r="L474" i="4"/>
  <c r="Q396" i="4"/>
  <c r="D54" i="1"/>
  <c r="D56" i="1"/>
  <c r="D52" i="1"/>
  <c r="D97" i="1"/>
  <c r="D69" i="1"/>
  <c r="D73" i="1"/>
  <c r="Q419" i="4"/>
  <c r="L419" i="4"/>
  <c r="D47" i="1"/>
  <c r="D55" i="1"/>
  <c r="D57" i="1"/>
  <c r="Q497" i="4"/>
  <c r="L497" i="4"/>
  <c r="L488" i="4"/>
  <c r="Q488" i="4"/>
  <c r="L473" i="4"/>
  <c r="Q473" i="4"/>
  <c r="L470" i="4"/>
  <c r="Q470" i="4"/>
  <c r="L468" i="4"/>
  <c r="Q468" i="4"/>
  <c r="L462" i="4"/>
  <c r="Q462" i="4"/>
  <c r="L460" i="4"/>
  <c r="Q460" i="4"/>
  <c r="Q458" i="4"/>
  <c r="L458" i="4"/>
  <c r="L456" i="4"/>
  <c r="Q456" i="4"/>
  <c r="L452" i="4"/>
  <c r="Q452" i="4"/>
  <c r="Q450" i="4"/>
  <c r="L450" i="4"/>
  <c r="L444" i="4"/>
  <c r="Q444" i="4"/>
  <c r="Q430" i="4"/>
  <c r="L430" i="4"/>
  <c r="Q407" i="4"/>
  <c r="L407" i="4"/>
  <c r="L405" i="4"/>
  <c r="Q405" i="4"/>
  <c r="L403" i="4"/>
  <c r="Q403" i="4"/>
  <c r="Q401" i="4"/>
  <c r="L401" i="4"/>
  <c r="L399" i="4"/>
  <c r="Q399" i="4"/>
  <c r="Q397" i="4"/>
  <c r="L397" i="4"/>
  <c r="Q394" i="4"/>
  <c r="L394" i="4"/>
  <c r="L392" i="4"/>
  <c r="Q392" i="4"/>
  <c r="L387" i="4"/>
  <c r="Q387" i="4"/>
  <c r="L385" i="4"/>
  <c r="Q385" i="4"/>
  <c r="L380" i="4"/>
  <c r="Q380" i="4"/>
  <c r="L378" i="4"/>
  <c r="Q378" i="4"/>
  <c r="L376" i="4"/>
  <c r="Q376" i="4"/>
  <c r="Q350" i="4"/>
  <c r="L350" i="4"/>
  <c r="L346" i="4"/>
  <c r="Q346" i="4"/>
  <c r="Q338" i="4"/>
  <c r="L338" i="4"/>
  <c r="Q334" i="4"/>
  <c r="L334" i="4"/>
  <c r="L332" i="4"/>
  <c r="Q332" i="4"/>
  <c r="Q322" i="4"/>
  <c r="L322" i="4"/>
  <c r="Q318" i="4"/>
  <c r="L318" i="4"/>
  <c r="L316" i="4"/>
  <c r="Q316" i="4"/>
  <c r="Q314" i="4"/>
  <c r="L314" i="4"/>
  <c r="L312" i="4"/>
  <c r="Q312" i="4"/>
  <c r="Q307" i="4"/>
  <c r="L307" i="4"/>
  <c r="L303" i="4"/>
  <c r="Q303" i="4"/>
  <c r="L295" i="4"/>
  <c r="Q295" i="4"/>
  <c r="Q285" i="4"/>
  <c r="L285" i="4"/>
  <c r="Q281" i="4"/>
  <c r="L281" i="4"/>
  <c r="L277" i="4"/>
  <c r="Q277" i="4"/>
  <c r="Q251" i="4"/>
  <c r="L251" i="4"/>
  <c r="Q246" i="4"/>
  <c r="L246" i="4"/>
  <c r="L235" i="4"/>
  <c r="Q235" i="4"/>
  <c r="L232" i="4"/>
  <c r="Q232" i="4"/>
  <c r="L226" i="4"/>
  <c r="Q226" i="4"/>
  <c r="L224" i="4"/>
  <c r="Q224" i="4"/>
  <c r="L222" i="4"/>
  <c r="Q222" i="4"/>
  <c r="L220" i="4"/>
  <c r="Q220" i="4"/>
  <c r="L215" i="4"/>
  <c r="Q215" i="4"/>
  <c r="L210" i="4"/>
  <c r="Q210" i="4"/>
  <c r="Q205" i="4"/>
  <c r="L205" i="4"/>
  <c r="Q202" i="4"/>
  <c r="L202" i="4"/>
  <c r="Q195" i="4"/>
  <c r="L195" i="4"/>
  <c r="L189" i="4"/>
  <c r="Q189" i="4"/>
  <c r="D116" i="1"/>
  <c r="D120" i="1"/>
  <c r="Q499" i="4"/>
  <c r="L499" i="4"/>
  <c r="L496" i="4"/>
  <c r="Q496" i="4"/>
  <c r="L494" i="4"/>
  <c r="Q494" i="4"/>
  <c r="Q475" i="4"/>
  <c r="L475" i="4"/>
  <c r="Q471" i="4"/>
  <c r="L471" i="4"/>
  <c r="L466" i="4"/>
  <c r="Q466" i="4"/>
  <c r="Q464" i="4"/>
  <c r="L464" i="4"/>
  <c r="L461" i="4"/>
  <c r="Q461" i="4"/>
  <c r="Q459" i="4"/>
  <c r="L459" i="4"/>
  <c r="L454" i="4"/>
  <c r="Q454" i="4"/>
  <c r="L451" i="4"/>
  <c r="Q451" i="4"/>
  <c r="L449" i="4"/>
  <c r="Q449" i="4"/>
  <c r="Q447" i="4"/>
  <c r="L447" i="4"/>
  <c r="Q445" i="4"/>
  <c r="L445" i="4"/>
  <c r="Q421" i="4"/>
  <c r="L421" i="4"/>
  <c r="Q409" i="4"/>
  <c r="L409" i="4"/>
  <c r="L404" i="4"/>
  <c r="Q404" i="4"/>
  <c r="L402" i="4"/>
  <c r="Q402" i="4"/>
  <c r="Q391" i="4"/>
  <c r="L391" i="4"/>
  <c r="L389" i="4"/>
  <c r="Q389" i="4"/>
  <c r="L386" i="4"/>
  <c r="Q386" i="4"/>
  <c r="L384" i="4"/>
  <c r="Q384" i="4"/>
  <c r="Q382" i="4"/>
  <c r="L382" i="4"/>
  <c r="Q348" i="4"/>
  <c r="L348" i="4"/>
  <c r="Q340" i="4"/>
  <c r="L340" i="4"/>
  <c r="Q333" i="4"/>
  <c r="L333" i="4"/>
  <c r="Q331" i="4"/>
  <c r="L331" i="4"/>
  <c r="Q329" i="4"/>
  <c r="L329" i="4"/>
  <c r="L320" i="4"/>
  <c r="Q320" i="4"/>
  <c r="Q317" i="4"/>
  <c r="L317" i="4"/>
  <c r="L315" i="4"/>
  <c r="Q315" i="4"/>
  <c r="L313" i="4"/>
  <c r="Q313" i="4"/>
  <c r="Q311" i="4"/>
  <c r="L311" i="4"/>
  <c r="Q309" i="4"/>
  <c r="L309" i="4"/>
  <c r="L305" i="4"/>
  <c r="Q305" i="4"/>
  <c r="Q297" i="4"/>
  <c r="L297" i="4"/>
  <c r="L293" i="4"/>
  <c r="Q293" i="4"/>
  <c r="L283" i="4"/>
  <c r="Q283" i="4"/>
  <c r="L279" i="4"/>
  <c r="Q279" i="4"/>
  <c r="L275" i="4"/>
  <c r="Q275" i="4"/>
  <c r="Q239" i="4"/>
  <c r="L239" i="4"/>
  <c r="L233" i="4"/>
  <c r="Q233" i="4"/>
  <c r="L227" i="4"/>
  <c r="Q227" i="4"/>
  <c r="Q223" i="4"/>
  <c r="L223" i="4"/>
  <c r="Q221" i="4"/>
  <c r="L221" i="4"/>
  <c r="L219" i="4"/>
  <c r="Q219" i="4"/>
  <c r="Q217" i="4"/>
  <c r="L217" i="4"/>
  <c r="L188" i="4"/>
  <c r="Q188" i="4"/>
  <c r="Q484" i="4"/>
  <c r="L484" i="4"/>
  <c r="Q438" i="4"/>
  <c r="L438" i="4"/>
  <c r="Q426" i="4"/>
  <c r="L426" i="4"/>
  <c r="L424" i="4"/>
  <c r="Q424" i="4"/>
  <c r="Q486" i="4"/>
  <c r="L486" i="4"/>
  <c r="Q441" i="4"/>
  <c r="L441" i="4"/>
  <c r="Q433" i="4"/>
  <c r="L433" i="4"/>
  <c r="Q428" i="4"/>
  <c r="L428" i="4"/>
  <c r="L416" i="4"/>
  <c r="L186" i="4"/>
  <c r="Q186" i="4"/>
  <c r="Q115" i="4"/>
  <c r="L115" i="4"/>
  <c r="L30" i="4"/>
  <c r="Q30" i="4"/>
  <c r="L476" i="4"/>
  <c r="Q476" i="4"/>
  <c r="L418" i="4"/>
  <c r="Q418" i="4"/>
  <c r="Q270" i="4"/>
  <c r="L270" i="4"/>
  <c r="Q182" i="4"/>
  <c r="L182" i="4"/>
  <c r="Q47" i="4"/>
  <c r="L47" i="4"/>
  <c r="Q32" i="4"/>
  <c r="L32" i="4"/>
  <c r="F73" i="1"/>
  <c r="D62" i="1"/>
  <c r="D99" i="1"/>
  <c r="D82" i="1"/>
  <c r="D84" i="1"/>
  <c r="C18" i="4"/>
  <c r="E61" i="1"/>
  <c r="E69" i="1"/>
  <c r="E73" i="1"/>
  <c r="L395" i="4"/>
  <c r="Q395" i="4"/>
  <c r="Q351" i="4"/>
  <c r="L351" i="4"/>
  <c r="L336" i="4"/>
  <c r="Q336" i="4"/>
  <c r="Q288" i="4"/>
  <c r="L288" i="4"/>
  <c r="L280" i="4"/>
  <c r="Q280" i="4"/>
  <c r="Q273" i="4"/>
  <c r="L273" i="4"/>
  <c r="L258" i="4"/>
  <c r="Q258" i="4"/>
  <c r="Q249" i="4"/>
  <c r="L249" i="4"/>
  <c r="L242" i="4"/>
  <c r="Q242" i="4"/>
  <c r="Q225" i="4"/>
  <c r="L225" i="4"/>
  <c r="L209" i="4"/>
  <c r="Q209" i="4"/>
  <c r="L200" i="4"/>
  <c r="Q200" i="4"/>
  <c r="L192" i="4"/>
  <c r="Q192" i="4"/>
  <c r="L169" i="4"/>
  <c r="Q169" i="4"/>
  <c r="Q162" i="4"/>
  <c r="L162" i="4"/>
  <c r="Q153" i="4"/>
  <c r="L153" i="4"/>
  <c r="Q138" i="4"/>
  <c r="L138" i="4"/>
  <c r="Q121" i="4"/>
  <c r="L121" i="4"/>
  <c r="L113" i="4"/>
  <c r="Q113" i="4"/>
  <c r="Q84" i="4"/>
  <c r="L84" i="4"/>
  <c r="Q68" i="4"/>
  <c r="L68" i="4"/>
  <c r="L53" i="4"/>
  <c r="Q53" i="4"/>
  <c r="Q26" i="4"/>
  <c r="L26" i="4"/>
  <c r="Q410" i="4"/>
  <c r="L410" i="4"/>
  <c r="L436" i="4"/>
  <c r="Q436" i="4"/>
  <c r="Q423" i="4"/>
  <c r="L423" i="4"/>
  <c r="Q457" i="4"/>
  <c r="L457" i="4"/>
  <c r="L448" i="4"/>
  <c r="Q448" i="4"/>
  <c r="F62" i="1"/>
  <c r="D60" i="1"/>
  <c r="D161" i="1"/>
  <c r="D165" i="1"/>
  <c r="D167" i="1"/>
  <c r="E60" i="1"/>
  <c r="F61" i="1"/>
  <c r="D61" i="1"/>
  <c r="E62" i="1"/>
  <c r="D29" i="1"/>
  <c r="F14" i="4"/>
  <c r="F60" i="1"/>
  <c r="C14" i="4"/>
  <c r="L439" i="4"/>
  <c r="Q439" i="4"/>
  <c r="L328" i="4"/>
  <c r="Q328" i="4"/>
  <c r="Q265" i="4"/>
  <c r="L265" i="4"/>
  <c r="L208" i="4"/>
  <c r="Q208" i="4"/>
  <c r="Q130" i="4"/>
  <c r="L130" i="4"/>
  <c r="Q105" i="4"/>
  <c r="L105" i="4"/>
  <c r="Q67" i="4"/>
  <c r="L67" i="4"/>
  <c r="Q379" i="4"/>
  <c r="L379" i="4"/>
  <c r="Q272" i="4"/>
  <c r="L272" i="4"/>
  <c r="Q129" i="4"/>
  <c r="L129" i="4"/>
  <c r="Q14" i="4"/>
  <c r="L14" i="4"/>
  <c r="L8" i="4"/>
  <c r="Q8" i="4"/>
  <c r="L294" i="4"/>
  <c r="Q294" i="4"/>
  <c r="Q286" i="4"/>
  <c r="L286" i="4"/>
  <c r="L198" i="4"/>
  <c r="Q198" i="4"/>
  <c r="L95" i="4"/>
  <c r="Q95" i="4"/>
  <c r="Q74" i="4"/>
  <c r="L74" i="4"/>
  <c r="D85" i="1"/>
  <c r="F27" i="1"/>
  <c r="D68" i="1"/>
  <c r="D74" i="1"/>
  <c r="L493" i="4"/>
  <c r="L467" i="4"/>
  <c r="Q467" i="4"/>
  <c r="L256" i="4"/>
  <c r="Q256" i="4"/>
  <c r="L197" i="4"/>
  <c r="Q197" i="4"/>
  <c r="Q50" i="4"/>
  <c r="L50" i="4"/>
  <c r="Q420" i="4"/>
  <c r="L420" i="4"/>
  <c r="Q370" i="4"/>
  <c r="L370" i="4"/>
  <c r="L363" i="4"/>
  <c r="Q363" i="4"/>
  <c r="L43" i="4"/>
  <c r="Q43" i="4"/>
  <c r="L413" i="4"/>
  <c r="Q413" i="4"/>
  <c r="L269" i="4"/>
  <c r="Q269" i="4"/>
  <c r="Q254" i="4"/>
  <c r="L254" i="4"/>
  <c r="L237" i="4"/>
  <c r="Q237" i="4"/>
  <c r="Q213" i="4"/>
  <c r="L213" i="4"/>
  <c r="L134" i="4"/>
  <c r="Q134" i="4"/>
  <c r="E26" i="1"/>
  <c r="D124" i="1"/>
  <c r="L492" i="4"/>
  <c r="Q492" i="4"/>
  <c r="L398" i="4"/>
  <c r="Q398" i="4"/>
  <c r="L253" i="4"/>
  <c r="Q253" i="4"/>
  <c r="L212" i="4"/>
  <c r="Q212" i="4"/>
  <c r="L157" i="4"/>
  <c r="Q157" i="4"/>
  <c r="L125" i="4"/>
  <c r="Q125" i="4"/>
  <c r="L63" i="4"/>
  <c r="Q63" i="4"/>
  <c r="L432" i="4"/>
  <c r="Q432" i="4"/>
  <c r="Q425" i="4"/>
  <c r="L425" i="4"/>
  <c r="L368" i="4"/>
  <c r="Q368" i="4"/>
  <c r="L361" i="4"/>
  <c r="Q361" i="4"/>
  <c r="L268" i="4"/>
  <c r="Q268" i="4"/>
  <c r="L108" i="4"/>
  <c r="Q108" i="4"/>
  <c r="L79" i="4"/>
  <c r="Q79" i="4"/>
  <c r="D80" i="1"/>
  <c r="L345" i="4"/>
  <c r="Q345" i="4"/>
  <c r="Q99" i="4"/>
  <c r="L99" i="4"/>
  <c r="L478" i="4"/>
  <c r="L116" i="4"/>
  <c r="Q257" i="4"/>
  <c r="Q159" i="4"/>
  <c r="F68" i="1"/>
  <c r="F74" i="1"/>
  <c r="Q42" i="4"/>
  <c r="L148" i="4"/>
  <c r="F18" i="4"/>
  <c r="F77" i="1"/>
  <c r="F63" i="1"/>
  <c r="F65" i="1"/>
  <c r="F76" i="1"/>
  <c r="R343" i="4"/>
  <c r="R305" i="4"/>
  <c r="R351" i="4"/>
  <c r="R92" i="4"/>
  <c r="R414" i="4"/>
  <c r="R491" i="4"/>
  <c r="R114" i="4"/>
  <c r="R172" i="4"/>
  <c r="R129" i="4"/>
  <c r="R490" i="4"/>
  <c r="R62" i="4"/>
  <c r="R12" i="4"/>
  <c r="R206" i="4"/>
  <c r="R4" i="4"/>
  <c r="R369" i="4"/>
  <c r="R482" i="4"/>
  <c r="R463" i="4"/>
  <c r="R319" i="4"/>
  <c r="R160" i="4"/>
  <c r="R236" i="4"/>
  <c r="R127" i="4"/>
  <c r="R115" i="4"/>
  <c r="R282" i="4"/>
  <c r="R428" i="4"/>
  <c r="R5" i="4"/>
  <c r="R63" i="4"/>
  <c r="R47" i="4"/>
  <c r="R148" i="4"/>
  <c r="R432" i="4"/>
  <c r="R398" i="4"/>
  <c r="R255" i="4"/>
  <c r="R15" i="4"/>
  <c r="R308" i="4"/>
  <c r="R476" i="4"/>
  <c r="R475" i="4"/>
  <c r="R474" i="4"/>
  <c r="R149" i="4"/>
  <c r="R161" i="4"/>
  <c r="R192" i="4"/>
  <c r="R90" i="4"/>
  <c r="R203" i="4"/>
  <c r="R57" i="4"/>
  <c r="R362" i="4"/>
  <c r="R94" i="4"/>
  <c r="R177" i="4"/>
  <c r="R76" i="4"/>
  <c r="R397" i="4"/>
  <c r="R43" i="4"/>
  <c r="R205" i="4"/>
  <c r="R197" i="4"/>
  <c r="R245" i="4"/>
  <c r="R195" i="4"/>
  <c r="R274" i="4"/>
  <c r="R167" i="4"/>
  <c r="R437" i="4"/>
  <c r="R138" i="4"/>
  <c r="R182" i="4"/>
  <c r="R355" i="4"/>
  <c r="R55" i="4"/>
  <c r="R344" i="4"/>
  <c r="R340" i="4"/>
  <c r="R22" i="4"/>
  <c r="R226" i="4"/>
  <c r="R243" i="4"/>
  <c r="R326" i="4"/>
  <c r="R135" i="4"/>
  <c r="R481" i="4"/>
  <c r="R50" i="4"/>
  <c r="R260" i="4"/>
  <c r="R134" i="4"/>
  <c r="R352" i="4"/>
  <c r="R104" i="4"/>
  <c r="R219" i="4"/>
  <c r="R250" i="4"/>
  <c r="R436" i="4"/>
  <c r="R45" i="4"/>
  <c r="R213" i="4"/>
  <c r="R502" i="4"/>
  <c r="R107" i="4"/>
  <c r="R227" i="4"/>
  <c r="R489" i="4"/>
  <c r="R395" i="4"/>
  <c r="R247" i="4"/>
  <c r="R404" i="4"/>
  <c r="R196" i="4"/>
  <c r="R455" i="4"/>
  <c r="R28" i="4"/>
  <c r="R175" i="4"/>
  <c r="R24" i="4"/>
  <c r="R279" i="4"/>
  <c r="R71" i="4"/>
  <c r="R176" i="4"/>
  <c r="R346" i="4"/>
  <c r="R271" i="4"/>
  <c r="R450" i="4"/>
  <c r="R29" i="4"/>
  <c r="R166" i="4"/>
  <c r="R36" i="4"/>
  <c r="R270" i="4"/>
  <c r="R321" i="4"/>
  <c r="R342" i="4"/>
  <c r="R146" i="4"/>
  <c r="R403" i="4"/>
  <c r="R306" i="4"/>
  <c r="R19" i="4"/>
  <c r="R74" i="4"/>
  <c r="R17" i="4"/>
  <c r="R82" i="4"/>
  <c r="R220" i="4"/>
  <c r="R170" i="4"/>
  <c r="R150" i="4"/>
  <c r="R230" i="4"/>
  <c r="R126" i="4"/>
  <c r="R284" i="4"/>
  <c r="R497" i="4"/>
  <c r="R307" i="4"/>
  <c r="R207" i="4"/>
  <c r="R34" i="4"/>
  <c r="R302" i="4"/>
  <c r="R180" i="4"/>
  <c r="R66" i="4"/>
  <c r="R417" i="4"/>
  <c r="R147" i="4"/>
  <c r="R299" i="4"/>
  <c r="R155" i="4"/>
  <c r="R322" i="4"/>
  <c r="R119" i="4"/>
  <c r="R479" i="4"/>
  <c r="R113" i="4"/>
  <c r="R91" i="4"/>
  <c r="R116" i="4"/>
  <c r="R487" i="4"/>
  <c r="R185" i="4"/>
  <c r="R140" i="4"/>
  <c r="R303" i="4"/>
  <c r="R169" i="4"/>
  <c r="R173" i="4"/>
  <c r="R18" i="4"/>
  <c r="R100" i="4"/>
  <c r="R239" i="4"/>
  <c r="R301" i="4"/>
  <c r="R443" i="4"/>
  <c r="R316" i="4"/>
  <c r="R179" i="4"/>
  <c r="R338" i="4"/>
  <c r="R110" i="4"/>
  <c r="R164" i="4"/>
  <c r="R365" i="4"/>
  <c r="R315" i="4"/>
  <c r="R123" i="4"/>
  <c r="R225" i="4"/>
  <c r="R368" i="4"/>
  <c r="R441" i="4"/>
  <c r="R477" i="4"/>
  <c r="R201" i="4"/>
  <c r="R383" i="4"/>
  <c r="R142" i="4"/>
  <c r="R495" i="4"/>
  <c r="R102" i="4"/>
  <c r="R61" i="4"/>
  <c r="R399" i="4"/>
  <c r="R190" i="4"/>
  <c r="R376" i="4"/>
  <c r="R86" i="4"/>
  <c r="R30" i="4"/>
  <c r="R499" i="4"/>
  <c r="R330" i="4"/>
  <c r="R25" i="4"/>
  <c r="R361" i="4"/>
  <c r="R451" i="4"/>
  <c r="R16" i="4"/>
  <c r="R194" i="4"/>
  <c r="R291" i="4"/>
  <c r="R222" i="4"/>
  <c r="R232" i="4"/>
  <c r="R151" i="4"/>
  <c r="R141" i="4"/>
  <c r="R21" i="4"/>
  <c r="R392" i="4"/>
  <c r="R183" i="4"/>
  <c r="R26" i="4"/>
  <c r="R357" i="4"/>
  <c r="R69" i="4"/>
  <c r="R118" i="4"/>
  <c r="R492" i="4"/>
  <c r="R462" i="4"/>
  <c r="R485" i="4"/>
  <c r="R393" i="4"/>
  <c r="R337" i="4"/>
  <c r="R97" i="4"/>
  <c r="R356" i="4"/>
  <c r="R354" i="4"/>
  <c r="R324" i="4"/>
  <c r="R44" i="4"/>
  <c r="R336" i="4"/>
  <c r="R320" i="4"/>
  <c r="R96" i="4"/>
  <c r="R103" i="4"/>
  <c r="R500" i="4"/>
  <c r="R238" i="4"/>
  <c r="R272" i="4"/>
  <c r="R350" i="4"/>
  <c r="R139" i="4"/>
  <c r="R120" i="4"/>
  <c r="R449" i="4"/>
  <c r="R377" i="4"/>
  <c r="R264" i="4"/>
  <c r="R389" i="4"/>
  <c r="R335" i="4"/>
  <c r="R257" i="4"/>
  <c r="R23" i="4"/>
  <c r="R235" i="4"/>
  <c r="R374" i="4"/>
  <c r="R503" i="4"/>
  <c r="R363" i="4"/>
  <c r="R249" i="4"/>
  <c r="R472" i="4"/>
  <c r="R410" i="4"/>
  <c r="R208" i="4"/>
  <c r="R124" i="4"/>
  <c r="R424" i="4"/>
  <c r="R469" i="4"/>
  <c r="R41" i="4"/>
  <c r="R125" i="4"/>
  <c r="R289" i="4"/>
  <c r="R366" i="4"/>
  <c r="R200" i="4"/>
  <c r="R388" i="4"/>
  <c r="R382" i="4"/>
  <c r="R121" i="4"/>
  <c r="R325" i="4"/>
  <c r="R75" i="4"/>
  <c r="R408" i="4"/>
  <c r="R433" i="4"/>
  <c r="R136" i="4"/>
  <c r="R411" i="4"/>
  <c r="R310" i="4"/>
  <c r="R370" i="4"/>
  <c r="R318" i="4"/>
  <c r="R353" i="4"/>
  <c r="R298" i="4"/>
  <c r="R188" i="4"/>
  <c r="R59" i="4"/>
  <c r="R171" i="4"/>
  <c r="R445" i="4"/>
  <c r="R9" i="4"/>
  <c r="R101" i="4"/>
  <c r="R231" i="4"/>
  <c r="R237" i="4"/>
  <c r="F31" i="4"/>
  <c r="R375" i="4"/>
  <c r="R333" i="4"/>
  <c r="R286" i="4"/>
  <c r="R117" i="4"/>
  <c r="R85" i="4"/>
  <c r="R46" i="4"/>
  <c r="R317" i="4"/>
  <c r="R296" i="4"/>
  <c r="R283" i="4"/>
  <c r="R256" i="4"/>
  <c r="R456" i="4"/>
  <c r="R156" i="4"/>
  <c r="R380" i="4"/>
  <c r="R345" i="4"/>
  <c r="R430" i="4"/>
  <c r="R241" i="4"/>
  <c r="R244" i="4"/>
  <c r="R426" i="4"/>
  <c r="R464" i="4"/>
  <c r="R158" i="4"/>
  <c r="R218" i="4"/>
  <c r="R221" i="4"/>
  <c r="R84" i="4"/>
  <c r="R154" i="4"/>
  <c r="R262" i="4"/>
  <c r="R132" i="4"/>
  <c r="R422" i="4"/>
  <c r="R470" i="4"/>
  <c r="R42" i="4"/>
  <c r="R327" i="4"/>
  <c r="R498" i="4"/>
  <c r="R416" i="4"/>
  <c r="R54" i="4"/>
  <c r="R386" i="4"/>
  <c r="R112" i="4"/>
  <c r="R52" i="4"/>
  <c r="R313" i="4"/>
  <c r="R198" i="4"/>
  <c r="R427" i="4"/>
  <c r="R293" i="4"/>
  <c r="R78" i="4"/>
  <c r="R70" i="4"/>
  <c r="R413" i="4"/>
  <c r="R67" i="4"/>
  <c r="R471" i="4"/>
  <c r="R60" i="4"/>
  <c r="R77" i="4"/>
  <c r="R144" i="4"/>
  <c r="R452" i="4"/>
  <c r="R391" i="4"/>
  <c r="R133" i="4"/>
  <c r="R390" i="4"/>
  <c r="R486" i="4"/>
  <c r="R95" i="4"/>
  <c r="R434" i="4"/>
  <c r="R20" i="4"/>
  <c r="R56" i="4"/>
  <c r="R80" i="4"/>
  <c r="R328" i="4"/>
  <c r="R93" i="4"/>
  <c r="R294" i="4"/>
  <c r="R49" i="4"/>
  <c r="R87" i="4"/>
  <c r="R501" i="4"/>
  <c r="R349" i="4"/>
  <c r="R73" i="4"/>
  <c r="R122" i="4"/>
  <c r="R467" i="4"/>
  <c r="R341" i="4"/>
  <c r="R494" i="4"/>
  <c r="R181" i="4"/>
  <c r="R478" i="4"/>
  <c r="R252" i="4"/>
  <c r="R27" i="4"/>
  <c r="R39" i="4"/>
  <c r="R323" i="4"/>
  <c r="R314" i="4"/>
  <c r="R228" i="4"/>
  <c r="R131" i="4"/>
  <c r="R214" i="4"/>
  <c r="R431" i="4"/>
  <c r="R277" i="4"/>
  <c r="R189" i="4"/>
  <c r="R379" i="4"/>
  <c r="R168" i="4"/>
  <c r="R216" i="4"/>
  <c r="R401" i="4"/>
  <c r="R128" i="4"/>
  <c r="R278" i="4"/>
  <c r="R331" i="4"/>
  <c r="R364" i="4"/>
  <c r="R99" i="4"/>
  <c r="R254" i="4"/>
  <c r="R258" i="4"/>
  <c r="R367" i="4"/>
  <c r="R359" i="4"/>
  <c r="R13" i="4"/>
  <c r="R297" i="4"/>
  <c r="R72" i="4"/>
  <c r="R418" i="4"/>
  <c r="R287" i="4"/>
  <c r="R285" i="4"/>
  <c r="R165" i="4"/>
  <c r="R31" i="4"/>
  <c r="R65" i="4"/>
  <c r="R51" i="4"/>
  <c r="R444" i="4"/>
  <c r="R458" i="4"/>
  <c r="R209" i="4"/>
  <c r="R334" i="4"/>
  <c r="R371" i="4"/>
  <c r="R480" i="4"/>
  <c r="R246" i="4"/>
  <c r="R358" i="4"/>
  <c r="R224" i="4"/>
  <c r="R276" i="4"/>
  <c r="R32" i="4"/>
  <c r="R89" i="4"/>
  <c r="R300" i="4"/>
  <c r="R438" i="4"/>
  <c r="R429" i="4"/>
  <c r="R268" i="4"/>
  <c r="R290" i="4"/>
  <c r="R184" i="4"/>
  <c r="R412" i="4"/>
  <c r="R68" i="4"/>
  <c r="R265" i="4"/>
  <c r="R406" i="4"/>
  <c r="R295" i="4"/>
  <c r="R233" i="4"/>
  <c r="R37" i="4"/>
  <c r="R269" i="4"/>
  <c r="R447" i="4"/>
  <c r="R7" i="4"/>
  <c r="R217" i="4"/>
  <c r="R394" i="4"/>
  <c r="R360" i="4"/>
  <c r="R423" i="4"/>
  <c r="R40" i="4"/>
  <c r="R14" i="4"/>
  <c r="R457" i="4"/>
  <c r="R347" i="4"/>
  <c r="R332" i="4"/>
  <c r="R460" i="4"/>
  <c r="R504" i="4"/>
  <c r="R137" i="4"/>
  <c r="R292" i="4"/>
  <c r="R153" i="4"/>
  <c r="R493" i="4"/>
  <c r="R454" i="4"/>
  <c r="R281" i="4"/>
  <c r="R186" i="4"/>
  <c r="R435" i="4"/>
  <c r="R253" i="4"/>
  <c r="R211" i="4"/>
  <c r="R240" i="4"/>
  <c r="R381" i="4"/>
  <c r="R215" i="4"/>
  <c r="R212" i="4"/>
  <c r="R402" i="4"/>
  <c r="R11" i="4"/>
  <c r="R473" i="4"/>
  <c r="R288" i="4"/>
  <c r="R496" i="4"/>
  <c r="R425" i="4"/>
  <c r="R309" i="4"/>
  <c r="R199" i="4"/>
  <c r="R48" i="4"/>
  <c r="R261" i="4"/>
  <c r="R83" i="4"/>
  <c r="R202" i="4"/>
  <c r="R10" i="4"/>
  <c r="R162" i="4"/>
  <c r="R461" i="4"/>
  <c r="R204" i="4"/>
  <c r="R79" i="4"/>
  <c r="R415" i="4"/>
  <c r="R311" i="4"/>
  <c r="R259" i="4"/>
  <c r="R191" i="4"/>
  <c r="R273" i="4"/>
  <c r="R263" i="4"/>
  <c r="R38" i="4"/>
  <c r="R468" i="4"/>
  <c r="R159" i="4"/>
  <c r="R348" i="4"/>
  <c r="R88" i="4"/>
  <c r="R312" i="4"/>
  <c r="R193" i="4"/>
  <c r="R223" i="4"/>
  <c r="R387" i="4"/>
  <c r="R251" i="4"/>
  <c r="R229" i="4"/>
  <c r="R372" i="4"/>
  <c r="R163" i="4"/>
  <c r="R400" i="4"/>
  <c r="R187" i="4"/>
  <c r="R421" i="4"/>
  <c r="R373" i="4"/>
  <c r="R484" i="4"/>
  <c r="R466" i="4"/>
  <c r="R145" i="4"/>
  <c r="R448" i="4"/>
  <c r="R266" i="4"/>
  <c r="R396" i="4"/>
  <c r="R35" i="4"/>
  <c r="R8" i="4"/>
  <c r="R152" i="4"/>
  <c r="R106" i="4"/>
  <c r="R275" i="4"/>
  <c r="R419" i="4"/>
  <c r="R442" i="4"/>
  <c r="R6" i="4"/>
  <c r="R420" i="4"/>
  <c r="R64" i="4"/>
  <c r="R304" i="4"/>
  <c r="R405" i="4"/>
  <c r="R248" i="4"/>
  <c r="R33" i="4"/>
  <c r="R439" i="4"/>
  <c r="R453" i="4"/>
  <c r="R280" i="4"/>
  <c r="R58" i="4"/>
  <c r="R465" i="4"/>
  <c r="R105" i="4"/>
  <c r="R108" i="4"/>
  <c r="R385" i="4"/>
  <c r="R409" i="4"/>
  <c r="R339" i="4"/>
  <c r="R98" i="4"/>
  <c r="R488" i="4"/>
  <c r="R157" i="4"/>
  <c r="R111" i="4"/>
  <c r="R234" i="4"/>
  <c r="R53" i="4"/>
  <c r="R130" i="4"/>
  <c r="R440" i="4"/>
  <c r="R384" i="4"/>
  <c r="R143" i="4"/>
  <c r="R407" i="4"/>
  <c r="R210" i="4"/>
  <c r="R483" i="4"/>
  <c r="R329" i="4"/>
  <c r="R459" i="4"/>
  <c r="R267" i="4"/>
  <c r="R174" i="4"/>
  <c r="R378" i="4"/>
  <c r="R178" i="4"/>
  <c r="R242" i="4"/>
  <c r="R446" i="4"/>
  <c r="R109" i="4"/>
  <c r="R81" i="4"/>
  <c r="E63" i="1"/>
  <c r="E65" i="1"/>
  <c r="E77" i="1"/>
  <c r="E76" i="1"/>
  <c r="M257" i="4"/>
  <c r="M452" i="4"/>
  <c r="M384" i="4"/>
  <c r="M367" i="4"/>
  <c r="M410" i="4"/>
  <c r="M94" i="4"/>
  <c r="M292" i="4"/>
  <c r="M481" i="4"/>
  <c r="M461" i="4"/>
  <c r="M333" i="4"/>
  <c r="M436" i="4"/>
  <c r="M38" i="4"/>
  <c r="M265" i="4"/>
  <c r="M504" i="4"/>
  <c r="M242" i="4"/>
  <c r="M422" i="4"/>
  <c r="M259" i="4"/>
  <c r="M191" i="4"/>
  <c r="M430" i="4"/>
  <c r="M189" i="4"/>
  <c r="M192" i="4"/>
  <c r="M5" i="4"/>
  <c r="M313" i="4"/>
  <c r="M488" i="4"/>
  <c r="M335" i="4"/>
  <c r="M185" i="4"/>
  <c r="M360" i="4"/>
  <c r="M144" i="4"/>
  <c r="M70" i="4"/>
  <c r="M433" i="4"/>
  <c r="M261" i="4"/>
  <c r="M314" i="4"/>
  <c r="M331" i="4"/>
  <c r="M448" i="4"/>
  <c r="M37" i="4"/>
  <c r="M460" i="4"/>
  <c r="M213" i="4"/>
  <c r="M85" i="4"/>
  <c r="M10" i="4"/>
  <c r="M297" i="4"/>
  <c r="M4" i="4"/>
  <c r="M19" i="4"/>
  <c r="M321" i="4"/>
  <c r="M145" i="4"/>
  <c r="M250" i="4"/>
  <c r="M84" i="4"/>
  <c r="M363" i="4"/>
  <c r="M411" i="4"/>
  <c r="M372" i="4"/>
  <c r="M426" i="4"/>
  <c r="M391" i="4"/>
  <c r="M286" i="4"/>
  <c r="M256" i="4"/>
  <c r="M102" i="4"/>
  <c r="M412" i="4"/>
  <c r="M110" i="4"/>
  <c r="M397" i="4"/>
  <c r="M345" i="4"/>
  <c r="M165" i="4"/>
  <c r="M357" i="4"/>
  <c r="M365" i="4"/>
  <c r="M494" i="4"/>
  <c r="M163" i="4"/>
  <c r="M352" i="4"/>
  <c r="M382" i="4"/>
  <c r="M105" i="4"/>
  <c r="M439" i="4"/>
  <c r="M278" i="4"/>
  <c r="M489" i="4"/>
  <c r="M493" i="4"/>
  <c r="M115" i="4"/>
  <c r="M101" i="4"/>
  <c r="M296" i="4"/>
  <c r="M59" i="4"/>
  <c r="M387" i="4"/>
  <c r="M217" i="4"/>
  <c r="M52" i="4"/>
  <c r="M476" i="4"/>
  <c r="M255" i="4"/>
  <c r="M322" i="4"/>
  <c r="M462" i="4"/>
  <c r="M164" i="4"/>
  <c r="M24" i="4"/>
  <c r="M60" i="4"/>
  <c r="M39" i="4"/>
  <c r="M66" i="4"/>
  <c r="M353" i="4"/>
  <c r="M200" i="4"/>
  <c r="M320" i="4"/>
  <c r="M485" i="4"/>
  <c r="M198" i="4"/>
  <c r="M450" i="4"/>
  <c r="M224" i="4"/>
  <c r="M31" i="4"/>
  <c r="M127" i="4"/>
  <c r="M171" i="4"/>
  <c r="M252" i="4"/>
  <c r="M470" i="4"/>
  <c r="M175" i="4"/>
  <c r="M106" i="4"/>
  <c r="M474" i="4"/>
  <c r="M89" i="4"/>
  <c r="M178" i="4"/>
  <c r="M406" i="4"/>
  <c r="M477" i="4"/>
  <c r="M371" i="4"/>
  <c r="M458" i="4"/>
  <c r="M301" i="4"/>
  <c r="M195" i="4"/>
  <c r="M498" i="4"/>
  <c r="M432" i="4"/>
  <c r="M138" i="4"/>
  <c r="M162" i="4"/>
  <c r="M103" i="4"/>
  <c r="M340" i="4"/>
  <c r="M298" i="4"/>
  <c r="M263" i="4"/>
  <c r="M316" i="4"/>
  <c r="M76" i="4"/>
  <c r="M486" i="4"/>
  <c r="M424" i="4"/>
  <c r="M186" i="4"/>
  <c r="M343" i="4"/>
  <c r="M495" i="4"/>
  <c r="M383" i="4"/>
  <c r="M378" i="4"/>
  <c r="M219" i="4"/>
  <c r="M159" i="4"/>
  <c r="M97" i="4"/>
  <c r="M445" i="4"/>
  <c r="M218" i="4"/>
  <c r="M28" i="4"/>
  <c r="M293" i="4"/>
  <c r="M379" i="4"/>
  <c r="M376" i="4"/>
  <c r="M271" i="4"/>
  <c r="M130" i="4"/>
  <c r="M160" i="4"/>
  <c r="M126" i="4"/>
  <c r="M30" i="4"/>
  <c r="M258" i="4"/>
  <c r="M403" i="4"/>
  <c r="M478" i="4"/>
  <c r="M69" i="4"/>
  <c r="M463" i="4"/>
  <c r="M268" i="4"/>
  <c r="M205" i="4"/>
  <c r="M188" i="4"/>
  <c r="M151" i="4"/>
  <c r="M209" i="4"/>
  <c r="M51" i="4"/>
  <c r="M323" i="4"/>
  <c r="M82" i="4"/>
  <c r="M80" i="4"/>
  <c r="M32" i="4"/>
  <c r="M358" i="4"/>
  <c r="M183" i="4"/>
  <c r="M73" i="4"/>
  <c r="M54" i="4"/>
  <c r="M122" i="4"/>
  <c r="M55" i="4"/>
  <c r="M123" i="4"/>
  <c r="M184" i="4"/>
  <c r="M78" i="4"/>
  <c r="M158" i="4"/>
  <c r="M269" i="4"/>
  <c r="M108" i="4"/>
  <c r="M277" i="4"/>
  <c r="M179" i="4"/>
  <c r="M17" i="4"/>
  <c r="M48" i="4"/>
  <c r="M394" i="4"/>
  <c r="M388" i="4"/>
  <c r="M451" i="4"/>
  <c r="M34" i="4"/>
  <c r="M317" i="4"/>
  <c r="M466" i="4"/>
  <c r="M139" i="4"/>
  <c r="M315" i="4"/>
  <c r="M441" i="4"/>
  <c r="M454" i="4"/>
  <c r="M427" i="4"/>
  <c r="M491" i="4"/>
  <c r="M299" i="4"/>
  <c r="M125" i="4"/>
  <c r="M246" i="4"/>
  <c r="M449" i="4"/>
  <c r="M155" i="4"/>
  <c r="M472" i="4"/>
  <c r="M284" i="4"/>
  <c r="M484" i="4"/>
  <c r="M25" i="4"/>
  <c r="M368" i="4"/>
  <c r="M350" i="4"/>
  <c r="M304" i="4"/>
  <c r="M241" i="4"/>
  <c r="M274" i="4"/>
  <c r="M133" i="4"/>
  <c r="M83" i="4"/>
  <c r="M420" i="4"/>
  <c r="M13" i="4"/>
  <c r="M180" i="4"/>
  <c r="M307" i="4"/>
  <c r="M22" i="4"/>
  <c r="M90" i="4"/>
  <c r="M503" i="4"/>
  <c r="M147" i="4"/>
  <c r="M396" i="4"/>
  <c r="M251" i="4"/>
  <c r="M6" i="4"/>
  <c r="M167" i="4"/>
  <c r="M11" i="4"/>
  <c r="M339" i="4"/>
  <c r="M210" i="4"/>
  <c r="M236" i="4"/>
  <c r="M414" i="4"/>
  <c r="M137" i="4"/>
  <c r="M291" i="4"/>
  <c r="M370" i="4"/>
  <c r="M319" i="4"/>
  <c r="M279" i="4"/>
  <c r="M203" i="4"/>
  <c r="M272" i="4"/>
  <c r="M417" i="4"/>
  <c r="M385" i="4"/>
  <c r="M146" i="4"/>
  <c r="M442" i="4"/>
  <c r="M140" i="4"/>
  <c r="M134" i="4"/>
  <c r="M132" i="4"/>
  <c r="M153" i="4"/>
  <c r="M49" i="4"/>
  <c r="M214" i="4"/>
  <c r="M457" i="4"/>
  <c r="M235" i="4"/>
  <c r="M154" i="4"/>
  <c r="M18" i="4"/>
  <c r="M166" i="4"/>
  <c r="M421" i="4"/>
  <c r="M119" i="4"/>
  <c r="M176" i="4"/>
  <c r="M262" i="4"/>
  <c r="M490" i="4"/>
  <c r="M288" i="4"/>
  <c r="M341" i="4"/>
  <c r="M471" i="4"/>
  <c r="M475" i="4"/>
  <c r="M483" i="4"/>
  <c r="M260" i="4"/>
  <c r="M248" i="4"/>
  <c r="M366" i="4"/>
  <c r="M459" i="4"/>
  <c r="M435" i="4"/>
  <c r="M104" i="4"/>
  <c r="M312" i="4"/>
  <c r="M440" i="4"/>
  <c r="M328" i="4"/>
  <c r="M207" i="4"/>
  <c r="M275" i="4"/>
  <c r="M346" i="4"/>
  <c r="M141" i="4"/>
  <c r="M413" i="4"/>
  <c r="M348" i="4"/>
  <c r="M227" i="4"/>
  <c r="M310" i="4"/>
  <c r="M64" i="4"/>
  <c r="M131" i="4"/>
  <c r="M468" i="4"/>
  <c r="M181" i="4"/>
  <c r="M423" i="4"/>
  <c r="M290" i="4"/>
  <c r="M45" i="4"/>
  <c r="M120" i="4"/>
  <c r="M172" i="4"/>
  <c r="M202" i="4"/>
  <c r="M332" i="4"/>
  <c r="M443" i="4"/>
  <c r="M390" i="4"/>
  <c r="M327" i="4"/>
  <c r="M216" i="4"/>
  <c r="M407" i="4"/>
  <c r="M42" i="4"/>
  <c r="M465" i="4"/>
  <c r="M121" i="4"/>
  <c r="M50" i="4"/>
  <c r="M238" i="4"/>
  <c r="M63" i="4"/>
  <c r="M114" i="4"/>
  <c r="M338" i="4"/>
  <c r="M456" i="4"/>
  <c r="M369" i="4"/>
  <c r="M71" i="4"/>
  <c r="M43" i="4"/>
  <c r="M68" i="4"/>
  <c r="M211" i="4"/>
  <c r="M196" i="4"/>
  <c r="M46" i="4"/>
  <c r="M237" i="4"/>
  <c r="M425" i="4"/>
  <c r="M308" i="4"/>
  <c r="M239" i="4"/>
  <c r="M395" i="4"/>
  <c r="M473" i="4"/>
  <c r="M75" i="4"/>
  <c r="M225" i="4"/>
  <c r="M344" i="4"/>
  <c r="M325" i="4"/>
  <c r="M455" i="4"/>
  <c r="M35" i="4"/>
  <c r="M294" i="4"/>
  <c r="M419" i="4"/>
  <c r="M149" i="4"/>
  <c r="M112" i="4"/>
  <c r="M81" i="4"/>
  <c r="M118" i="4"/>
  <c r="M289" i="4"/>
  <c r="M283" i="4"/>
  <c r="M208" i="4"/>
  <c r="M373" i="4"/>
  <c r="M21" i="4"/>
  <c r="M364" i="4"/>
  <c r="M285" i="4"/>
  <c r="M356" i="4"/>
  <c r="M231" i="4"/>
  <c r="M492" i="4"/>
  <c r="M33" i="4"/>
  <c r="M62" i="4"/>
  <c r="M86" i="4"/>
  <c r="M496" i="4"/>
  <c r="M182" i="4"/>
  <c r="M215" i="4"/>
  <c r="M44" i="4"/>
  <c r="M228" i="4"/>
  <c r="M245" i="4"/>
  <c r="M247" i="4"/>
  <c r="M482" i="4"/>
  <c r="M173" i="4"/>
  <c r="M58" i="4"/>
  <c r="M174" i="4"/>
  <c r="M142" i="4"/>
  <c r="M129" i="4"/>
  <c r="M124" i="4"/>
  <c r="M27" i="4"/>
  <c r="D81" i="1"/>
  <c r="D83" i="1"/>
  <c r="M221" i="4"/>
  <c r="M136" i="4"/>
  <c r="M497" i="4"/>
  <c r="M193" i="4"/>
  <c r="M47" i="4"/>
  <c r="M354" i="4"/>
  <c r="M20" i="4"/>
  <c r="M329" i="4"/>
  <c r="M401" i="4"/>
  <c r="M381" i="4"/>
  <c r="M467" i="4"/>
  <c r="M303" i="4"/>
  <c r="M302" i="4"/>
  <c r="M500" i="4"/>
  <c r="M170" i="4"/>
  <c r="M100" i="4"/>
  <c r="M229" i="4"/>
  <c r="M99" i="4"/>
  <c r="M453" i="4"/>
  <c r="M161" i="4"/>
  <c r="M201" i="4"/>
  <c r="M117" i="4"/>
  <c r="M273" i="4"/>
  <c r="M199" i="4"/>
  <c r="M150" i="4"/>
  <c r="M266" i="4"/>
  <c r="M324" i="4"/>
  <c r="M249" i="4"/>
  <c r="M74" i="4"/>
  <c r="M177" i="4"/>
  <c r="M88" i="4"/>
  <c r="M374" i="4"/>
  <c r="M418" i="4"/>
  <c r="M135" i="4"/>
  <c r="M67" i="4"/>
  <c r="M438" i="4"/>
  <c r="M361" i="4"/>
  <c r="M392" i="4"/>
  <c r="M408" i="4"/>
  <c r="M206" i="4"/>
  <c r="M29" i="4"/>
  <c r="M281" i="4"/>
  <c r="M347" i="4"/>
  <c r="M377" i="4"/>
  <c r="M232" i="4"/>
  <c r="M428" i="4"/>
  <c r="M480" i="4"/>
  <c r="M501" i="4"/>
  <c r="M157" i="4"/>
  <c r="M336" i="4"/>
  <c r="M393" i="4"/>
  <c r="M400" i="4"/>
  <c r="M276" i="4"/>
  <c r="M234" i="4"/>
  <c r="M65" i="4"/>
  <c r="M311" i="4"/>
  <c r="M342" i="4"/>
  <c r="M128" i="4"/>
  <c r="M359" i="4"/>
  <c r="M305" i="4"/>
  <c r="M26" i="4"/>
  <c r="M499" i="4"/>
  <c r="M402" i="4"/>
  <c r="M287" i="4"/>
  <c r="M194" i="4"/>
  <c r="M464" i="4"/>
  <c r="M56" i="4"/>
  <c r="M15" i="4"/>
  <c r="M318" i="4"/>
  <c r="M230" i="4"/>
  <c r="M204" i="4"/>
  <c r="M240" i="4"/>
  <c r="M254" i="4"/>
  <c r="M334" i="4"/>
  <c r="M415" i="4"/>
  <c r="M96" i="4"/>
  <c r="M148" i="4"/>
  <c r="M444" i="4"/>
  <c r="M282" i="4"/>
  <c r="M169" i="4"/>
  <c r="M16" i="4"/>
  <c r="M264" i="4"/>
  <c r="M87" i="4"/>
  <c r="M197" i="4"/>
  <c r="M168" i="4"/>
  <c r="M267" i="4"/>
  <c r="M61" i="4"/>
  <c r="M330" i="4"/>
  <c r="M41" i="4"/>
  <c r="M111" i="4"/>
  <c r="M223" i="4"/>
  <c r="M306" i="4"/>
  <c r="M270" i="4"/>
  <c r="M98" i="4"/>
  <c r="M386" i="4"/>
  <c r="M295" i="4"/>
  <c r="M220" i="4"/>
  <c r="M9" i="4"/>
  <c r="M351" i="4"/>
  <c r="M337" i="4"/>
  <c r="M409" i="4"/>
  <c r="M40" i="4"/>
  <c r="M404" i="4"/>
  <c r="M380" i="4"/>
  <c r="M91" i="4"/>
  <c r="M233" i="4"/>
  <c r="M226" i="4"/>
  <c r="M116" i="4"/>
  <c r="M300" i="4"/>
  <c r="M93" i="4"/>
  <c r="M253" i="4"/>
  <c r="M398" i="4"/>
  <c r="M143" i="4"/>
  <c r="M405" i="4"/>
  <c r="M156" i="4"/>
  <c r="M437" i="4"/>
  <c r="M326" i="4"/>
  <c r="M244" i="4"/>
  <c r="M53" i="4"/>
  <c r="M446" i="4"/>
  <c r="M243" i="4"/>
  <c r="M92" i="4"/>
  <c r="M109" i="4"/>
  <c r="M479" i="4"/>
  <c r="M280" i="4"/>
  <c r="M375" i="4"/>
  <c r="M212" i="4"/>
  <c r="M431" i="4"/>
  <c r="M434" i="4"/>
  <c r="M416" i="4"/>
  <c r="M187" i="4"/>
  <c r="M469" i="4"/>
  <c r="M113" i="4"/>
  <c r="M57" i="4"/>
  <c r="M8" i="4"/>
  <c r="M447" i="4"/>
  <c r="M355" i="4"/>
  <c r="M152" i="4"/>
  <c r="M389" i="4"/>
  <c r="M362" i="4"/>
  <c r="M190" i="4"/>
  <c r="M14" i="4"/>
  <c r="M36" i="4"/>
  <c r="M95" i="4"/>
  <c r="M72" i="4"/>
  <c r="M79" i="4"/>
  <c r="M429" i="4"/>
  <c r="M7" i="4"/>
  <c r="M502" i="4"/>
  <c r="M77" i="4"/>
  <c r="M309" i="4"/>
  <c r="M349" i="4"/>
  <c r="M23" i="4"/>
  <c r="M222" i="4"/>
  <c r="M487" i="4"/>
  <c r="M399" i="4"/>
  <c r="M12" i="4"/>
  <c r="M107" i="4"/>
  <c r="D128" i="1"/>
  <c r="D21" i="1"/>
  <c r="D64" i="1"/>
  <c r="D63" i="1"/>
  <c r="D76" i="1"/>
  <c r="D130" i="1"/>
  <c r="F21" i="1"/>
  <c r="D77" i="1"/>
  <c r="E64" i="1"/>
  <c r="E29" i="1"/>
  <c r="D70" i="1"/>
  <c r="D109" i="1"/>
  <c r="D112" i="1"/>
  <c r="F29" i="1"/>
  <c r="D65" i="1"/>
  <c r="D92" i="1"/>
  <c r="D100" i="1"/>
  <c r="F17" i="4"/>
  <c r="D160" i="1"/>
  <c r="D27" i="1"/>
  <c r="C17" i="4"/>
  <c r="D162" i="1"/>
  <c r="F30" i="4"/>
  <c r="F35" i="4"/>
  <c r="F33" i="4"/>
  <c r="D113" i="1"/>
  <c r="S287" i="4"/>
  <c r="S159" i="4"/>
  <c r="S323" i="4"/>
  <c r="S414" i="4"/>
  <c r="S381" i="4"/>
  <c r="S455" i="4"/>
  <c r="S48" i="4"/>
  <c r="S343" i="4"/>
  <c r="S422" i="4"/>
  <c r="S207" i="4"/>
  <c r="S59" i="4"/>
  <c r="S110" i="4"/>
  <c r="S302" i="4"/>
  <c r="S6" i="4"/>
  <c r="S236" i="4"/>
  <c r="S122" i="4"/>
  <c r="S142" i="4"/>
  <c r="S482" i="4"/>
  <c r="S150" i="4"/>
  <c r="S20" i="4"/>
  <c r="S102" i="4"/>
  <c r="S143" i="4"/>
  <c r="S24" i="4"/>
  <c r="S477" i="4"/>
  <c r="S56" i="4"/>
  <c r="S144" i="4"/>
  <c r="S310" i="4"/>
  <c r="S446" i="4"/>
  <c r="S226" i="4"/>
  <c r="S402" i="4"/>
  <c r="S279" i="4"/>
  <c r="S452" i="4"/>
  <c r="S476" i="4"/>
  <c r="S223" i="4"/>
  <c r="S115" i="4"/>
  <c r="S456" i="4"/>
  <c r="S394" i="4"/>
  <c r="S496" i="4"/>
  <c r="S471" i="4"/>
  <c r="S166" i="4"/>
  <c r="S98" i="4"/>
  <c r="S367" i="4"/>
  <c r="S124" i="4"/>
  <c r="S167" i="4"/>
  <c r="S431" i="4"/>
  <c r="S434" i="4"/>
  <c r="S412" i="4"/>
  <c r="S177" i="4"/>
  <c r="S427" i="4"/>
  <c r="S100" i="4"/>
  <c r="S365" i="4"/>
  <c r="S372" i="4"/>
  <c r="S160" i="4"/>
  <c r="S136" i="4"/>
  <c r="S366" i="4"/>
  <c r="S65" i="4"/>
  <c r="S75" i="4"/>
  <c r="S415" i="4"/>
  <c r="S82" i="4"/>
  <c r="S58" i="4"/>
  <c r="S118" i="4"/>
  <c r="S290" i="4"/>
  <c r="AI4" i="4"/>
  <c r="S247" i="4"/>
  <c r="S230" i="4"/>
  <c r="S277" i="4"/>
  <c r="S454" i="4"/>
  <c r="S305" i="4"/>
  <c r="S470" i="4"/>
  <c r="S441" i="4"/>
  <c r="S275" i="4"/>
  <c r="S428" i="4"/>
  <c r="S227" i="4"/>
  <c r="S458" i="4"/>
  <c r="S251" i="4"/>
  <c r="S188" i="4"/>
  <c r="S57" i="4"/>
  <c r="S66" i="4"/>
  <c r="S11" i="4"/>
  <c r="S111" i="4"/>
  <c r="S103" i="4"/>
  <c r="S262" i="4"/>
  <c r="S147" i="4"/>
  <c r="S179" i="4"/>
  <c r="S187" i="4"/>
  <c r="S324" i="4"/>
  <c r="S131" i="4"/>
  <c r="S137" i="4"/>
  <c r="S22" i="4"/>
  <c r="S55" i="4"/>
  <c r="S173" i="4"/>
  <c r="S36" i="4"/>
  <c r="S417" i="4"/>
  <c r="S35" i="4"/>
  <c r="S120" i="4"/>
  <c r="S479" i="4"/>
  <c r="S296" i="4"/>
  <c r="S369" i="4"/>
  <c r="S453" i="4"/>
  <c r="S463" i="4"/>
  <c r="S443" i="4"/>
  <c r="S360" i="4"/>
  <c r="S501" i="4"/>
  <c r="S322" i="4"/>
  <c r="S466" i="4"/>
  <c r="S320" i="4"/>
  <c r="S486" i="4"/>
  <c r="S418" i="4"/>
  <c r="S313" i="4"/>
  <c r="S438" i="4"/>
  <c r="S311" i="4"/>
  <c r="S32" i="4"/>
  <c r="S39" i="4"/>
  <c r="S45" i="4"/>
  <c r="S51" i="4"/>
  <c r="S248" i="4"/>
  <c r="S19" i="4"/>
  <c r="S206" i="4"/>
  <c r="S337" i="4"/>
  <c r="S231" i="4"/>
  <c r="S483" i="4"/>
  <c r="S358" i="4"/>
  <c r="S13" i="4"/>
  <c r="S377" i="4"/>
  <c r="S89" i="4"/>
  <c r="S151" i="4"/>
  <c r="S92" i="4"/>
  <c r="S170" i="4"/>
  <c r="S204" i="4"/>
  <c r="S289" i="4"/>
  <c r="S234" i="4"/>
  <c r="S321" i="4"/>
  <c r="S4" i="4"/>
  <c r="S96" i="4"/>
  <c r="S347" i="4"/>
  <c r="S21" i="4"/>
  <c r="S158" i="4"/>
  <c r="S244" i="4"/>
  <c r="S77" i="4"/>
  <c r="S139" i="4"/>
  <c r="S489" i="4"/>
  <c r="S76" i="4"/>
  <c r="S175" i="4"/>
  <c r="S308" i="4"/>
  <c r="S72" i="4"/>
  <c r="S85" i="4"/>
  <c r="S37" i="4"/>
  <c r="S10" i="4"/>
  <c r="S375" i="4"/>
  <c r="S15" i="4"/>
  <c r="S132" i="4"/>
  <c r="S17" i="4"/>
  <c r="S183" i="4"/>
  <c r="S349" i="4"/>
  <c r="S266" i="4"/>
  <c r="S344" i="4"/>
  <c r="S135" i="4"/>
  <c r="S354" i="4"/>
  <c r="S52" i="4"/>
  <c r="S40" i="4"/>
  <c r="S201" i="4"/>
  <c r="S502" i="4"/>
  <c r="S238" i="4"/>
  <c r="S156" i="4"/>
  <c r="S481" i="4"/>
  <c r="S9" i="4"/>
  <c r="S500" i="4"/>
  <c r="S330" i="4"/>
  <c r="S218" i="4"/>
  <c r="S450" i="4"/>
  <c r="S232" i="4"/>
  <c r="S447" i="4"/>
  <c r="S404" i="4"/>
  <c r="S233" i="4"/>
  <c r="S210" i="4"/>
  <c r="S235" i="4"/>
  <c r="S461" i="4"/>
  <c r="S405" i="4"/>
  <c r="S301" i="4"/>
  <c r="S260" i="4"/>
  <c r="S73" i="4"/>
  <c r="S46" i="4"/>
  <c r="S243" i="4"/>
  <c r="S267" i="4"/>
  <c r="S362" i="4"/>
  <c r="S342" i="4"/>
  <c r="S498" i="4"/>
  <c r="S259" i="4"/>
  <c r="S196" i="4"/>
  <c r="S278" i="4"/>
  <c r="S180" i="4"/>
  <c r="S487" i="4"/>
  <c r="S104" i="4"/>
  <c r="S437" i="4"/>
  <c r="S109" i="4"/>
  <c r="S411" i="4"/>
  <c r="S106" i="4"/>
  <c r="S250" i="4"/>
  <c r="S91" i="4"/>
  <c r="S327" i="4"/>
  <c r="S176" i="4"/>
  <c r="S41" i="4"/>
  <c r="S71" i="4"/>
  <c r="S216" i="4"/>
  <c r="S80" i="4"/>
  <c r="S171" i="4"/>
  <c r="S299" i="4"/>
  <c r="S97" i="4"/>
  <c r="S7" i="4"/>
  <c r="S44" i="4"/>
  <c r="S373" i="4"/>
  <c r="S86" i="4"/>
  <c r="S359" i="4"/>
  <c r="S245" i="4"/>
  <c r="S165" i="4"/>
  <c r="S69" i="4"/>
  <c r="S271" i="4"/>
  <c r="S406" i="4"/>
  <c r="S419" i="4"/>
  <c r="S186" i="4"/>
  <c r="S380" i="4"/>
  <c r="S215" i="4"/>
  <c r="S386" i="4"/>
  <c r="S329" i="4"/>
  <c r="S312" i="4"/>
  <c r="S332" i="4"/>
  <c r="S205" i="4"/>
  <c r="S315" i="4"/>
  <c r="S488" i="4"/>
  <c r="S416" i="4"/>
  <c r="S140" i="4"/>
  <c r="S465" i="4"/>
  <c r="S194" i="4"/>
  <c r="S211" i="4"/>
  <c r="S78" i="4"/>
  <c r="S264" i="4"/>
  <c r="S429" i="4"/>
  <c r="S284" i="4"/>
  <c r="S181" i="4"/>
  <c r="S49" i="4"/>
  <c r="S18" i="4"/>
  <c r="S193" i="4"/>
  <c r="S83" i="4"/>
  <c r="S229" i="4"/>
  <c r="S27" i="4"/>
  <c r="S408" i="4"/>
  <c r="S87" i="4"/>
  <c r="S356" i="4"/>
  <c r="S64" i="4"/>
  <c r="S191" i="4"/>
  <c r="S34" i="4"/>
  <c r="S94" i="4"/>
  <c r="S217" i="4"/>
  <c r="S399" i="4"/>
  <c r="S385" i="4"/>
  <c r="S451" i="4"/>
  <c r="S468" i="4"/>
  <c r="S47" i="4"/>
  <c r="S318" i="4"/>
  <c r="S261" i="4"/>
  <c r="S326" i="4"/>
  <c r="S485" i="4"/>
  <c r="S240" i="4"/>
  <c r="S241" i="4"/>
  <c r="S364" i="4"/>
  <c r="S319" i="4"/>
  <c r="S355" i="4"/>
  <c r="S274" i="4"/>
  <c r="S270" i="4"/>
  <c r="S464" i="4"/>
  <c r="S309" i="4"/>
  <c r="S303" i="4"/>
  <c r="S293" i="4"/>
  <c r="S382" i="4"/>
  <c r="S168" i="4"/>
  <c r="S114" i="4"/>
  <c r="S12" i="4"/>
  <c r="S155" i="4"/>
  <c r="S490" i="4"/>
  <c r="S184" i="4"/>
  <c r="S199" i="4"/>
  <c r="S480" i="4"/>
  <c r="S316" i="4"/>
  <c r="S285" i="4"/>
  <c r="S340" i="4"/>
  <c r="S397" i="4"/>
  <c r="S283" i="4"/>
  <c r="S33" i="4"/>
  <c r="S304" i="4"/>
  <c r="S145" i="4"/>
  <c r="S396" i="4"/>
  <c r="S164" i="4"/>
  <c r="S341" i="4"/>
  <c r="S117" i="4"/>
  <c r="S474" i="4"/>
  <c r="S119" i="4"/>
  <c r="S219" i="4"/>
  <c r="S350" i="4"/>
  <c r="S391" i="4"/>
  <c r="S430" i="4"/>
  <c r="S389" i="4"/>
  <c r="S445" i="4"/>
  <c r="S300" i="4"/>
  <c r="S306" i="4"/>
  <c r="S178" i="4"/>
  <c r="S81" i="4"/>
  <c r="S172" i="4"/>
  <c r="S352" i="4"/>
  <c r="S61" i="4"/>
  <c r="S214" i="4"/>
  <c r="S331" i="4"/>
  <c r="S444" i="4"/>
  <c r="S499" i="4"/>
  <c r="S30" i="4"/>
  <c r="S421" i="4"/>
  <c r="S246" i="4"/>
  <c r="S29" i="4"/>
  <c r="S126" i="4"/>
  <c r="S276" i="4"/>
  <c r="S190" i="4"/>
  <c r="S38" i="4"/>
  <c r="S146" i="4"/>
  <c r="S42" i="4"/>
  <c r="S195" i="4"/>
  <c r="S297" i="4"/>
  <c r="S409" i="4"/>
  <c r="S348" i="4"/>
  <c r="S459" i="4"/>
  <c r="S473" i="4"/>
  <c r="S252" i="4"/>
  <c r="S174" i="4"/>
  <c r="S163" i="4"/>
  <c r="S101" i="4"/>
  <c r="S203" i="4"/>
  <c r="S62" i="4"/>
  <c r="S335" i="4"/>
  <c r="S16" i="4"/>
  <c r="S149" i="4"/>
  <c r="S495" i="4"/>
  <c r="S220" i="4"/>
  <c r="S333" i="4"/>
  <c r="S494" i="4"/>
  <c r="S449" i="4"/>
  <c r="S338" i="4"/>
  <c r="S88" i="4"/>
  <c r="S23" i="4"/>
  <c r="S107" i="4"/>
  <c r="S228" i="4"/>
  <c r="S472" i="4"/>
  <c r="S393" i="4"/>
  <c r="S388" i="4"/>
  <c r="S123" i="4"/>
  <c r="S314" i="4"/>
  <c r="S239" i="4"/>
  <c r="S281" i="4"/>
  <c r="S475" i="4"/>
  <c r="S387" i="4"/>
  <c r="S298" i="4"/>
  <c r="S371" i="4"/>
  <c r="S440" i="4"/>
  <c r="S504" i="4"/>
  <c r="S127" i="4"/>
  <c r="S407" i="4"/>
  <c r="S189" i="4"/>
  <c r="S334" i="4"/>
  <c r="S224" i="4"/>
  <c r="S403" i="4"/>
  <c r="S435" i="4"/>
  <c r="S133" i="4"/>
  <c r="S25" i="4"/>
  <c r="S154" i="4"/>
  <c r="S112" i="4"/>
  <c r="S491" i="4"/>
  <c r="S503" i="4"/>
  <c r="S353" i="4"/>
  <c r="S400" i="4"/>
  <c r="S182" i="4"/>
  <c r="S307" i="4"/>
  <c r="S392" i="4"/>
  <c r="S295" i="4"/>
  <c r="S462" i="4"/>
  <c r="S70" i="4"/>
  <c r="S357" i="4"/>
  <c r="S152" i="4"/>
  <c r="S31" i="4"/>
  <c r="S291" i="4"/>
  <c r="S442" i="4"/>
  <c r="S28" i="4"/>
  <c r="S469" i="4"/>
  <c r="S401" i="4"/>
  <c r="S426" i="4"/>
  <c r="S222" i="4"/>
  <c r="S221" i="4"/>
  <c r="S317" i="4"/>
  <c r="S93" i="4"/>
  <c r="S128" i="4"/>
  <c r="S460" i="4"/>
  <c r="S390" i="4"/>
  <c r="S433" i="4"/>
  <c r="S325" i="4"/>
  <c r="S497" i="4"/>
  <c r="S90" i="4"/>
  <c r="S346" i="4"/>
  <c r="S141" i="4"/>
  <c r="S376" i="4"/>
  <c r="S374" i="4"/>
  <c r="S424" i="4"/>
  <c r="S339" i="4"/>
  <c r="S5" i="4"/>
  <c r="S54" i="4"/>
  <c r="S383" i="4"/>
  <c r="S484" i="4"/>
  <c r="S161" i="4"/>
  <c r="S202" i="4"/>
  <c r="S282" i="4"/>
  <c r="S378" i="4"/>
  <c r="S292" i="4"/>
  <c r="S384" i="4"/>
  <c r="S257" i="4"/>
  <c r="S185" i="4"/>
  <c r="S263" i="4"/>
  <c r="S255" i="4"/>
  <c r="S60" i="4"/>
  <c r="S8" i="4"/>
  <c r="S272" i="4"/>
  <c r="S116" i="4"/>
  <c r="S84" i="4"/>
  <c r="S50" i="4"/>
  <c r="S43" i="4"/>
  <c r="S328" i="4"/>
  <c r="S467" i="4"/>
  <c r="S370" i="4"/>
  <c r="S63" i="4"/>
  <c r="S336" i="4"/>
  <c r="S130" i="4"/>
  <c r="S268" i="4"/>
  <c r="S448" i="4"/>
  <c r="S265" i="4"/>
  <c r="S125" i="4"/>
  <c r="S198" i="4"/>
  <c r="S368" i="4"/>
  <c r="S253" i="4"/>
  <c r="S432" i="4"/>
  <c r="S492" i="4"/>
  <c r="S99" i="4"/>
  <c r="S493" i="4"/>
  <c r="S273" i="4"/>
  <c r="S208" i="4"/>
  <c r="S79" i="4"/>
  <c r="S410" i="4"/>
  <c r="S249" i="4"/>
  <c r="S256" i="4"/>
  <c r="S67" i="4"/>
  <c r="S395" i="4"/>
  <c r="S209" i="4"/>
  <c r="S14" i="4"/>
  <c r="S478" i="4"/>
  <c r="S148" i="4"/>
  <c r="S457" i="4"/>
  <c r="S153" i="4"/>
  <c r="S269" i="4"/>
  <c r="S280" i="4"/>
  <c r="S413" i="4"/>
  <c r="S68" i="4"/>
  <c r="S134" i="4"/>
  <c r="S351" i="4"/>
  <c r="S169" i="4"/>
  <c r="S138" i="4"/>
  <c r="S361" i="4"/>
  <c r="S379" i="4"/>
  <c r="S212" i="4"/>
  <c r="S345" i="4"/>
  <c r="S294" i="4"/>
  <c r="S436" i="4"/>
  <c r="S420" i="4"/>
  <c r="S254" i="4"/>
  <c r="S108" i="4"/>
  <c r="S157" i="4"/>
  <c r="S363" i="4"/>
  <c r="S425" i="4"/>
  <c r="S439" i="4"/>
  <c r="S237" i="4"/>
  <c r="S197" i="4"/>
  <c r="S74" i="4"/>
  <c r="S286" i="4"/>
  <c r="S213" i="4"/>
  <c r="S26" i="4"/>
  <c r="S129" i="4"/>
  <c r="S192" i="4"/>
  <c r="S162" i="4"/>
  <c r="S242" i="4"/>
  <c r="S113" i="4"/>
  <c r="S423" i="4"/>
  <c r="S225" i="4"/>
  <c r="S398" i="4"/>
  <c r="S200" i="4"/>
  <c r="S121" i="4"/>
  <c r="S53" i="4"/>
  <c r="S95" i="4"/>
  <c r="S288" i="4"/>
  <c r="S105" i="4"/>
  <c r="S258" i="4"/>
  <c r="X244" i="4"/>
  <c r="X172" i="4"/>
  <c r="X266" i="4"/>
  <c r="X472" i="4"/>
  <c r="X234" i="4"/>
  <c r="X216" i="4"/>
  <c r="X352" i="4"/>
  <c r="X504" i="4"/>
  <c r="X490" i="4"/>
  <c r="X298" i="4"/>
  <c r="X257" i="4"/>
  <c r="X469" i="4"/>
  <c r="X77" i="4"/>
  <c r="X201" i="4"/>
  <c r="X247" i="4"/>
  <c r="X44" i="4"/>
  <c r="X282" i="4"/>
  <c r="X357" i="4"/>
  <c r="X487" i="4"/>
  <c r="X124" i="4"/>
  <c r="X34" i="4"/>
  <c r="X236" i="4"/>
  <c r="X139" i="4"/>
  <c r="X259" i="4"/>
  <c r="X176" i="4"/>
  <c r="X107" i="4"/>
  <c r="X110" i="4"/>
  <c r="X299" i="4"/>
  <c r="X241" i="4"/>
  <c r="X323" i="4"/>
  <c r="X414" i="4"/>
  <c r="X143" i="4"/>
  <c r="X54" i="4"/>
  <c r="X48" i="4"/>
  <c r="X382" i="4"/>
  <c r="X405" i="4"/>
  <c r="X461" i="4"/>
  <c r="X219" i="4"/>
  <c r="X182" i="4"/>
  <c r="X350" i="4"/>
  <c r="X391" i="4"/>
  <c r="X392" i="4"/>
  <c r="X316" i="4"/>
  <c r="X338" i="4"/>
  <c r="X400" i="4"/>
  <c r="X193" i="4"/>
  <c r="X437" i="4"/>
  <c r="X61" i="4"/>
  <c r="X155" i="4"/>
  <c r="X165" i="4"/>
  <c r="X150" i="4"/>
  <c r="X12" i="4"/>
  <c r="X96" i="4"/>
  <c r="X250" i="4"/>
  <c r="X159" i="4"/>
  <c r="X301" i="4"/>
  <c r="X375" i="4"/>
  <c r="X92" i="4"/>
  <c r="X491" i="4"/>
  <c r="X111" i="4"/>
  <c r="X412" i="4"/>
  <c r="X86" i="4"/>
  <c r="X64" i="4"/>
  <c r="X174" i="4"/>
  <c r="X71" i="4"/>
  <c r="X483" i="4"/>
  <c r="X310" i="4"/>
  <c r="X404" i="4"/>
  <c r="X460" i="4"/>
  <c r="X205" i="4"/>
  <c r="X488" i="4"/>
  <c r="X217" i="4"/>
  <c r="X399" i="4"/>
  <c r="X451" i="4"/>
  <c r="X468" i="4"/>
  <c r="X449" i="4"/>
  <c r="X403" i="4"/>
  <c r="X292" i="4"/>
  <c r="X163" i="4"/>
  <c r="X373" i="4"/>
  <c r="X45" i="4"/>
  <c r="X260" i="4"/>
  <c r="X127" i="4"/>
  <c r="X137" i="4"/>
  <c r="X319" i="4"/>
  <c r="X152" i="4"/>
  <c r="X170" i="4"/>
  <c r="X151" i="4"/>
  <c r="X229" i="4"/>
  <c r="X263" i="4"/>
  <c r="X72" i="4"/>
  <c r="X360" i="4"/>
  <c r="X39" i="4"/>
  <c r="X284" i="4"/>
  <c r="X7" i="4"/>
  <c r="X22" i="4"/>
  <c r="X120" i="4"/>
  <c r="X103" i="4"/>
  <c r="X52" i="4"/>
  <c r="X276" i="4"/>
  <c r="X355" i="4"/>
  <c r="X383" i="4"/>
  <c r="X471" i="4"/>
  <c r="X473" i="4"/>
  <c r="X295" i="4"/>
  <c r="X202" i="4"/>
  <c r="X331" i="4"/>
  <c r="X444" i="4"/>
  <c r="X499" i="4"/>
  <c r="X497" i="4"/>
  <c r="X475" i="4"/>
  <c r="X462" i="4"/>
  <c r="X326" i="4"/>
  <c r="X147" i="4"/>
  <c r="X341" i="4"/>
  <c r="X29" i="4"/>
  <c r="X119" i="4"/>
  <c r="X94" i="4"/>
  <c r="X255" i="4"/>
  <c r="X24" i="4"/>
  <c r="X228" i="4"/>
  <c r="X123" i="4"/>
  <c r="X173" i="4"/>
  <c r="X231" i="4"/>
  <c r="X28" i="4"/>
  <c r="X411" i="4"/>
  <c r="X442" i="4"/>
  <c r="X11" i="4"/>
  <c r="X20" i="4"/>
  <c r="X206" i="4"/>
  <c r="X453" i="4"/>
  <c r="X419" i="4"/>
  <c r="X187" i="4"/>
  <c r="X75" i="4"/>
  <c r="X463" i="4"/>
  <c r="X296" i="4"/>
  <c r="X15" i="4"/>
  <c r="X132" i="4"/>
  <c r="X274" i="4"/>
  <c r="X188" i="4"/>
  <c r="X476" i="4"/>
  <c r="X376" i="4"/>
  <c r="X226" i="4"/>
  <c r="X402" i="4"/>
  <c r="X279" i="4"/>
  <c r="X452" i="4"/>
  <c r="X223" i="4"/>
  <c r="X115" i="4"/>
  <c r="X224" i="4"/>
  <c r="X482" i="4"/>
  <c r="X306" i="4"/>
  <c r="X131" i="4"/>
  <c r="X245" i="4"/>
  <c r="X13" i="4"/>
  <c r="X180" i="4"/>
  <c r="X91" i="4"/>
  <c r="X101" i="4"/>
  <c r="X62" i="4"/>
  <c r="X191" i="4"/>
  <c r="X80" i="4"/>
  <c r="X178" i="4"/>
  <c r="X161" i="4"/>
  <c r="X142" i="4"/>
  <c r="X479" i="4"/>
  <c r="X160" i="4"/>
  <c r="X362" i="4"/>
  <c r="X261" i="4"/>
  <c r="X271" i="4"/>
  <c r="X168" i="4"/>
  <c r="X291" i="4"/>
  <c r="X396" i="4"/>
  <c r="X149" i="4"/>
  <c r="X335" i="4"/>
  <c r="X388" i="4"/>
  <c r="X381" i="4"/>
  <c r="X330" i="4"/>
  <c r="X239" i="4"/>
  <c r="X416" i="4"/>
  <c r="X458" i="4"/>
  <c r="X277" i="4"/>
  <c r="X454" i="4"/>
  <c r="X305" i="4"/>
  <c r="X470" i="4"/>
  <c r="X275" i="4"/>
  <c r="X428" i="4"/>
  <c r="X318" i="4"/>
  <c r="X302" i="4"/>
  <c r="X374" i="4"/>
  <c r="X343" i="4"/>
  <c r="X434" i="4"/>
  <c r="X73" i="4"/>
  <c r="X435" i="4"/>
  <c r="X146" i="4"/>
  <c r="X240" i="4"/>
  <c r="X87" i="4"/>
  <c r="X133" i="4"/>
  <c r="X78" i="4"/>
  <c r="X415" i="4"/>
  <c r="X267" i="4"/>
  <c r="X356" i="4"/>
  <c r="X154" i="4"/>
  <c r="X218" i="4"/>
  <c r="X164" i="4"/>
  <c r="X207" i="4"/>
  <c r="X325" i="4"/>
  <c r="X495" i="4"/>
  <c r="X446" i="4"/>
  <c r="X283" i="4"/>
  <c r="X441" i="4"/>
  <c r="X424" i="4"/>
  <c r="X322" i="4"/>
  <c r="X466" i="4"/>
  <c r="X320" i="4"/>
  <c r="X418" i="4"/>
  <c r="X313" i="4"/>
  <c r="X438" i="4"/>
  <c r="X394" i="4"/>
  <c r="X252" i="4"/>
  <c r="X190" i="4"/>
  <c r="X502" i="4"/>
  <c r="X83" i="4"/>
  <c r="X181" i="4"/>
  <c r="X158" i="4"/>
  <c r="X55" i="4"/>
  <c r="X65" i="4"/>
  <c r="X371" i="4"/>
  <c r="X114" i="4"/>
  <c r="X194" i="4"/>
  <c r="X59" i="4"/>
  <c r="X46" i="4"/>
  <c r="X88" i="4"/>
  <c r="X422" i="4"/>
  <c r="X85" i="4"/>
  <c r="X90" i="4"/>
  <c r="X324" i="4"/>
  <c r="X100" i="4"/>
  <c r="X166" i="4"/>
  <c r="X49" i="4"/>
  <c r="X122" i="4"/>
  <c r="X390" i="4"/>
  <c r="X367" i="4"/>
  <c r="X386" i="4"/>
  <c r="X346" i="4"/>
  <c r="X378" i="4"/>
  <c r="X195" i="4"/>
  <c r="X384" i="4"/>
  <c r="X433" i="4"/>
  <c r="X409" i="4"/>
  <c r="X222" i="4"/>
  <c r="X32" i="4"/>
  <c r="X238" i="4"/>
  <c r="X500" i="4"/>
  <c r="X481" i="4"/>
  <c r="X126" i="4"/>
  <c r="X278" i="4"/>
  <c r="X27" i="4"/>
  <c r="X37" i="4"/>
  <c r="X243" i="4"/>
  <c r="X82" i="4"/>
  <c r="X204" i="4"/>
  <c r="X196" i="4"/>
  <c r="X31" i="4"/>
  <c r="X97" i="4"/>
  <c r="X287" i="4"/>
  <c r="X498" i="4"/>
  <c r="X57" i="4"/>
  <c r="X230" i="4"/>
  <c r="X81" i="4"/>
  <c r="X36" i="4"/>
  <c r="X262" i="4"/>
  <c r="X21" i="4"/>
  <c r="X58" i="4"/>
  <c r="X145" i="4"/>
  <c r="X486" i="4"/>
  <c r="X445" i="4"/>
  <c r="X397" i="4"/>
  <c r="X315" i="4"/>
  <c r="X401" i="4"/>
  <c r="X220" i="4"/>
  <c r="X426" i="4"/>
  <c r="X494" i="4"/>
  <c r="X235" i="4"/>
  <c r="X221" i="4"/>
  <c r="X372" i="4"/>
  <c r="X308" i="4"/>
  <c r="X417" i="4"/>
  <c r="X51" i="4"/>
  <c r="X141" i="4"/>
  <c r="X354" i="4"/>
  <c r="X342" i="4"/>
  <c r="X9" i="4"/>
  <c r="X179" i="4"/>
  <c r="X366" i="4"/>
  <c r="X465" i="4"/>
  <c r="X23" i="4"/>
  <c r="X69" i="4"/>
  <c r="X144" i="4"/>
  <c r="X304" i="4"/>
  <c r="X183" i="4"/>
  <c r="X171" i="4"/>
  <c r="X431" i="4"/>
  <c r="X358" i="4"/>
  <c r="X427" i="4"/>
  <c r="X214" i="4"/>
  <c r="X117" i="4"/>
  <c r="X484" i="4"/>
  <c r="X189" i="4"/>
  <c r="X30" i="4"/>
  <c r="X389" i="4"/>
  <c r="X450" i="4"/>
  <c r="X232" i="4"/>
  <c r="X447" i="4"/>
  <c r="X233" i="4"/>
  <c r="X210" i="4"/>
  <c r="X303" i="4"/>
  <c r="X293" i="4"/>
  <c r="X184" i="4"/>
  <c r="X289" i="4"/>
  <c r="X501" i="4"/>
  <c r="X93" i="4"/>
  <c r="X349" i="4"/>
  <c r="X359" i="4"/>
  <c r="X76" i="4"/>
  <c r="X136" i="4"/>
  <c r="X474" i="4"/>
  <c r="X5" i="4"/>
  <c r="X156" i="4"/>
  <c r="X66" i="4"/>
  <c r="X300" i="4"/>
  <c r="X6" i="4"/>
  <c r="X112" i="4"/>
  <c r="X135" i="4"/>
  <c r="X167" i="4"/>
  <c r="X42" i="4"/>
  <c r="X406" i="4"/>
  <c r="X38" i="4"/>
  <c r="X203" i="4"/>
  <c r="X177" i="4"/>
  <c r="X199" i="4"/>
  <c r="X443" i="4"/>
  <c r="X333" i="4"/>
  <c r="X385" i="4"/>
  <c r="X348" i="4"/>
  <c r="X387" i="4"/>
  <c r="X456" i="4"/>
  <c r="X407" i="4"/>
  <c r="X285" i="4"/>
  <c r="X340" i="4"/>
  <c r="X334" i="4"/>
  <c r="X47" i="4"/>
  <c r="X496" i="4"/>
  <c r="X353" i="4"/>
  <c r="X4" i="4"/>
  <c r="X41" i="4"/>
  <c r="X347" i="4"/>
  <c r="X40" i="4"/>
  <c r="X227" i="4"/>
  <c r="X281" i="4"/>
  <c r="X321" i="4"/>
  <c r="X503" i="4"/>
  <c r="X33" i="4"/>
  <c r="X56" i="4"/>
  <c r="X128" i="4"/>
  <c r="X311" i="4"/>
  <c r="X312" i="4"/>
  <c r="X35" i="4"/>
  <c r="X140" i="4"/>
  <c r="X339" i="4"/>
  <c r="X489" i="4"/>
  <c r="X459" i="4"/>
  <c r="X332" i="4"/>
  <c r="X19" i="4"/>
  <c r="X211" i="4"/>
  <c r="X377" i="4"/>
  <c r="X251" i="4"/>
  <c r="X430" i="4"/>
  <c r="X18" i="4"/>
  <c r="X25" i="4"/>
  <c r="X89" i="4"/>
  <c r="X270" i="4"/>
  <c r="X109" i="4"/>
  <c r="X98" i="4"/>
  <c r="X455" i="4"/>
  <c r="X17" i="4"/>
  <c r="X186" i="4"/>
  <c r="X421" i="4"/>
  <c r="X290" i="4"/>
  <c r="X16" i="4"/>
  <c r="X175" i="4"/>
  <c r="X10" i="4"/>
  <c r="X314" i="4"/>
  <c r="X264" i="4"/>
  <c r="X364" i="4"/>
  <c r="X106" i="4"/>
  <c r="X104" i="4"/>
  <c r="X380" i="4"/>
  <c r="X408" i="4"/>
  <c r="X393" i="4"/>
  <c r="X297" i="4"/>
  <c r="X464" i="4"/>
  <c r="X344" i="4"/>
  <c r="X337" i="4"/>
  <c r="X369" i="4"/>
  <c r="X480" i="4"/>
  <c r="X317" i="4"/>
  <c r="X215" i="4"/>
  <c r="X248" i="4"/>
  <c r="X365" i="4"/>
  <c r="X429" i="4"/>
  <c r="X70" i="4"/>
  <c r="X102" i="4"/>
  <c r="X307" i="4"/>
  <c r="X329" i="4"/>
  <c r="X440" i="4"/>
  <c r="X477" i="4"/>
  <c r="X485" i="4"/>
  <c r="X118" i="4"/>
  <c r="X327" i="4"/>
  <c r="X246" i="4"/>
  <c r="X309" i="4"/>
  <c r="X185" i="4"/>
  <c r="X60" i="4"/>
  <c r="X121" i="4"/>
  <c r="X53" i="4"/>
  <c r="X95" i="4"/>
  <c r="X288" i="4"/>
  <c r="X432" i="4"/>
  <c r="X268" i="4"/>
  <c r="X105" i="4"/>
  <c r="X258" i="4"/>
  <c r="X272" i="4"/>
  <c r="X116" i="4"/>
  <c r="X84" i="4"/>
  <c r="X50" i="4"/>
  <c r="X43" i="4"/>
  <c r="X328" i="4"/>
  <c r="X467" i="4"/>
  <c r="X63" i="4"/>
  <c r="X130" i="4"/>
  <c r="X395" i="4"/>
  <c r="X448" i="4"/>
  <c r="X410" i="4"/>
  <c r="X249" i="4"/>
  <c r="X14" i="4"/>
  <c r="X256" i="4"/>
  <c r="X8" i="4"/>
  <c r="X370" i="4"/>
  <c r="X336" i="4"/>
  <c r="X492" i="4"/>
  <c r="X265" i="4"/>
  <c r="X125" i="4"/>
  <c r="X478" i="4"/>
  <c r="X99" i="4"/>
  <c r="X209" i="4"/>
  <c r="X67" i="4"/>
  <c r="X273" i="4"/>
  <c r="X208" i="4"/>
  <c r="X79" i="4"/>
  <c r="X368" i="4"/>
  <c r="X253" i="4"/>
  <c r="X269" i="4"/>
  <c r="X280" i="4"/>
  <c r="X457" i="4"/>
  <c r="X153" i="4"/>
  <c r="X436" i="4"/>
  <c r="X113" i="4"/>
  <c r="X413" i="4"/>
  <c r="X68" i="4"/>
  <c r="X134" i="4"/>
  <c r="X294" i="4"/>
  <c r="X192" i="4"/>
  <c r="X254" i="4"/>
  <c r="X439" i="4"/>
  <c r="X351" i="4"/>
  <c r="X169" i="4"/>
  <c r="X138" i="4"/>
  <c r="X361" i="4"/>
  <c r="X379" i="4"/>
  <c r="X212" i="4"/>
  <c r="X345" i="4"/>
  <c r="X200" i="4"/>
  <c r="X148" i="4"/>
  <c r="X423" i="4"/>
  <c r="X225" i="4"/>
  <c r="X420" i="4"/>
  <c r="X237" i="4"/>
  <c r="X74" i="4"/>
  <c r="X26" i="4"/>
  <c r="X129" i="4"/>
  <c r="X108" i="4"/>
  <c r="X363" i="4"/>
  <c r="X197" i="4"/>
  <c r="X162" i="4"/>
  <c r="X286" i="4"/>
  <c r="X157" i="4"/>
  <c r="X213" i="4"/>
  <c r="X425" i="4"/>
  <c r="X242" i="4"/>
  <c r="X398" i="4"/>
  <c r="X198" i="4"/>
  <c r="X493" i="4"/>
  <c r="T14" i="4"/>
  <c r="U14" i="4"/>
  <c r="Y14" i="4"/>
  <c r="Z14" i="4"/>
  <c r="T195" i="4"/>
  <c r="U195" i="4"/>
  <c r="T69" i="4"/>
  <c r="U69" i="4"/>
  <c r="T487" i="4"/>
  <c r="U487" i="4"/>
  <c r="T330" i="4"/>
  <c r="U330" i="4"/>
  <c r="T308" i="4"/>
  <c r="U308" i="4"/>
  <c r="T456" i="4"/>
  <c r="U456" i="4"/>
  <c r="Y456" i="4"/>
  <c r="Z456" i="4"/>
  <c r="T242" i="4"/>
  <c r="U242" i="4"/>
  <c r="T363" i="4"/>
  <c r="U363" i="4"/>
  <c r="T169" i="4"/>
  <c r="U169" i="4"/>
  <c r="T209" i="4"/>
  <c r="U209" i="4"/>
  <c r="T432" i="4"/>
  <c r="U432" i="4"/>
  <c r="T467" i="4"/>
  <c r="U467" i="4"/>
  <c r="T257" i="4"/>
  <c r="U257" i="4"/>
  <c r="T424" i="4"/>
  <c r="U424" i="4"/>
  <c r="T93" i="4"/>
  <c r="U93" i="4"/>
  <c r="T357" i="4"/>
  <c r="U357" i="4"/>
  <c r="T154" i="4"/>
  <c r="U154" i="4"/>
  <c r="T371" i="4"/>
  <c r="U371" i="4"/>
  <c r="T107" i="4"/>
  <c r="U107" i="4"/>
  <c r="T62" i="4"/>
  <c r="U62" i="4"/>
  <c r="T42" i="4"/>
  <c r="U42" i="4"/>
  <c r="T331" i="4"/>
  <c r="U331" i="4"/>
  <c r="T391" i="4"/>
  <c r="U391" i="4"/>
  <c r="T283" i="4"/>
  <c r="U283" i="4"/>
  <c r="T168" i="4"/>
  <c r="U168" i="4"/>
  <c r="T240" i="4"/>
  <c r="U240" i="4"/>
  <c r="T34" i="4"/>
  <c r="U34" i="4"/>
  <c r="T181" i="4"/>
  <c r="U181" i="4"/>
  <c r="T205" i="4"/>
  <c r="U205" i="4"/>
  <c r="T165" i="4"/>
  <c r="U165" i="4"/>
  <c r="T71" i="4"/>
  <c r="U71" i="4"/>
  <c r="T180" i="4"/>
  <c r="U180" i="4"/>
  <c r="T301" i="4"/>
  <c r="U301" i="4"/>
  <c r="T500" i="4"/>
  <c r="U500" i="4"/>
  <c r="T266" i="4"/>
  <c r="U266" i="4"/>
  <c r="T175" i="4"/>
  <c r="U175" i="4"/>
  <c r="T234" i="4"/>
  <c r="U234" i="4"/>
  <c r="T337" i="4"/>
  <c r="U337" i="4"/>
  <c r="T486" i="4"/>
  <c r="U486" i="4"/>
  <c r="T120" i="4"/>
  <c r="U120" i="4"/>
  <c r="T147" i="4"/>
  <c r="U147" i="4"/>
  <c r="T275" i="4"/>
  <c r="U275" i="4"/>
  <c r="T82" i="4"/>
  <c r="U82" i="4"/>
  <c r="T412" i="4"/>
  <c r="U412" i="4"/>
  <c r="T115" i="4"/>
  <c r="U115" i="4"/>
  <c r="T24" i="4"/>
  <c r="U24" i="4"/>
  <c r="T59" i="4"/>
  <c r="U59" i="4"/>
  <c r="T112" i="4"/>
  <c r="U112" i="4"/>
  <c r="T49" i="4"/>
  <c r="U49" i="4"/>
  <c r="T177" i="4"/>
  <c r="U177" i="4"/>
  <c r="T258" i="4"/>
  <c r="U258" i="4"/>
  <c r="T162" i="4"/>
  <c r="U162" i="4"/>
  <c r="T157" i="4"/>
  <c r="U157" i="4"/>
  <c r="T351" i="4"/>
  <c r="U351" i="4"/>
  <c r="T395" i="4"/>
  <c r="U395" i="4"/>
  <c r="T253" i="4"/>
  <c r="U253" i="4"/>
  <c r="T328" i="4"/>
  <c r="U328" i="4"/>
  <c r="T384" i="4"/>
  <c r="U384" i="4"/>
  <c r="T374" i="4"/>
  <c r="U374" i="4"/>
  <c r="T317" i="4"/>
  <c r="U317" i="4"/>
  <c r="T70" i="4"/>
  <c r="U70" i="4"/>
  <c r="T25" i="4"/>
  <c r="U25" i="4"/>
  <c r="T298" i="4"/>
  <c r="U298" i="4"/>
  <c r="T23" i="4"/>
  <c r="U23" i="4"/>
  <c r="T203" i="4"/>
  <c r="U203" i="4"/>
  <c r="T146" i="4"/>
  <c r="U146" i="4"/>
  <c r="T214" i="4"/>
  <c r="U214" i="4"/>
  <c r="Y350" i="4"/>
  <c r="Z350" i="4"/>
  <c r="T350" i="4"/>
  <c r="U350" i="4"/>
  <c r="T397" i="4"/>
  <c r="U397" i="4"/>
  <c r="T382" i="4"/>
  <c r="U382" i="4"/>
  <c r="T485" i="4"/>
  <c r="U485" i="4"/>
  <c r="T191" i="4"/>
  <c r="U191" i="4"/>
  <c r="T284" i="4"/>
  <c r="U284" i="4"/>
  <c r="T332" i="4"/>
  <c r="U332" i="4"/>
  <c r="T245" i="4"/>
  <c r="U245" i="4"/>
  <c r="T41" i="4"/>
  <c r="U41" i="4"/>
  <c r="T278" i="4"/>
  <c r="U278" i="4"/>
  <c r="T405" i="4"/>
  <c r="U405" i="4"/>
  <c r="T9" i="4"/>
  <c r="U9" i="4"/>
  <c r="T349" i="4"/>
  <c r="U349" i="4"/>
  <c r="T76" i="4"/>
  <c r="U76" i="4"/>
  <c r="T289" i="4"/>
  <c r="U289" i="4"/>
  <c r="T206" i="4"/>
  <c r="U206" i="4"/>
  <c r="T320" i="4"/>
  <c r="U320" i="4"/>
  <c r="T35" i="4"/>
  <c r="U35" i="4"/>
  <c r="T262" i="4"/>
  <c r="U262" i="4"/>
  <c r="T441" i="4"/>
  <c r="U441" i="4"/>
  <c r="T415" i="4"/>
  <c r="U415" i="4"/>
  <c r="T434" i="4"/>
  <c r="U434" i="4"/>
  <c r="T223" i="4"/>
  <c r="U223" i="4"/>
  <c r="T143" i="4"/>
  <c r="U143" i="4"/>
  <c r="T207" i="4"/>
  <c r="U207" i="4"/>
  <c r="T370" i="4"/>
  <c r="U370" i="4"/>
  <c r="T33" i="4"/>
  <c r="U33" i="4"/>
  <c r="T110" i="4"/>
  <c r="U110" i="4"/>
  <c r="T105" i="4"/>
  <c r="U105" i="4"/>
  <c r="T192" i="4"/>
  <c r="U192" i="4"/>
  <c r="T108" i="4"/>
  <c r="U108" i="4"/>
  <c r="T134" i="4"/>
  <c r="U134" i="4"/>
  <c r="T67" i="4"/>
  <c r="U67" i="4"/>
  <c r="T368" i="4"/>
  <c r="U368" i="4"/>
  <c r="T43" i="4"/>
  <c r="U43" i="4"/>
  <c r="T292" i="4"/>
  <c r="U292" i="4"/>
  <c r="T376" i="4"/>
  <c r="U376" i="4"/>
  <c r="T221" i="4"/>
  <c r="U221" i="4"/>
  <c r="T462" i="4"/>
  <c r="U462" i="4"/>
  <c r="T133" i="4"/>
  <c r="U133" i="4"/>
  <c r="T387" i="4"/>
  <c r="U387" i="4"/>
  <c r="T88" i="4"/>
  <c r="U88" i="4"/>
  <c r="T101" i="4"/>
  <c r="U101" i="4"/>
  <c r="T38" i="4"/>
  <c r="U38" i="4"/>
  <c r="T61" i="4"/>
  <c r="U61" i="4"/>
  <c r="T219" i="4"/>
  <c r="U219" i="4"/>
  <c r="T340" i="4"/>
  <c r="U340" i="4"/>
  <c r="T293" i="4"/>
  <c r="U293" i="4"/>
  <c r="T326" i="4"/>
  <c r="U326" i="4"/>
  <c r="T64" i="4"/>
  <c r="U64" i="4"/>
  <c r="T429" i="4"/>
  <c r="U429" i="4"/>
  <c r="T312" i="4"/>
  <c r="U312" i="4"/>
  <c r="Y312" i="4"/>
  <c r="Z312" i="4"/>
  <c r="T359" i="4"/>
  <c r="U359" i="4"/>
  <c r="T176" i="4"/>
  <c r="U176" i="4"/>
  <c r="T196" i="4"/>
  <c r="U196" i="4"/>
  <c r="T461" i="4"/>
  <c r="U461" i="4"/>
  <c r="T481" i="4"/>
  <c r="U481" i="4"/>
  <c r="T183" i="4"/>
  <c r="U183" i="4"/>
  <c r="T489" i="4"/>
  <c r="U489" i="4"/>
  <c r="T204" i="4"/>
  <c r="U204" i="4"/>
  <c r="T19" i="4"/>
  <c r="U19" i="4"/>
  <c r="T466" i="4"/>
  <c r="U466" i="4"/>
  <c r="T417" i="4"/>
  <c r="U417" i="4"/>
  <c r="T103" i="4"/>
  <c r="U103" i="4"/>
  <c r="T470" i="4"/>
  <c r="U470" i="4"/>
  <c r="T75" i="4"/>
  <c r="U75" i="4"/>
  <c r="T431" i="4"/>
  <c r="U431" i="4"/>
  <c r="T476" i="4"/>
  <c r="U476" i="4"/>
  <c r="T102" i="4"/>
  <c r="U102" i="4"/>
  <c r="T422" i="4"/>
  <c r="U422" i="4"/>
  <c r="T425" i="4"/>
  <c r="U425" i="4"/>
  <c r="T335" i="4"/>
  <c r="U335" i="4"/>
  <c r="T315" i="4"/>
  <c r="U315" i="4"/>
  <c r="T260" i="4"/>
  <c r="U260" i="4"/>
  <c r="T477" i="4"/>
  <c r="U477" i="4"/>
  <c r="T288" i="4"/>
  <c r="U288" i="4"/>
  <c r="T129" i="4"/>
  <c r="U129" i="4"/>
  <c r="T254" i="4"/>
  <c r="U254" i="4"/>
  <c r="T68" i="4"/>
  <c r="U68" i="4"/>
  <c r="T256" i="4"/>
  <c r="U256" i="4"/>
  <c r="T198" i="4"/>
  <c r="U198" i="4"/>
  <c r="T50" i="4"/>
  <c r="U50" i="4"/>
  <c r="T378" i="4"/>
  <c r="U378" i="4"/>
  <c r="T141" i="4"/>
  <c r="U141" i="4"/>
  <c r="T222" i="4"/>
  <c r="U222" i="4"/>
  <c r="T295" i="4"/>
  <c r="U295" i="4"/>
  <c r="T435" i="4"/>
  <c r="U435" i="4"/>
  <c r="T475" i="4"/>
  <c r="U475" i="4"/>
  <c r="T338" i="4"/>
  <c r="U338" i="4"/>
  <c r="T163" i="4"/>
  <c r="U163" i="4"/>
  <c r="T190" i="4"/>
  <c r="U190" i="4"/>
  <c r="T352" i="4"/>
  <c r="U352" i="4"/>
  <c r="T119" i="4"/>
  <c r="U119" i="4"/>
  <c r="T285" i="4"/>
  <c r="U285" i="4"/>
  <c r="T303" i="4"/>
  <c r="U303" i="4"/>
  <c r="T261" i="4"/>
  <c r="U261" i="4"/>
  <c r="T356" i="4"/>
  <c r="U356" i="4"/>
  <c r="T264" i="4"/>
  <c r="U264" i="4"/>
  <c r="T329" i="4"/>
  <c r="U329" i="4"/>
  <c r="T86" i="4"/>
  <c r="U86" i="4"/>
  <c r="T327" i="4"/>
  <c r="U327" i="4"/>
  <c r="T259" i="4"/>
  <c r="U259" i="4"/>
  <c r="T235" i="4"/>
  <c r="U235" i="4"/>
  <c r="T156" i="4"/>
  <c r="U156" i="4"/>
  <c r="T17" i="4"/>
  <c r="U17" i="4"/>
  <c r="T139" i="4"/>
  <c r="U139" i="4"/>
  <c r="T170" i="4"/>
  <c r="U170" i="4"/>
  <c r="T248" i="4"/>
  <c r="U248" i="4"/>
  <c r="T322" i="4"/>
  <c r="U322" i="4"/>
  <c r="T36" i="4"/>
  <c r="U36" i="4"/>
  <c r="T111" i="4"/>
  <c r="U111" i="4"/>
  <c r="T305" i="4"/>
  <c r="U305" i="4"/>
  <c r="T65" i="4"/>
  <c r="U65" i="4"/>
  <c r="T167" i="4"/>
  <c r="U167" i="4"/>
  <c r="T452" i="4"/>
  <c r="U452" i="4"/>
  <c r="T20" i="4"/>
  <c r="U20" i="4"/>
  <c r="T343" i="4"/>
  <c r="U343" i="4"/>
  <c r="T339" i="4"/>
  <c r="U339" i="4"/>
  <c r="T114" i="4"/>
  <c r="U114" i="4"/>
  <c r="T321" i="4"/>
  <c r="U321" i="4"/>
  <c r="T95" i="4"/>
  <c r="U95" i="4"/>
  <c r="T26" i="4"/>
  <c r="U26" i="4"/>
  <c r="T420" i="4"/>
  <c r="U420" i="4"/>
  <c r="T413" i="4"/>
  <c r="U413" i="4"/>
  <c r="T249" i="4"/>
  <c r="U249" i="4"/>
  <c r="T125" i="4"/>
  <c r="U125" i="4"/>
  <c r="T84" i="4"/>
  <c r="U84" i="4"/>
  <c r="T282" i="4"/>
  <c r="U282" i="4"/>
  <c r="T346" i="4"/>
  <c r="U346" i="4"/>
  <c r="T426" i="4"/>
  <c r="U426" i="4"/>
  <c r="T392" i="4"/>
  <c r="U392" i="4"/>
  <c r="T403" i="4"/>
  <c r="U403" i="4"/>
  <c r="T281" i="4"/>
  <c r="U281" i="4"/>
  <c r="T449" i="4"/>
  <c r="U449" i="4"/>
  <c r="T174" i="4"/>
  <c r="U174" i="4"/>
  <c r="T276" i="4"/>
  <c r="U276" i="4"/>
  <c r="T172" i="4"/>
  <c r="U172" i="4"/>
  <c r="T474" i="4"/>
  <c r="U474" i="4"/>
  <c r="T316" i="4"/>
  <c r="U316" i="4"/>
  <c r="T309" i="4"/>
  <c r="U309" i="4"/>
  <c r="T318" i="4"/>
  <c r="U318" i="4"/>
  <c r="T87" i="4"/>
  <c r="U87" i="4"/>
  <c r="T78" i="4"/>
  <c r="U78" i="4"/>
  <c r="T386" i="4"/>
  <c r="U386" i="4"/>
  <c r="T373" i="4"/>
  <c r="U373" i="4"/>
  <c r="T91" i="4"/>
  <c r="U91" i="4"/>
  <c r="T498" i="4"/>
  <c r="U498" i="4"/>
  <c r="T210" i="4"/>
  <c r="U210" i="4"/>
  <c r="T238" i="4"/>
  <c r="U238" i="4"/>
  <c r="T132" i="4"/>
  <c r="U132" i="4"/>
  <c r="T77" i="4"/>
  <c r="U77" i="4"/>
  <c r="T92" i="4"/>
  <c r="U92" i="4"/>
  <c r="T51" i="4"/>
  <c r="U51" i="4"/>
  <c r="T501" i="4"/>
  <c r="U501" i="4"/>
  <c r="T173" i="4"/>
  <c r="U173" i="4"/>
  <c r="T11" i="4"/>
  <c r="U11" i="4"/>
  <c r="T454" i="4"/>
  <c r="U454" i="4"/>
  <c r="T366" i="4"/>
  <c r="U366" i="4"/>
  <c r="T124" i="4"/>
  <c r="U124" i="4"/>
  <c r="T279" i="4"/>
  <c r="U279" i="4"/>
  <c r="T150" i="4"/>
  <c r="U150" i="4"/>
  <c r="T48" i="4"/>
  <c r="U48" i="4"/>
  <c r="T152" i="4"/>
  <c r="U152" i="4"/>
  <c r="T479" i="4"/>
  <c r="U479" i="4"/>
  <c r="T53" i="4"/>
  <c r="U53" i="4"/>
  <c r="T213" i="4"/>
  <c r="U213" i="4"/>
  <c r="T436" i="4"/>
  <c r="U436" i="4"/>
  <c r="T280" i="4"/>
  <c r="U280" i="4"/>
  <c r="T410" i="4"/>
  <c r="U410" i="4"/>
  <c r="T265" i="4"/>
  <c r="U265" i="4"/>
  <c r="T116" i="4"/>
  <c r="U116" i="4"/>
  <c r="T202" i="4"/>
  <c r="U202" i="4"/>
  <c r="T90" i="4"/>
  <c r="U90" i="4"/>
  <c r="T401" i="4"/>
  <c r="U401" i="4"/>
  <c r="T307" i="4"/>
  <c r="U307" i="4"/>
  <c r="T224" i="4"/>
  <c r="U224" i="4"/>
  <c r="T239" i="4"/>
  <c r="U239" i="4"/>
  <c r="T494" i="4"/>
  <c r="U494" i="4"/>
  <c r="T252" i="4"/>
  <c r="U252" i="4"/>
  <c r="T126" i="4"/>
  <c r="U126" i="4"/>
  <c r="T81" i="4"/>
  <c r="U81" i="4"/>
  <c r="T117" i="4"/>
  <c r="U117" i="4"/>
  <c r="T480" i="4"/>
  <c r="U480" i="4"/>
  <c r="T464" i="4"/>
  <c r="U464" i="4"/>
  <c r="T47" i="4"/>
  <c r="U47" i="4"/>
  <c r="T408" i="4"/>
  <c r="U408" i="4"/>
  <c r="T211" i="4"/>
  <c r="U211" i="4"/>
  <c r="T215" i="4"/>
  <c r="U215" i="4"/>
  <c r="T44" i="4"/>
  <c r="U44" i="4"/>
  <c r="T250" i="4"/>
  <c r="U250" i="4"/>
  <c r="T342" i="4"/>
  <c r="U342" i="4"/>
  <c r="T233" i="4"/>
  <c r="U233" i="4"/>
  <c r="T502" i="4"/>
  <c r="U502" i="4"/>
  <c r="T15" i="4"/>
  <c r="U15" i="4"/>
  <c r="T244" i="4"/>
  <c r="U244" i="4"/>
  <c r="T151" i="4"/>
  <c r="U151" i="4"/>
  <c r="T45" i="4"/>
  <c r="U45" i="4"/>
  <c r="T360" i="4"/>
  <c r="U360" i="4"/>
  <c r="T55" i="4"/>
  <c r="U55" i="4"/>
  <c r="T66" i="4"/>
  <c r="U66" i="4"/>
  <c r="T277" i="4"/>
  <c r="U277" i="4"/>
  <c r="T136" i="4"/>
  <c r="U136" i="4"/>
  <c r="T367" i="4"/>
  <c r="U367" i="4"/>
  <c r="T402" i="4"/>
  <c r="U402" i="4"/>
  <c r="T482" i="4"/>
  <c r="U482" i="4"/>
  <c r="T455" i="4"/>
  <c r="U455" i="4"/>
  <c r="T138" i="4"/>
  <c r="U138" i="4"/>
  <c r="T228" i="4"/>
  <c r="U228" i="4"/>
  <c r="T241" i="4"/>
  <c r="U241" i="4"/>
  <c r="T216" i="4"/>
  <c r="U216" i="4"/>
  <c r="T344" i="4"/>
  <c r="U344" i="4"/>
  <c r="T231" i="4"/>
  <c r="U231" i="4"/>
  <c r="T121" i="4"/>
  <c r="U121" i="4"/>
  <c r="T286" i="4"/>
  <c r="U286" i="4"/>
  <c r="T294" i="4"/>
  <c r="U294" i="4"/>
  <c r="T269" i="4"/>
  <c r="U269" i="4"/>
  <c r="T79" i="4"/>
  <c r="U79" i="4"/>
  <c r="T448" i="4"/>
  <c r="U448" i="4"/>
  <c r="T272" i="4"/>
  <c r="U272" i="4"/>
  <c r="T161" i="4"/>
  <c r="U161" i="4"/>
  <c r="T497" i="4"/>
  <c r="U497" i="4"/>
  <c r="T469" i="4"/>
  <c r="U469" i="4"/>
  <c r="T182" i="4"/>
  <c r="U182" i="4"/>
  <c r="T334" i="4"/>
  <c r="U334" i="4"/>
  <c r="T314" i="4"/>
  <c r="U314" i="4"/>
  <c r="T333" i="4"/>
  <c r="U333" i="4"/>
  <c r="T473" i="4"/>
  <c r="U473" i="4"/>
  <c r="T29" i="4"/>
  <c r="U29" i="4"/>
  <c r="T178" i="4"/>
  <c r="U178" i="4"/>
  <c r="T341" i="4"/>
  <c r="U341" i="4"/>
  <c r="T199" i="4"/>
  <c r="U199" i="4"/>
  <c r="T270" i="4"/>
  <c r="U270" i="4"/>
  <c r="T468" i="4"/>
  <c r="U468" i="4"/>
  <c r="T27" i="4"/>
  <c r="U27" i="4"/>
  <c r="T194" i="4"/>
  <c r="U194" i="4"/>
  <c r="T380" i="4"/>
  <c r="U380" i="4"/>
  <c r="T7" i="4"/>
  <c r="U7" i="4"/>
  <c r="T106" i="4"/>
  <c r="U106" i="4"/>
  <c r="T362" i="4"/>
  <c r="U362" i="4"/>
  <c r="T404" i="4"/>
  <c r="U404" i="4"/>
  <c r="T201" i="4"/>
  <c r="U201" i="4"/>
  <c r="T375" i="4"/>
  <c r="U375" i="4"/>
  <c r="T158" i="4"/>
  <c r="U158" i="4"/>
  <c r="T89" i="4"/>
  <c r="U89" i="4"/>
  <c r="T39" i="4"/>
  <c r="U39" i="4"/>
  <c r="T443" i="4"/>
  <c r="U443" i="4"/>
  <c r="T22" i="4"/>
  <c r="U22" i="4"/>
  <c r="T57" i="4"/>
  <c r="U57" i="4"/>
  <c r="T230" i="4"/>
  <c r="U230" i="4"/>
  <c r="T160" i="4"/>
  <c r="U160" i="4"/>
  <c r="T98" i="4"/>
  <c r="U98" i="4"/>
  <c r="T226" i="4"/>
  <c r="U226" i="4"/>
  <c r="T142" i="4"/>
  <c r="U142" i="4"/>
  <c r="T381" i="4"/>
  <c r="U381" i="4"/>
  <c r="T128" i="4"/>
  <c r="U128" i="4"/>
  <c r="T179" i="4"/>
  <c r="U179" i="4"/>
  <c r="T200" i="4"/>
  <c r="U200" i="4"/>
  <c r="T74" i="4"/>
  <c r="U74" i="4"/>
  <c r="T345" i="4"/>
  <c r="U345" i="4"/>
  <c r="T153" i="4"/>
  <c r="U153" i="4"/>
  <c r="T208" i="4"/>
  <c r="U208" i="4"/>
  <c r="T268" i="4"/>
  <c r="U268" i="4"/>
  <c r="T8" i="4"/>
  <c r="U8" i="4"/>
  <c r="T484" i="4"/>
  <c r="U484" i="4"/>
  <c r="T325" i="4"/>
  <c r="U325" i="4"/>
  <c r="T28" i="4"/>
  <c r="U28" i="4"/>
  <c r="T400" i="4"/>
  <c r="U400" i="4"/>
  <c r="T189" i="4"/>
  <c r="U189" i="4"/>
  <c r="T123" i="4"/>
  <c r="U123" i="4"/>
  <c r="T220" i="4"/>
  <c r="U220" i="4"/>
  <c r="T459" i="4"/>
  <c r="U459" i="4"/>
  <c r="T246" i="4"/>
  <c r="U246" i="4"/>
  <c r="T306" i="4"/>
  <c r="U306" i="4"/>
  <c r="T164" i="4"/>
  <c r="U164" i="4"/>
  <c r="T184" i="4"/>
  <c r="U184" i="4"/>
  <c r="T274" i="4"/>
  <c r="U274" i="4"/>
  <c r="T451" i="4"/>
  <c r="U451" i="4"/>
  <c r="T229" i="4"/>
  <c r="U229" i="4"/>
  <c r="T465" i="4"/>
  <c r="U465" i="4"/>
  <c r="T186" i="4"/>
  <c r="U186" i="4"/>
  <c r="T97" i="4"/>
  <c r="U97" i="4"/>
  <c r="T411" i="4"/>
  <c r="U411" i="4"/>
  <c r="T267" i="4"/>
  <c r="U267" i="4"/>
  <c r="T447" i="4"/>
  <c r="U447" i="4"/>
  <c r="T40" i="4"/>
  <c r="U40" i="4"/>
  <c r="T10" i="4"/>
  <c r="U10" i="4"/>
  <c r="T21" i="4"/>
  <c r="U21" i="4"/>
  <c r="T377" i="4"/>
  <c r="U377" i="4"/>
  <c r="T32" i="4"/>
  <c r="U32" i="4"/>
  <c r="T463" i="4"/>
  <c r="U463" i="4"/>
  <c r="T137" i="4"/>
  <c r="U137" i="4"/>
  <c r="T188" i="4"/>
  <c r="U188" i="4"/>
  <c r="T247" i="4"/>
  <c r="U247" i="4"/>
  <c r="T372" i="4"/>
  <c r="U372" i="4"/>
  <c r="T166" i="4"/>
  <c r="U166" i="4"/>
  <c r="T446" i="4"/>
  <c r="U446" i="4"/>
  <c r="T122" i="4"/>
  <c r="U122" i="4"/>
  <c r="T414" i="4"/>
  <c r="U414" i="4"/>
  <c r="T185" i="4"/>
  <c r="U185" i="4"/>
  <c r="T430" i="4"/>
  <c r="U430" i="4"/>
  <c r="T418" i="4"/>
  <c r="U418" i="4"/>
  <c r="T398" i="4"/>
  <c r="U398" i="4"/>
  <c r="T197" i="4"/>
  <c r="U197" i="4"/>
  <c r="T212" i="4"/>
  <c r="U212" i="4"/>
  <c r="T457" i="4"/>
  <c r="U457" i="4"/>
  <c r="T273" i="4"/>
  <c r="U273" i="4"/>
  <c r="T130" i="4"/>
  <c r="U130" i="4"/>
  <c r="T60" i="4"/>
  <c r="U60" i="4"/>
  <c r="T383" i="4"/>
  <c r="U383" i="4"/>
  <c r="T433" i="4"/>
  <c r="U433" i="4"/>
  <c r="T442" i="4"/>
  <c r="U442" i="4"/>
  <c r="T353" i="4"/>
  <c r="U353" i="4"/>
  <c r="T407" i="4"/>
  <c r="U407" i="4"/>
  <c r="T388" i="4"/>
  <c r="U388" i="4"/>
  <c r="T495" i="4"/>
  <c r="U495" i="4"/>
  <c r="T348" i="4"/>
  <c r="U348" i="4"/>
  <c r="T421" i="4"/>
  <c r="U421" i="4"/>
  <c r="T300" i="4"/>
  <c r="U300" i="4"/>
  <c r="T396" i="4"/>
  <c r="U396" i="4"/>
  <c r="T490" i="4"/>
  <c r="U490" i="4"/>
  <c r="T355" i="4"/>
  <c r="U355" i="4"/>
  <c r="T385" i="4"/>
  <c r="U385" i="4"/>
  <c r="T83" i="4"/>
  <c r="U83" i="4"/>
  <c r="T140" i="4"/>
  <c r="U140" i="4"/>
  <c r="T419" i="4"/>
  <c r="U419" i="4"/>
  <c r="T299" i="4"/>
  <c r="U299" i="4"/>
  <c r="T109" i="4"/>
  <c r="U109" i="4"/>
  <c r="T243" i="4"/>
  <c r="U243" i="4"/>
  <c r="T232" i="4"/>
  <c r="U232" i="4"/>
  <c r="T52" i="4"/>
  <c r="U52" i="4"/>
  <c r="T37" i="4"/>
  <c r="U37" i="4"/>
  <c r="T347" i="4"/>
  <c r="U347" i="4"/>
  <c r="T13" i="4"/>
  <c r="U13" i="4"/>
  <c r="T311" i="4"/>
  <c r="U311" i="4"/>
  <c r="T453" i="4"/>
  <c r="U453" i="4"/>
  <c r="T131" i="4"/>
  <c r="U131" i="4"/>
  <c r="T251" i="4"/>
  <c r="U251" i="4"/>
  <c r="T365" i="4"/>
  <c r="U365" i="4"/>
  <c r="T471" i="4"/>
  <c r="U471" i="4"/>
  <c r="T310" i="4"/>
  <c r="U310" i="4"/>
  <c r="T236" i="4"/>
  <c r="U236" i="4"/>
  <c r="T323" i="4"/>
  <c r="U323" i="4"/>
  <c r="T492" i="4"/>
  <c r="U492" i="4"/>
  <c r="T444" i="4"/>
  <c r="U444" i="4"/>
  <c r="T428" i="4"/>
  <c r="U428" i="4"/>
  <c r="T225" i="4"/>
  <c r="U225" i="4"/>
  <c r="T237" i="4"/>
  <c r="U237" i="4"/>
  <c r="T379" i="4"/>
  <c r="U379" i="4"/>
  <c r="T148" i="4"/>
  <c r="U148" i="4"/>
  <c r="T493" i="4"/>
  <c r="U493" i="4"/>
  <c r="T336" i="4"/>
  <c r="U336" i="4"/>
  <c r="T255" i="4"/>
  <c r="U255" i="4"/>
  <c r="T54" i="4"/>
  <c r="U54" i="4"/>
  <c r="T390" i="4"/>
  <c r="U390" i="4"/>
  <c r="T291" i="4"/>
  <c r="U291" i="4"/>
  <c r="T503" i="4"/>
  <c r="U503" i="4"/>
  <c r="T127" i="4"/>
  <c r="U127" i="4"/>
  <c r="T393" i="4"/>
  <c r="U393" i="4"/>
  <c r="T149" i="4"/>
  <c r="U149" i="4"/>
  <c r="T409" i="4"/>
  <c r="U409" i="4"/>
  <c r="T30" i="4"/>
  <c r="U30" i="4"/>
  <c r="T445" i="4"/>
  <c r="U445" i="4"/>
  <c r="T145" i="4"/>
  <c r="U145" i="4"/>
  <c r="T155" i="4"/>
  <c r="U155" i="4"/>
  <c r="T319" i="4"/>
  <c r="U319" i="4"/>
  <c r="T399" i="4"/>
  <c r="U399" i="4"/>
  <c r="T193" i="4"/>
  <c r="U193" i="4"/>
  <c r="T416" i="4"/>
  <c r="U416" i="4"/>
  <c r="T406" i="4"/>
  <c r="U406" i="4"/>
  <c r="T171" i="4"/>
  <c r="U171" i="4"/>
  <c r="T437" i="4"/>
  <c r="U437" i="4"/>
  <c r="T46" i="4"/>
  <c r="U46" i="4"/>
  <c r="T450" i="4"/>
  <c r="U450" i="4"/>
  <c r="T354" i="4"/>
  <c r="U354" i="4"/>
  <c r="T85" i="4"/>
  <c r="U85" i="4"/>
  <c r="T96" i="4"/>
  <c r="U96" i="4"/>
  <c r="T358" i="4"/>
  <c r="U358" i="4"/>
  <c r="T438" i="4"/>
  <c r="U438" i="4"/>
  <c r="T369" i="4"/>
  <c r="U369" i="4"/>
  <c r="T324" i="4"/>
  <c r="U324" i="4"/>
  <c r="T458" i="4"/>
  <c r="U458" i="4"/>
  <c r="T290" i="4"/>
  <c r="U290" i="4"/>
  <c r="T100" i="4"/>
  <c r="U100" i="4"/>
  <c r="T496" i="4"/>
  <c r="U496" i="4"/>
  <c r="T144" i="4"/>
  <c r="U144" i="4"/>
  <c r="T6" i="4"/>
  <c r="U6" i="4"/>
  <c r="T159" i="4"/>
  <c r="U159" i="4"/>
  <c r="T113" i="4"/>
  <c r="U113" i="4"/>
  <c r="T440" i="4"/>
  <c r="U440" i="4"/>
  <c r="T94" i="4"/>
  <c r="U94" i="4"/>
  <c r="T58" i="4"/>
  <c r="U58" i="4"/>
  <c r="T423" i="4"/>
  <c r="U423" i="4"/>
  <c r="T439" i="4"/>
  <c r="U439" i="4"/>
  <c r="T361" i="4"/>
  <c r="U361" i="4"/>
  <c r="T478" i="4"/>
  <c r="U478" i="4"/>
  <c r="T99" i="4"/>
  <c r="U99" i="4"/>
  <c r="T63" i="4"/>
  <c r="U63" i="4"/>
  <c r="T263" i="4"/>
  <c r="U263" i="4"/>
  <c r="T5" i="4"/>
  <c r="U5" i="4"/>
  <c r="T460" i="4"/>
  <c r="U460" i="4"/>
  <c r="T31" i="4"/>
  <c r="U31" i="4"/>
  <c r="T491" i="4"/>
  <c r="U491" i="4"/>
  <c r="T504" i="4"/>
  <c r="U504" i="4"/>
  <c r="T472" i="4"/>
  <c r="U472" i="4"/>
  <c r="T16" i="4"/>
  <c r="U16" i="4"/>
  <c r="T297" i="4"/>
  <c r="U297" i="4"/>
  <c r="T499" i="4"/>
  <c r="U499" i="4"/>
  <c r="T389" i="4"/>
  <c r="U389" i="4"/>
  <c r="T304" i="4"/>
  <c r="U304" i="4"/>
  <c r="T12" i="4"/>
  <c r="U12" i="4"/>
  <c r="T364" i="4"/>
  <c r="U364" i="4"/>
  <c r="T217" i="4"/>
  <c r="U217" i="4"/>
  <c r="T18" i="4"/>
  <c r="U18" i="4"/>
  <c r="T488" i="4"/>
  <c r="U488" i="4"/>
  <c r="T271" i="4"/>
  <c r="U271" i="4"/>
  <c r="T80" i="4"/>
  <c r="U80" i="4"/>
  <c r="T104" i="4"/>
  <c r="U104" i="4"/>
  <c r="T73" i="4"/>
  <c r="U73" i="4"/>
  <c r="T218" i="4"/>
  <c r="U218" i="4"/>
  <c r="T135" i="4"/>
  <c r="U135" i="4"/>
  <c r="T72" i="4"/>
  <c r="U72" i="4"/>
  <c r="T4" i="4"/>
  <c r="U4" i="4"/>
  <c r="T483" i="4"/>
  <c r="U483" i="4"/>
  <c r="T313" i="4"/>
  <c r="U313" i="4"/>
  <c r="T296" i="4"/>
  <c r="U296" i="4"/>
  <c r="T187" i="4"/>
  <c r="U187" i="4"/>
  <c r="T227" i="4"/>
  <c r="U227" i="4"/>
  <c r="T118" i="4"/>
  <c r="U118" i="4"/>
  <c r="T427" i="4"/>
  <c r="U427" i="4"/>
  <c r="T394" i="4"/>
  <c r="U394" i="4"/>
  <c r="T56" i="4"/>
  <c r="U56" i="4"/>
  <c r="T302" i="4"/>
  <c r="U302" i="4"/>
  <c r="T287" i="4"/>
  <c r="U287" i="4"/>
  <c r="Y102" i="4"/>
  <c r="Z102" i="4"/>
  <c r="Y188" i="4"/>
  <c r="Z188" i="4"/>
  <c r="Y360" i="4"/>
  <c r="Z360" i="4"/>
  <c r="Y330" i="4"/>
  <c r="Z330" i="4"/>
  <c r="Y427" i="4"/>
  <c r="Z427" i="4"/>
  <c r="Y297" i="4"/>
  <c r="Z297" i="4"/>
  <c r="Y24" i="4"/>
  <c r="Z24" i="4"/>
  <c r="Y195" i="4"/>
  <c r="Z195" i="4"/>
  <c r="AA195" i="4"/>
  <c r="Y428" i="4"/>
  <c r="Z428" i="4"/>
  <c r="AA428" i="4"/>
  <c r="Y333" i="4"/>
  <c r="Z333" i="4"/>
  <c r="AA333" i="4"/>
  <c r="Y485" i="4"/>
  <c r="Z485" i="4"/>
  <c r="AA485" i="4"/>
  <c r="Y308" i="4"/>
  <c r="Z308" i="4"/>
  <c r="AA308" i="4"/>
  <c r="Y252" i="4"/>
  <c r="Z252" i="4"/>
  <c r="AA252" i="4"/>
  <c r="Y339" i="4"/>
  <c r="Z339" i="4"/>
  <c r="Y112" i="4"/>
  <c r="Z112" i="4"/>
  <c r="Y478" i="4"/>
  <c r="Z478" i="4"/>
  <c r="Y406" i="4"/>
  <c r="Z406" i="4"/>
  <c r="Y393" i="4"/>
  <c r="Z393" i="4"/>
  <c r="AA393" i="4"/>
  <c r="Y162" i="4"/>
  <c r="Z162" i="4"/>
  <c r="AA162" i="4"/>
  <c r="Y439" i="4"/>
  <c r="Z439" i="4"/>
  <c r="Y437" i="4"/>
  <c r="Z437" i="4"/>
  <c r="AA437" i="4"/>
  <c r="Y243" i="4"/>
  <c r="Z243" i="4"/>
  <c r="AA243" i="4"/>
  <c r="Y45" i="4"/>
  <c r="Z45" i="4"/>
  <c r="AA45" i="4"/>
  <c r="Y87" i="4"/>
  <c r="Z87" i="4"/>
  <c r="AA87" i="4"/>
  <c r="Y329" i="4"/>
  <c r="Z329" i="4"/>
  <c r="AA329" i="4"/>
  <c r="Y278" i="4"/>
  <c r="Z278" i="4"/>
  <c r="Y384" i="4"/>
  <c r="Z384" i="4"/>
  <c r="AA384" i="4"/>
  <c r="Y295" i="4"/>
  <c r="Z295" i="4"/>
  <c r="Y189" i="4"/>
  <c r="Z189" i="4"/>
  <c r="Y286" i="4"/>
  <c r="Z286" i="4"/>
  <c r="AA286" i="4"/>
  <c r="Y116" i="4"/>
  <c r="Z116" i="4"/>
  <c r="AA116" i="4"/>
  <c r="Y279" i="4"/>
  <c r="Z279" i="4"/>
  <c r="AA279" i="4"/>
  <c r="Y206" i="4"/>
  <c r="Z206" i="4"/>
  <c r="AA206" i="4"/>
  <c r="Y203" i="4"/>
  <c r="Z203" i="4"/>
  <c r="AA203" i="4"/>
  <c r="Y391" i="4"/>
  <c r="Z391" i="4"/>
  <c r="AA391" i="4"/>
  <c r="Y270" i="4"/>
  <c r="Z270" i="4"/>
  <c r="AA270" i="4"/>
  <c r="Y124" i="4"/>
  <c r="Z124" i="4"/>
  <c r="AA124" i="4"/>
  <c r="Y289" i="4"/>
  <c r="Z289" i="4"/>
  <c r="Y331" i="4"/>
  <c r="Z331" i="4"/>
  <c r="Y69" i="4"/>
  <c r="Z69" i="4"/>
  <c r="Y13" i="4"/>
  <c r="Z13" i="4"/>
  <c r="Y385" i="4"/>
  <c r="Z385" i="4"/>
  <c r="AA385" i="4"/>
  <c r="Y276" i="4"/>
  <c r="Z276" i="4"/>
  <c r="AA276" i="4"/>
  <c r="Y380" i="4"/>
  <c r="Z380" i="4"/>
  <c r="AA380" i="4"/>
  <c r="Y145" i="4"/>
  <c r="Z145" i="4"/>
  <c r="AA145" i="4"/>
  <c r="Y164" i="4"/>
  <c r="Z164" i="4"/>
  <c r="AA164" i="4"/>
  <c r="Y199" i="4"/>
  <c r="Z199" i="4"/>
  <c r="AA199" i="4"/>
  <c r="Y161" i="4"/>
  <c r="Z161" i="4"/>
  <c r="AA161" i="4"/>
  <c r="Y239" i="4"/>
  <c r="Z239" i="4"/>
  <c r="AA239" i="4"/>
  <c r="Y174" i="4"/>
  <c r="Z174" i="4"/>
  <c r="Y219" i="4"/>
  <c r="Z219" i="4"/>
  <c r="Y382" i="4"/>
  <c r="Z382" i="4"/>
  <c r="Y147" i="4"/>
  <c r="Z147" i="4"/>
  <c r="Y16" i="4"/>
  <c r="Z16" i="4"/>
  <c r="AA16" i="4"/>
  <c r="Y86" i="4"/>
  <c r="Z86" i="4"/>
  <c r="AA86" i="4"/>
  <c r="Y53" i="4"/>
  <c r="Z53" i="4"/>
  <c r="Y343" i="4"/>
  <c r="Z343" i="4"/>
  <c r="AA343" i="4"/>
  <c r="Y475" i="4"/>
  <c r="Z475" i="4"/>
  <c r="Y110" i="4"/>
  <c r="Z110" i="4"/>
  <c r="AA110" i="4"/>
  <c r="Y460" i="4"/>
  <c r="Z460" i="4"/>
  <c r="AA460" i="4"/>
  <c r="Y433" i="4"/>
  <c r="Z433" i="4"/>
  <c r="AA433" i="4"/>
  <c r="Y501" i="4"/>
  <c r="Z501" i="4"/>
  <c r="Y17" i="4"/>
  <c r="Z17" i="4"/>
  <c r="Y435" i="4"/>
  <c r="Z435" i="4"/>
  <c r="AA435" i="4"/>
  <c r="Y266" i="4"/>
  <c r="Z266" i="4"/>
  <c r="Y5" i="4"/>
  <c r="Z5" i="4"/>
  <c r="AA5" i="4"/>
  <c r="Y336" i="4"/>
  <c r="Z336" i="4"/>
  <c r="AA336" i="4"/>
  <c r="Y274" i="4"/>
  <c r="Z274" i="4"/>
  <c r="AA274" i="4"/>
  <c r="Y136" i="4"/>
  <c r="Z136" i="4"/>
  <c r="AA136" i="4"/>
  <c r="Y51" i="4"/>
  <c r="Z51" i="4"/>
  <c r="AA51" i="4"/>
  <c r="Y285" i="4"/>
  <c r="Z285" i="4"/>
  <c r="AA285" i="4"/>
  <c r="Y368" i="4"/>
  <c r="Z368" i="4"/>
  <c r="AA368" i="4"/>
  <c r="Y438" i="4"/>
  <c r="Z438" i="4"/>
  <c r="AA438" i="4"/>
  <c r="Y325" i="4"/>
  <c r="Z325" i="4"/>
  <c r="Y233" i="4"/>
  <c r="Z233" i="4"/>
  <c r="AA233" i="4"/>
  <c r="Y119" i="4"/>
  <c r="Z119" i="4"/>
  <c r="AA119" i="4"/>
  <c r="Y477" i="4"/>
  <c r="Z477" i="4"/>
  <c r="Y67" i="4"/>
  <c r="Z67" i="4"/>
  <c r="AA67" i="4"/>
  <c r="Y149" i="4"/>
  <c r="Z149" i="4"/>
  <c r="AA149" i="4"/>
  <c r="Y318" i="4"/>
  <c r="Z318" i="4"/>
  <c r="AA318" i="4"/>
  <c r="Y111" i="4"/>
  <c r="Z111" i="4"/>
  <c r="AA111" i="4"/>
  <c r="Y85" i="4"/>
  <c r="Z85" i="4"/>
  <c r="AA85" i="4"/>
  <c r="Y212" i="4"/>
  <c r="Z212" i="4"/>
  <c r="AA212" i="4"/>
  <c r="Y106" i="4"/>
  <c r="Z106" i="4"/>
  <c r="AA106" i="4"/>
  <c r="Y426" i="4"/>
  <c r="Z426" i="4"/>
  <c r="AA426" i="4"/>
  <c r="Y50" i="4"/>
  <c r="Z50" i="4"/>
  <c r="Y429" i="4"/>
  <c r="Z429" i="4"/>
  <c r="AA429" i="4"/>
  <c r="Y361" i="4"/>
  <c r="Z361" i="4"/>
  <c r="AA361" i="4"/>
  <c r="Y155" i="4"/>
  <c r="Z155" i="4"/>
  <c r="Y498" i="4"/>
  <c r="Z498" i="4"/>
  <c r="AA498" i="4"/>
  <c r="Y198" i="4"/>
  <c r="Z198" i="4"/>
  <c r="AA198" i="4"/>
  <c r="Y59" i="4"/>
  <c r="Z59" i="4"/>
  <c r="AA59" i="4"/>
  <c r="Y154" i="4"/>
  <c r="Z154" i="4"/>
  <c r="AA154" i="4"/>
  <c r="Y409" i="4"/>
  <c r="Z409" i="4"/>
  <c r="AA409" i="4"/>
  <c r="Y394" i="4"/>
  <c r="Z394" i="4"/>
  <c r="AA394" i="4"/>
  <c r="Y364" i="4"/>
  <c r="Z364" i="4"/>
  <c r="AA364" i="4"/>
  <c r="Y96" i="4"/>
  <c r="Z96" i="4"/>
  <c r="AA96" i="4"/>
  <c r="Y419" i="4"/>
  <c r="Z419" i="4"/>
  <c r="Y348" i="4"/>
  <c r="Z348" i="4"/>
  <c r="AA348" i="4"/>
  <c r="Y414" i="4"/>
  <c r="Z414" i="4"/>
  <c r="AA414" i="4"/>
  <c r="Y465" i="4"/>
  <c r="Z465" i="4"/>
  <c r="Y464" i="4"/>
  <c r="Z464" i="4"/>
  <c r="AA464" i="4"/>
  <c r="Y213" i="4"/>
  <c r="Z213" i="4"/>
  <c r="AA213" i="4"/>
  <c r="Y210" i="4"/>
  <c r="Z210" i="4"/>
  <c r="AA210" i="4"/>
  <c r="Y305" i="4"/>
  <c r="Z305" i="4"/>
  <c r="AA305" i="4"/>
  <c r="Y245" i="4"/>
  <c r="Z245" i="4"/>
  <c r="AA245" i="4"/>
  <c r="Y120" i="4"/>
  <c r="Z120" i="4"/>
  <c r="AA120" i="4"/>
  <c r="Y156" i="4"/>
  <c r="Z156" i="4"/>
  <c r="AA156" i="4"/>
  <c r="Y257" i="4"/>
  <c r="Z257" i="4"/>
  <c r="AA257" i="4"/>
  <c r="Y73" i="4"/>
  <c r="Z73" i="4"/>
  <c r="Y290" i="4"/>
  <c r="Z290" i="4"/>
  <c r="Y310" i="4"/>
  <c r="Z310" i="4"/>
  <c r="AA310" i="4"/>
  <c r="Y457" i="4"/>
  <c r="Z457" i="4"/>
  <c r="Y74" i="4"/>
  <c r="Z74" i="4"/>
  <c r="AA74" i="4"/>
  <c r="Y228" i="4"/>
  <c r="Z228" i="4"/>
  <c r="AA228" i="4"/>
  <c r="Y250" i="4"/>
  <c r="Z250" i="4"/>
  <c r="AA250" i="4"/>
  <c r="Y346" i="4"/>
  <c r="Z346" i="4"/>
  <c r="AA346" i="4"/>
  <c r="Y183" i="4"/>
  <c r="Z183" i="4"/>
  <c r="AA183" i="4"/>
  <c r="Y133" i="4"/>
  <c r="Z133" i="4"/>
  <c r="AA133" i="4"/>
  <c r="Y434" i="4"/>
  <c r="Z434" i="4"/>
  <c r="AA434" i="4"/>
  <c r="Y486" i="4"/>
  <c r="Z486" i="4"/>
  <c r="AA486" i="4"/>
  <c r="Y205" i="4"/>
  <c r="Z205" i="4"/>
  <c r="Y467" i="4"/>
  <c r="Z467" i="4"/>
  <c r="Y140" i="4"/>
  <c r="Z140" i="4"/>
  <c r="AA140" i="4"/>
  <c r="Y104" i="4"/>
  <c r="Z104" i="4"/>
  <c r="Y458" i="4"/>
  <c r="Z458" i="4"/>
  <c r="AA458" i="4"/>
  <c r="Y379" i="4"/>
  <c r="Z379" i="4"/>
  <c r="AA379" i="4"/>
  <c r="Y471" i="4"/>
  <c r="Z471" i="4"/>
  <c r="AA471" i="4"/>
  <c r="Y166" i="4"/>
  <c r="Z166" i="4"/>
  <c r="AA166" i="4"/>
  <c r="Y179" i="4"/>
  <c r="Z179" i="4"/>
  <c r="AA179" i="4"/>
  <c r="Y22" i="4"/>
  <c r="Z22" i="4"/>
  <c r="AA22" i="4"/>
  <c r="Y81" i="4"/>
  <c r="Z81" i="4"/>
  <c r="AA81" i="4"/>
  <c r="Y36" i="4"/>
  <c r="Z36" i="4"/>
  <c r="AA36" i="4"/>
  <c r="Y288" i="4"/>
  <c r="Z288" i="4"/>
  <c r="Y481" i="4"/>
  <c r="Z481" i="4"/>
  <c r="AA481" i="4"/>
  <c r="Y462" i="4"/>
  <c r="Z462" i="4"/>
  <c r="AA462" i="4"/>
  <c r="Y415" i="4"/>
  <c r="Z415" i="4"/>
  <c r="Y157" i="4"/>
  <c r="Z157" i="4"/>
  <c r="AA157" i="4"/>
  <c r="Y181" i="4"/>
  <c r="Z181" i="4"/>
  <c r="AA181" i="4"/>
  <c r="Y432" i="4"/>
  <c r="Z432" i="4"/>
  <c r="AA432" i="4"/>
  <c r="Y493" i="4"/>
  <c r="Z493" i="4"/>
  <c r="AA493" i="4"/>
  <c r="Y113" i="4"/>
  <c r="Z113" i="4"/>
  <c r="AA113" i="4"/>
  <c r="Y225" i="4"/>
  <c r="Z225" i="4"/>
  <c r="AA225" i="4"/>
  <c r="Y355" i="4"/>
  <c r="Z355" i="4"/>
  <c r="AA355" i="4"/>
  <c r="Y442" i="4"/>
  <c r="Z442" i="4"/>
  <c r="AA442" i="4"/>
  <c r="Y197" i="4"/>
  <c r="Z197" i="4"/>
  <c r="Y151" i="4"/>
  <c r="Z151" i="4"/>
  <c r="AA151" i="4"/>
  <c r="Y352" i="4"/>
  <c r="Z352" i="4"/>
  <c r="AA352" i="4"/>
  <c r="Y317" i="4"/>
  <c r="Z317" i="4"/>
  <c r="Y68" i="4"/>
  <c r="Z68" i="4"/>
  <c r="AA68" i="4"/>
  <c r="Y483" i="4"/>
  <c r="Z483" i="4"/>
  <c r="AA483" i="4"/>
  <c r="Y159" i="4"/>
  <c r="Z159" i="4"/>
  <c r="AA159" i="4"/>
  <c r="Y255" i="4"/>
  <c r="Z255" i="4"/>
  <c r="AA255" i="4"/>
  <c r="Y109" i="4"/>
  <c r="Z109" i="4"/>
  <c r="AA109" i="4"/>
  <c r="Y186" i="4"/>
  <c r="Z186" i="4"/>
  <c r="AA186" i="4"/>
  <c r="Y268" i="4"/>
  <c r="Z268" i="4"/>
  <c r="AA268" i="4"/>
  <c r="Y408" i="4"/>
  <c r="Z408" i="4"/>
  <c r="AA408" i="4"/>
  <c r="Y494" i="4"/>
  <c r="Z494" i="4"/>
  <c r="Y449" i="4"/>
  <c r="Z449" i="4"/>
  <c r="Y413" i="4"/>
  <c r="Z413" i="4"/>
  <c r="AA413" i="4"/>
  <c r="Y139" i="4"/>
  <c r="Z139" i="4"/>
  <c r="AA139" i="4"/>
  <c r="Y417" i="4"/>
  <c r="Z417" i="4"/>
  <c r="AA417" i="4"/>
  <c r="Y61" i="4"/>
  <c r="Z61" i="4"/>
  <c r="AA61" i="4"/>
  <c r="Y33" i="4"/>
  <c r="Z33" i="4"/>
  <c r="AA33" i="4"/>
  <c r="Y41" i="4"/>
  <c r="Z41" i="4"/>
  <c r="AA41" i="4"/>
  <c r="Y374" i="4"/>
  <c r="Z374" i="4"/>
  <c r="AA374" i="4"/>
  <c r="Y500" i="4"/>
  <c r="Z500" i="4"/>
  <c r="AA500" i="4"/>
  <c r="Y357" i="4"/>
  <c r="Z357" i="4"/>
  <c r="AA357" i="4"/>
  <c r="Y226" i="4"/>
  <c r="Z226" i="4"/>
  <c r="AA226" i="4"/>
  <c r="Y47" i="4"/>
  <c r="Z47" i="4"/>
  <c r="V56" i="4"/>
  <c r="W56" i="4"/>
  <c r="W422" i="4"/>
  <c r="V422" i="4"/>
  <c r="V103" i="4"/>
  <c r="W103" i="4"/>
  <c r="W100" i="4"/>
  <c r="V100" i="4"/>
  <c r="W217" i="4"/>
  <c r="V217" i="4"/>
  <c r="W10" i="4"/>
  <c r="V10" i="4"/>
  <c r="Y217" i="4"/>
  <c r="Z217" i="4"/>
  <c r="AA217" i="4"/>
  <c r="V155" i="4"/>
  <c r="W155" i="4"/>
  <c r="AA155" i="4"/>
  <c r="W310" i="4"/>
  <c r="V310" i="4"/>
  <c r="V348" i="4"/>
  <c r="W348" i="4"/>
  <c r="V188" i="4"/>
  <c r="W188" i="4"/>
  <c r="AA188" i="4"/>
  <c r="Y10" i="4"/>
  <c r="Z10" i="4"/>
  <c r="AA10" i="4"/>
  <c r="W268" i="4"/>
  <c r="V268" i="4"/>
  <c r="W179" i="4"/>
  <c r="V179" i="4"/>
  <c r="Y160" i="4"/>
  <c r="Z160" i="4"/>
  <c r="Y89" i="4"/>
  <c r="Z89" i="4"/>
  <c r="AA89" i="4"/>
  <c r="V106" i="4"/>
  <c r="W106" i="4"/>
  <c r="W270" i="4"/>
  <c r="V270" i="4"/>
  <c r="V333" i="4"/>
  <c r="W333" i="4"/>
  <c r="V161" i="4"/>
  <c r="W161" i="4"/>
  <c r="V286" i="4"/>
  <c r="W286" i="4"/>
  <c r="V228" i="4"/>
  <c r="W228" i="4"/>
  <c r="W136" i="4"/>
  <c r="V136" i="4"/>
  <c r="V151" i="4"/>
  <c r="W151" i="4"/>
  <c r="W250" i="4"/>
  <c r="V250" i="4"/>
  <c r="W464" i="4"/>
  <c r="V464" i="4"/>
  <c r="W494" i="4"/>
  <c r="V494" i="4"/>
  <c r="AA494" i="4"/>
  <c r="Y202" i="4"/>
  <c r="Z202" i="4"/>
  <c r="AA202" i="4"/>
  <c r="V213" i="4"/>
  <c r="W213" i="4"/>
  <c r="V279" i="4"/>
  <c r="W279" i="4"/>
  <c r="W501" i="4"/>
  <c r="V501" i="4"/>
  <c r="AA501" i="4"/>
  <c r="V210" i="4"/>
  <c r="W210" i="4"/>
  <c r="W87" i="4"/>
  <c r="V87" i="4"/>
  <c r="W276" i="4"/>
  <c r="V276" i="4"/>
  <c r="W426" i="4"/>
  <c r="V426" i="4"/>
  <c r="W413" i="4"/>
  <c r="V413" i="4"/>
  <c r="W339" i="4"/>
  <c r="V339" i="4"/>
  <c r="AA339" i="4"/>
  <c r="V305" i="4"/>
  <c r="W305" i="4"/>
  <c r="W139" i="4"/>
  <c r="V139" i="4"/>
  <c r="V86" i="4"/>
  <c r="W86" i="4"/>
  <c r="W285" i="4"/>
  <c r="V285" i="4"/>
  <c r="V475" i="4"/>
  <c r="W475" i="4"/>
  <c r="AA475" i="4"/>
  <c r="V50" i="4"/>
  <c r="W50" i="4"/>
  <c r="AA50" i="4"/>
  <c r="V288" i="4"/>
  <c r="W288" i="4"/>
  <c r="AA288" i="4"/>
  <c r="Y422" i="4"/>
  <c r="Z422" i="4"/>
  <c r="AA422" i="4"/>
  <c r="Y103" i="4"/>
  <c r="Z103" i="4"/>
  <c r="AA103" i="4"/>
  <c r="W183" i="4"/>
  <c r="V183" i="4"/>
  <c r="V312" i="4"/>
  <c r="W312" i="4"/>
  <c r="AA312" i="4"/>
  <c r="V219" i="4"/>
  <c r="W219" i="4"/>
  <c r="AA219" i="4"/>
  <c r="W133" i="4"/>
  <c r="V133" i="4"/>
  <c r="V368" i="4"/>
  <c r="W368" i="4"/>
  <c r="V110" i="4"/>
  <c r="W110" i="4"/>
  <c r="V434" i="4"/>
  <c r="W434" i="4"/>
  <c r="V206" i="4"/>
  <c r="W206" i="4"/>
  <c r="V278" i="4"/>
  <c r="W278" i="4"/>
  <c r="AA278" i="4"/>
  <c r="V485" i="4"/>
  <c r="W485" i="4"/>
  <c r="V203" i="4"/>
  <c r="W203" i="4"/>
  <c r="V374" i="4"/>
  <c r="W374" i="4"/>
  <c r="W157" i="4"/>
  <c r="V157" i="4"/>
  <c r="W59" i="4"/>
  <c r="V59" i="4"/>
  <c r="V147" i="4"/>
  <c r="W147" i="4"/>
  <c r="AA147" i="4"/>
  <c r="V266" i="4"/>
  <c r="W266" i="4"/>
  <c r="AA266" i="4"/>
  <c r="V205" i="4"/>
  <c r="W205" i="4"/>
  <c r="AA205" i="4"/>
  <c r="V391" i="4"/>
  <c r="W391" i="4"/>
  <c r="V154" i="4"/>
  <c r="W154" i="4"/>
  <c r="W432" i="4"/>
  <c r="V432" i="4"/>
  <c r="V308" i="4"/>
  <c r="W308" i="4"/>
  <c r="V358" i="4"/>
  <c r="W358" i="4"/>
  <c r="V361" i="4"/>
  <c r="W361" i="4"/>
  <c r="W393" i="4"/>
  <c r="V393" i="4"/>
  <c r="W243" i="4"/>
  <c r="V243" i="4"/>
  <c r="W212" i="4"/>
  <c r="V212" i="4"/>
  <c r="V189" i="4"/>
  <c r="W189" i="4"/>
  <c r="AA189" i="4"/>
  <c r="V127" i="4"/>
  <c r="W127" i="4"/>
  <c r="W428" i="4"/>
  <c r="V428" i="4"/>
  <c r="W13" i="4"/>
  <c r="V13" i="4"/>
  <c r="AA13" i="4"/>
  <c r="V109" i="4"/>
  <c r="W109" i="4"/>
  <c r="V355" i="4"/>
  <c r="W355" i="4"/>
  <c r="Y495" i="4"/>
  <c r="Z495" i="4"/>
  <c r="AA495" i="4"/>
  <c r="Y383" i="4"/>
  <c r="Z383" i="4"/>
  <c r="AA383" i="4"/>
  <c r="V197" i="4"/>
  <c r="W197" i="4"/>
  <c r="AA197" i="4"/>
  <c r="Y122" i="4"/>
  <c r="Z122" i="4"/>
  <c r="AA122" i="4"/>
  <c r="Y137" i="4"/>
  <c r="Z137" i="4"/>
  <c r="AA137" i="4"/>
  <c r="Y40" i="4"/>
  <c r="Z40" i="4"/>
  <c r="AA40" i="4"/>
  <c r="W465" i="4"/>
  <c r="V465" i="4"/>
  <c r="AA465" i="4"/>
  <c r="Y306" i="4"/>
  <c r="Z306" i="4"/>
  <c r="AA306" i="4"/>
  <c r="Y400" i="4"/>
  <c r="Z400" i="4"/>
  <c r="AA400" i="4"/>
  <c r="Y208" i="4"/>
  <c r="Z208" i="4"/>
  <c r="AA208" i="4"/>
  <c r="Y128" i="4"/>
  <c r="Z128" i="4"/>
  <c r="AA128" i="4"/>
  <c r="Y230" i="4"/>
  <c r="Z230" i="4"/>
  <c r="AA230" i="4"/>
  <c r="Y158" i="4"/>
  <c r="Z158" i="4"/>
  <c r="AA158" i="4"/>
  <c r="Y7" i="4"/>
  <c r="Z7" i="4"/>
  <c r="AA7" i="4"/>
  <c r="V199" i="4"/>
  <c r="W199" i="4"/>
  <c r="Y314" i="4"/>
  <c r="Z314" i="4"/>
  <c r="AA314" i="4"/>
  <c r="Y272" i="4"/>
  <c r="Z272" i="4"/>
  <c r="AA272" i="4"/>
  <c r="Y121" i="4"/>
  <c r="Z121" i="4"/>
  <c r="AA121" i="4"/>
  <c r="Y138" i="4"/>
  <c r="Z138" i="4"/>
  <c r="AA138" i="4"/>
  <c r="Y277" i="4"/>
  <c r="Z277" i="4"/>
  <c r="AA277" i="4"/>
  <c r="Y244" i="4"/>
  <c r="Z244" i="4"/>
  <c r="AA244" i="4"/>
  <c r="Y44" i="4"/>
  <c r="Z44" i="4"/>
  <c r="AA44" i="4"/>
  <c r="Y480" i="4"/>
  <c r="Z480" i="4"/>
  <c r="AA480" i="4"/>
  <c r="W420" i="4"/>
  <c r="V420" i="4"/>
  <c r="W23" i="4"/>
  <c r="V23" i="4"/>
  <c r="V209" i="4"/>
  <c r="W209" i="4"/>
  <c r="V313" i="4"/>
  <c r="W313" i="4"/>
  <c r="V89" i="4"/>
  <c r="W89" i="4"/>
  <c r="V202" i="4"/>
  <c r="W202" i="4"/>
  <c r="V113" i="4"/>
  <c r="W113" i="4"/>
  <c r="Y171" i="4"/>
  <c r="Z171" i="4"/>
  <c r="V225" i="4"/>
  <c r="W225" i="4"/>
  <c r="V385" i="4"/>
  <c r="W385" i="4"/>
  <c r="W414" i="4"/>
  <c r="V414" i="4"/>
  <c r="W164" i="4"/>
  <c r="V164" i="4"/>
  <c r="W427" i="4"/>
  <c r="V427" i="4"/>
  <c r="AA427" i="4"/>
  <c r="V104" i="4"/>
  <c r="W104" i="4"/>
  <c r="AA104" i="4"/>
  <c r="W16" i="4"/>
  <c r="V16" i="4"/>
  <c r="W439" i="4"/>
  <c r="V439" i="4"/>
  <c r="AA439" i="4"/>
  <c r="W458" i="4"/>
  <c r="V458" i="4"/>
  <c r="W406" i="4"/>
  <c r="V406" i="4"/>
  <c r="AA406" i="4"/>
  <c r="Y127" i="4"/>
  <c r="Z127" i="4"/>
  <c r="AA127" i="4"/>
  <c r="V495" i="4"/>
  <c r="W495" i="4"/>
  <c r="V137" i="4"/>
  <c r="W137" i="4"/>
  <c r="V400" i="4"/>
  <c r="W400" i="4"/>
  <c r="V128" i="4"/>
  <c r="W128" i="4"/>
  <c r="W158" i="4"/>
  <c r="V158" i="4"/>
  <c r="W272" i="4"/>
  <c r="V272" i="4"/>
  <c r="V121" i="4"/>
  <c r="W121" i="4"/>
  <c r="W277" i="4"/>
  <c r="V277" i="4"/>
  <c r="W244" i="4"/>
  <c r="V244" i="4"/>
  <c r="V44" i="4"/>
  <c r="W44" i="4"/>
  <c r="V480" i="4"/>
  <c r="W480" i="4"/>
  <c r="W239" i="4"/>
  <c r="V239" i="4"/>
  <c r="W116" i="4"/>
  <c r="V116" i="4"/>
  <c r="W53" i="4"/>
  <c r="V53" i="4"/>
  <c r="AA53" i="4"/>
  <c r="V124" i="4"/>
  <c r="W124" i="4"/>
  <c r="W51" i="4"/>
  <c r="V51" i="4"/>
  <c r="V498" i="4"/>
  <c r="W498" i="4"/>
  <c r="W318" i="4"/>
  <c r="V318" i="4"/>
  <c r="W174" i="4"/>
  <c r="V174" i="4"/>
  <c r="AA174" i="4"/>
  <c r="V346" i="4"/>
  <c r="W346" i="4"/>
  <c r="Y420" i="4"/>
  <c r="Z420" i="4"/>
  <c r="AA420" i="4"/>
  <c r="W343" i="4"/>
  <c r="V343" i="4"/>
  <c r="W111" i="4"/>
  <c r="V111" i="4"/>
  <c r="V17" i="4"/>
  <c r="W17" i="4"/>
  <c r="AA17" i="4"/>
  <c r="W329" i="4"/>
  <c r="V329" i="4"/>
  <c r="V119" i="4"/>
  <c r="W119" i="4"/>
  <c r="V435" i="4"/>
  <c r="W435" i="4"/>
  <c r="W198" i="4"/>
  <c r="V198" i="4"/>
  <c r="W477" i="4"/>
  <c r="V477" i="4"/>
  <c r="AA477" i="4"/>
  <c r="W102" i="4"/>
  <c r="V102" i="4"/>
  <c r="AA102" i="4"/>
  <c r="W417" i="4"/>
  <c r="V417" i="4"/>
  <c r="W481" i="4"/>
  <c r="V481" i="4"/>
  <c r="W429" i="4"/>
  <c r="V429" i="4"/>
  <c r="V61" i="4"/>
  <c r="W61" i="4"/>
  <c r="W462" i="4"/>
  <c r="V462" i="4"/>
  <c r="W67" i="4"/>
  <c r="V67" i="4"/>
  <c r="V33" i="4"/>
  <c r="W33" i="4"/>
  <c r="W415" i="4"/>
  <c r="V415" i="4"/>
  <c r="AA415" i="4"/>
  <c r="V289" i="4"/>
  <c r="W289" i="4"/>
  <c r="AA289" i="4"/>
  <c r="V41" i="4"/>
  <c r="W41" i="4"/>
  <c r="V382" i="4"/>
  <c r="W382" i="4"/>
  <c r="AA382" i="4"/>
  <c r="Y23" i="4"/>
  <c r="Z23" i="4"/>
  <c r="AA23" i="4"/>
  <c r="V384" i="4"/>
  <c r="W384" i="4"/>
  <c r="V162" i="4"/>
  <c r="W162" i="4"/>
  <c r="V24" i="4"/>
  <c r="W24" i="4"/>
  <c r="AA24" i="4"/>
  <c r="V120" i="4"/>
  <c r="W120" i="4"/>
  <c r="V500" i="4"/>
  <c r="W500" i="4"/>
  <c r="V181" i="4"/>
  <c r="W181" i="4"/>
  <c r="V331" i="4"/>
  <c r="W331" i="4"/>
  <c r="AA331" i="4"/>
  <c r="V357" i="4"/>
  <c r="W357" i="4"/>
  <c r="Y209" i="4"/>
  <c r="Z209" i="4"/>
  <c r="AA209" i="4"/>
  <c r="V330" i="4"/>
  <c r="W330" i="4"/>
  <c r="AA330" i="4"/>
  <c r="W319" i="4"/>
  <c r="V319" i="4"/>
  <c r="V311" i="4"/>
  <c r="W311" i="4"/>
  <c r="Y313" i="4"/>
  <c r="Z313" i="4"/>
  <c r="AA313" i="4"/>
  <c r="V96" i="4"/>
  <c r="W96" i="4"/>
  <c r="W255" i="4"/>
  <c r="V255" i="4"/>
  <c r="Y311" i="4"/>
  <c r="Z311" i="4"/>
  <c r="AA311" i="4"/>
  <c r="W433" i="4"/>
  <c r="V433" i="4"/>
  <c r="W186" i="4"/>
  <c r="V186" i="4"/>
  <c r="W483" i="4"/>
  <c r="V483" i="4"/>
  <c r="W364" i="4"/>
  <c r="V364" i="4"/>
  <c r="W5" i="4"/>
  <c r="V5" i="4"/>
  <c r="V159" i="4"/>
  <c r="W159" i="4"/>
  <c r="V85" i="4"/>
  <c r="W85" i="4"/>
  <c r="W145" i="4"/>
  <c r="V145" i="4"/>
  <c r="W336" i="4"/>
  <c r="V336" i="4"/>
  <c r="V471" i="4"/>
  <c r="W471" i="4"/>
  <c r="V383" i="4"/>
  <c r="W383" i="4"/>
  <c r="V122" i="4"/>
  <c r="W122" i="4"/>
  <c r="W40" i="4"/>
  <c r="V40" i="4"/>
  <c r="W306" i="4"/>
  <c r="V306" i="4"/>
  <c r="V208" i="4"/>
  <c r="W208" i="4"/>
  <c r="W230" i="4"/>
  <c r="V230" i="4"/>
  <c r="V7" i="4"/>
  <c r="W7" i="4"/>
  <c r="V314" i="4"/>
  <c r="W314" i="4"/>
  <c r="W138" i="4"/>
  <c r="V138" i="4"/>
  <c r="Y118" i="4"/>
  <c r="Z118" i="4"/>
  <c r="AA118" i="4"/>
  <c r="Y4" i="4"/>
  <c r="Z4" i="4"/>
  <c r="AA4" i="4"/>
  <c r="Y80" i="4"/>
  <c r="Z80" i="4"/>
  <c r="Y12" i="4"/>
  <c r="Z12" i="4"/>
  <c r="AA12" i="4"/>
  <c r="Y472" i="4"/>
  <c r="Z472" i="4"/>
  <c r="AA472" i="4"/>
  <c r="Y263" i="4"/>
  <c r="Z263" i="4"/>
  <c r="AA263" i="4"/>
  <c r="Y423" i="4"/>
  <c r="Z423" i="4"/>
  <c r="AA423" i="4"/>
  <c r="Y6" i="4"/>
  <c r="Z6" i="4"/>
  <c r="AA6" i="4"/>
  <c r="Y324" i="4"/>
  <c r="Z324" i="4"/>
  <c r="Y354" i="4"/>
  <c r="Z354" i="4"/>
  <c r="AA354" i="4"/>
  <c r="Y416" i="4"/>
  <c r="Z416" i="4"/>
  <c r="AA416" i="4"/>
  <c r="Y445" i="4"/>
  <c r="Z445" i="4"/>
  <c r="AA445" i="4"/>
  <c r="Y503" i="4"/>
  <c r="Z503" i="4"/>
  <c r="AA503" i="4"/>
  <c r="W493" i="4"/>
  <c r="V493" i="4"/>
  <c r="Y444" i="4"/>
  <c r="Z444" i="4"/>
  <c r="AA444" i="4"/>
  <c r="Y365" i="4"/>
  <c r="Z365" i="4"/>
  <c r="AA365" i="4"/>
  <c r="Y347" i="4"/>
  <c r="Z347" i="4"/>
  <c r="AA347" i="4"/>
  <c r="Y299" i="4"/>
  <c r="Z299" i="4"/>
  <c r="AA299" i="4"/>
  <c r="Y490" i="4"/>
  <c r="Z490" i="4"/>
  <c r="AA490" i="4"/>
  <c r="Y388" i="4"/>
  <c r="Z388" i="4"/>
  <c r="AA388" i="4"/>
  <c r="Y60" i="4"/>
  <c r="Z60" i="4"/>
  <c r="AA60" i="4"/>
  <c r="Y398" i="4"/>
  <c r="Z398" i="4"/>
  <c r="AA398" i="4"/>
  <c r="Y446" i="4"/>
  <c r="Z446" i="4"/>
  <c r="AA446" i="4"/>
  <c r="Y463" i="4"/>
  <c r="Z463" i="4"/>
  <c r="AA463" i="4"/>
  <c r="Y447" i="4"/>
  <c r="Z447" i="4"/>
  <c r="Y229" i="4"/>
  <c r="Z229" i="4"/>
  <c r="AA229" i="4"/>
  <c r="Y246" i="4"/>
  <c r="Z246" i="4"/>
  <c r="AA246" i="4"/>
  <c r="Y28" i="4"/>
  <c r="Z28" i="4"/>
  <c r="AA28" i="4"/>
  <c r="Y153" i="4"/>
  <c r="Z153" i="4"/>
  <c r="AA153" i="4"/>
  <c r="Y381" i="4"/>
  <c r="Z381" i="4"/>
  <c r="AA381" i="4"/>
  <c r="Y57" i="4"/>
  <c r="Z57" i="4"/>
  <c r="AA57" i="4"/>
  <c r="Y375" i="4"/>
  <c r="Z375" i="4"/>
  <c r="AA375" i="4"/>
  <c r="W380" i="4"/>
  <c r="V380" i="4"/>
  <c r="Y341" i="4"/>
  <c r="Z341" i="4"/>
  <c r="AA341" i="4"/>
  <c r="Y334" i="4"/>
  <c r="Z334" i="4"/>
  <c r="AA334" i="4"/>
  <c r="Y448" i="4"/>
  <c r="Z448" i="4"/>
  <c r="AA448" i="4"/>
  <c r="Y231" i="4"/>
  <c r="Z231" i="4"/>
  <c r="AA231" i="4"/>
  <c r="Y455" i="4"/>
  <c r="Z455" i="4"/>
  <c r="AA455" i="4"/>
  <c r="Y66" i="4"/>
  <c r="Z66" i="4"/>
  <c r="AA66" i="4"/>
  <c r="Y15" i="4"/>
  <c r="Z15" i="4"/>
  <c r="AA15" i="4"/>
  <c r="Y215" i="4"/>
  <c r="Z215" i="4"/>
  <c r="AA215" i="4"/>
  <c r="Y117" i="4"/>
  <c r="Z117" i="4"/>
  <c r="AA117" i="4"/>
  <c r="Y224" i="4"/>
  <c r="Z224" i="4"/>
  <c r="AA224" i="4"/>
  <c r="Y265" i="4"/>
  <c r="Z265" i="4"/>
  <c r="AA265" i="4"/>
  <c r="Y479" i="4"/>
  <c r="Z479" i="4"/>
  <c r="AA479" i="4"/>
  <c r="Y366" i="4"/>
  <c r="Z366" i="4"/>
  <c r="AA366" i="4"/>
  <c r="Y92" i="4"/>
  <c r="Z92" i="4"/>
  <c r="AA92" i="4"/>
  <c r="Y91" i="4"/>
  <c r="Z91" i="4"/>
  <c r="AA91" i="4"/>
  <c r="Y309" i="4"/>
  <c r="Z309" i="4"/>
  <c r="AA309" i="4"/>
  <c r="V449" i="4"/>
  <c r="W449" i="4"/>
  <c r="AA449" i="4"/>
  <c r="Y282" i="4"/>
  <c r="Z282" i="4"/>
  <c r="AA282" i="4"/>
  <c r="Y26" i="4"/>
  <c r="Z26" i="4"/>
  <c r="AA26" i="4"/>
  <c r="Y20" i="4"/>
  <c r="Z20" i="4"/>
  <c r="AA20" i="4"/>
  <c r="V36" i="4"/>
  <c r="W36" i="4"/>
  <c r="W156" i="4"/>
  <c r="V156" i="4"/>
  <c r="Y264" i="4"/>
  <c r="Z264" i="4"/>
  <c r="AA264" i="4"/>
  <c r="W352" i="4"/>
  <c r="V352" i="4"/>
  <c r="V295" i="4"/>
  <c r="W295" i="4"/>
  <c r="AA295" i="4"/>
  <c r="Y256" i="4"/>
  <c r="Z256" i="4"/>
  <c r="AA256" i="4"/>
  <c r="Y260" i="4"/>
  <c r="Z260" i="4"/>
  <c r="AA260" i="4"/>
  <c r="Y476" i="4"/>
  <c r="Z476" i="4"/>
  <c r="AA476" i="4"/>
  <c r="Y466" i="4"/>
  <c r="Z466" i="4"/>
  <c r="AA466" i="4"/>
  <c r="Y461" i="4"/>
  <c r="Z461" i="4"/>
  <c r="AA461" i="4"/>
  <c r="Y64" i="4"/>
  <c r="Z64" i="4"/>
  <c r="AA64" i="4"/>
  <c r="Y38" i="4"/>
  <c r="Z38" i="4"/>
  <c r="AA38" i="4"/>
  <c r="Y221" i="4"/>
  <c r="Z221" i="4"/>
  <c r="AA221" i="4"/>
  <c r="Y134" i="4"/>
  <c r="Z134" i="4"/>
  <c r="AA134" i="4"/>
  <c r="Y370" i="4"/>
  <c r="Z370" i="4"/>
  <c r="AA370" i="4"/>
  <c r="Y441" i="4"/>
  <c r="Z441" i="4"/>
  <c r="AA441" i="4"/>
  <c r="Y76" i="4"/>
  <c r="Z76" i="4"/>
  <c r="AA76" i="4"/>
  <c r="V245" i="4"/>
  <c r="W245" i="4"/>
  <c r="Y397" i="4"/>
  <c r="Z397" i="4"/>
  <c r="AA397" i="4"/>
  <c r="Y298" i="4"/>
  <c r="Z298" i="4"/>
  <c r="AA298" i="4"/>
  <c r="Y328" i="4"/>
  <c r="Z328" i="4"/>
  <c r="AA328" i="4"/>
  <c r="Y258" i="4"/>
  <c r="Z258" i="4"/>
  <c r="AA258" i="4"/>
  <c r="Y115" i="4"/>
  <c r="Z115" i="4"/>
  <c r="AA115" i="4"/>
  <c r="W486" i="4"/>
  <c r="V486" i="4"/>
  <c r="Y301" i="4"/>
  <c r="Z301" i="4"/>
  <c r="AA301" i="4"/>
  <c r="Y34" i="4"/>
  <c r="Z34" i="4"/>
  <c r="AA34" i="4"/>
  <c r="Y42" i="4"/>
  <c r="Z42" i="4"/>
  <c r="AA42" i="4"/>
  <c r="Y93" i="4"/>
  <c r="Z93" i="4"/>
  <c r="AA93" i="4"/>
  <c r="Y169" i="4"/>
  <c r="Z169" i="4"/>
  <c r="AA169" i="4"/>
  <c r="Y487" i="4"/>
  <c r="Z487" i="4"/>
  <c r="AA487" i="4"/>
  <c r="V440" i="4"/>
  <c r="W440" i="4"/>
  <c r="W73" i="4"/>
  <c r="V73" i="4"/>
  <c r="AA73" i="4"/>
  <c r="W4" i="4"/>
  <c r="V4" i="4"/>
  <c r="V423" i="4"/>
  <c r="W423" i="4"/>
  <c r="W445" i="4"/>
  <c r="V445" i="4"/>
  <c r="V347" i="4"/>
  <c r="W347" i="4"/>
  <c r="W446" i="4"/>
  <c r="V446" i="4"/>
  <c r="W246" i="4"/>
  <c r="V246" i="4"/>
  <c r="W28" i="4"/>
  <c r="V28" i="4"/>
  <c r="W153" i="4"/>
  <c r="V153" i="4"/>
  <c r="W381" i="4"/>
  <c r="V381" i="4"/>
  <c r="V57" i="4"/>
  <c r="W57" i="4"/>
  <c r="V375" i="4"/>
  <c r="W375" i="4"/>
  <c r="W341" i="4"/>
  <c r="V341" i="4"/>
  <c r="W334" i="4"/>
  <c r="V334" i="4"/>
  <c r="V448" i="4"/>
  <c r="W448" i="4"/>
  <c r="V231" i="4"/>
  <c r="W231" i="4"/>
  <c r="W455" i="4"/>
  <c r="V455" i="4"/>
  <c r="W66" i="4"/>
  <c r="V66" i="4"/>
  <c r="V15" i="4"/>
  <c r="W15" i="4"/>
  <c r="W215" i="4"/>
  <c r="V215" i="4"/>
  <c r="V117" i="4"/>
  <c r="W117" i="4"/>
  <c r="V479" i="4"/>
  <c r="W479" i="4"/>
  <c r="W91" i="4"/>
  <c r="V91" i="4"/>
  <c r="W20" i="4"/>
  <c r="V20" i="4"/>
  <c r="V256" i="4"/>
  <c r="W256" i="4"/>
  <c r="W260" i="4"/>
  <c r="V260" i="4"/>
  <c r="W476" i="4"/>
  <c r="V476" i="4"/>
  <c r="V466" i="4"/>
  <c r="W466" i="4"/>
  <c r="W461" i="4"/>
  <c r="V461" i="4"/>
  <c r="V64" i="4"/>
  <c r="W64" i="4"/>
  <c r="V38" i="4"/>
  <c r="W38" i="4"/>
  <c r="V221" i="4"/>
  <c r="W221" i="4"/>
  <c r="V134" i="4"/>
  <c r="W134" i="4"/>
  <c r="V370" i="4"/>
  <c r="W370" i="4"/>
  <c r="W441" i="4"/>
  <c r="V441" i="4"/>
  <c r="V76" i="4"/>
  <c r="W76" i="4"/>
  <c r="W397" i="4"/>
  <c r="V397" i="4"/>
  <c r="W298" i="4"/>
  <c r="V298" i="4"/>
  <c r="V328" i="4"/>
  <c r="W328" i="4"/>
  <c r="V258" i="4"/>
  <c r="W258" i="4"/>
  <c r="V115" i="4"/>
  <c r="W115" i="4"/>
  <c r="V301" i="4"/>
  <c r="W301" i="4"/>
  <c r="V34" i="4"/>
  <c r="W34" i="4"/>
  <c r="W42" i="4"/>
  <c r="V42" i="4"/>
  <c r="W93" i="4"/>
  <c r="V93" i="4"/>
  <c r="W169" i="4"/>
  <c r="V169" i="4"/>
  <c r="W487" i="4"/>
  <c r="V487" i="4"/>
  <c r="V224" i="4"/>
  <c r="W224" i="4"/>
  <c r="W265" i="4"/>
  <c r="V265" i="4"/>
  <c r="W366" i="4"/>
  <c r="V366" i="4"/>
  <c r="V92" i="4"/>
  <c r="W92" i="4"/>
  <c r="V309" i="4"/>
  <c r="W309" i="4"/>
  <c r="W282" i="4"/>
  <c r="V282" i="4"/>
  <c r="W26" i="4"/>
  <c r="V26" i="4"/>
  <c r="W264" i="4"/>
  <c r="V264" i="4"/>
  <c r="Y287" i="4"/>
  <c r="Z287" i="4"/>
  <c r="AA287" i="4"/>
  <c r="Y227" i="4"/>
  <c r="Z227" i="4"/>
  <c r="AA227" i="4"/>
  <c r="Y72" i="4"/>
  <c r="Z72" i="4"/>
  <c r="AA72" i="4"/>
  <c r="Y271" i="4"/>
  <c r="Z271" i="4"/>
  <c r="AA271" i="4"/>
  <c r="Y304" i="4"/>
  <c r="Z304" i="4"/>
  <c r="AA304" i="4"/>
  <c r="Y504" i="4"/>
  <c r="Z504" i="4"/>
  <c r="AA504" i="4"/>
  <c r="Y63" i="4"/>
  <c r="Z63" i="4"/>
  <c r="AA63" i="4"/>
  <c r="Y58" i="4"/>
  <c r="Z58" i="4"/>
  <c r="AA58" i="4"/>
  <c r="Y144" i="4"/>
  <c r="Z144" i="4"/>
  <c r="AA144" i="4"/>
  <c r="Y369" i="4"/>
  <c r="Z369" i="4"/>
  <c r="AA369" i="4"/>
  <c r="Y450" i="4"/>
  <c r="Z450" i="4"/>
  <c r="AA450" i="4"/>
  <c r="Y193" i="4"/>
  <c r="Z193" i="4"/>
  <c r="AA193" i="4"/>
  <c r="Y30" i="4"/>
  <c r="Z30" i="4"/>
  <c r="AA30" i="4"/>
  <c r="Y291" i="4"/>
  <c r="Z291" i="4"/>
  <c r="AA291" i="4"/>
  <c r="Y148" i="4"/>
  <c r="Z148" i="4"/>
  <c r="AA148" i="4"/>
  <c r="Y492" i="4"/>
  <c r="Z492" i="4"/>
  <c r="AA492" i="4"/>
  <c r="Y251" i="4"/>
  <c r="Z251" i="4"/>
  <c r="AA251" i="4"/>
  <c r="Y37" i="4"/>
  <c r="Z37" i="4"/>
  <c r="AA37" i="4"/>
  <c r="W419" i="4"/>
  <c r="V419" i="4"/>
  <c r="AA419" i="4"/>
  <c r="Y396" i="4"/>
  <c r="Z396" i="4"/>
  <c r="AA396" i="4"/>
  <c r="Y407" i="4"/>
  <c r="Z407" i="4"/>
  <c r="AA407" i="4"/>
  <c r="Y130" i="4"/>
  <c r="Z130" i="4"/>
  <c r="AA130" i="4"/>
  <c r="Y418" i="4"/>
  <c r="Z418" i="4"/>
  <c r="AA418" i="4"/>
  <c r="W166" i="4"/>
  <c r="V166" i="4"/>
  <c r="Y32" i="4"/>
  <c r="Z32" i="4"/>
  <c r="AA32" i="4"/>
  <c r="Y267" i="4"/>
  <c r="Z267" i="4"/>
  <c r="AA267" i="4"/>
  <c r="Y451" i="4"/>
  <c r="Z451" i="4"/>
  <c r="AA451" i="4"/>
  <c r="Y459" i="4"/>
  <c r="Z459" i="4"/>
  <c r="AA459" i="4"/>
  <c r="W325" i="4"/>
  <c r="V325" i="4"/>
  <c r="AA325" i="4"/>
  <c r="Y345" i="4"/>
  <c r="Z345" i="4"/>
  <c r="AA345" i="4"/>
  <c r="Y142" i="4"/>
  <c r="Z142" i="4"/>
  <c r="AA142" i="4"/>
  <c r="W22" i="4"/>
  <c r="V22" i="4"/>
  <c r="Y201" i="4"/>
  <c r="Z201" i="4"/>
  <c r="AA201" i="4"/>
  <c r="Y194" i="4"/>
  <c r="Z194" i="4"/>
  <c r="AA194" i="4"/>
  <c r="Y178" i="4"/>
  <c r="Z178" i="4"/>
  <c r="AA178" i="4"/>
  <c r="Y182" i="4"/>
  <c r="Z182" i="4"/>
  <c r="AA182" i="4"/>
  <c r="Y79" i="4"/>
  <c r="Z79" i="4"/>
  <c r="AA79" i="4"/>
  <c r="Y344" i="4"/>
  <c r="Z344" i="4"/>
  <c r="AA344" i="4"/>
  <c r="Y482" i="4"/>
  <c r="Z482" i="4"/>
  <c r="AA482" i="4"/>
  <c r="Y55" i="4"/>
  <c r="Z55" i="4"/>
  <c r="AA55" i="4"/>
  <c r="Y502" i="4"/>
  <c r="Z502" i="4"/>
  <c r="AA502" i="4"/>
  <c r="Y211" i="4"/>
  <c r="Z211" i="4"/>
  <c r="AA211" i="4"/>
  <c r="W81" i="4"/>
  <c r="V81" i="4"/>
  <c r="Y307" i="4"/>
  <c r="Z307" i="4"/>
  <c r="AA307" i="4"/>
  <c r="Y410" i="4"/>
  <c r="Z410" i="4"/>
  <c r="AA410" i="4"/>
  <c r="Y152" i="4"/>
  <c r="Z152" i="4"/>
  <c r="AA152" i="4"/>
  <c r="Y454" i="4"/>
  <c r="Z454" i="4"/>
  <c r="AA454" i="4"/>
  <c r="Y77" i="4"/>
  <c r="Z77" i="4"/>
  <c r="AA77" i="4"/>
  <c r="Y373" i="4"/>
  <c r="Z373" i="4"/>
  <c r="AA373" i="4"/>
  <c r="Y316" i="4"/>
  <c r="Z316" i="4"/>
  <c r="AA316" i="4"/>
  <c r="Y281" i="4"/>
  <c r="Z281" i="4"/>
  <c r="AA281" i="4"/>
  <c r="Y84" i="4"/>
  <c r="Z84" i="4"/>
  <c r="AA84" i="4"/>
  <c r="Y95" i="4"/>
  <c r="Z95" i="4"/>
  <c r="AA95" i="4"/>
  <c r="Y452" i="4"/>
  <c r="Z452" i="4"/>
  <c r="AA452" i="4"/>
  <c r="Y322" i="4"/>
  <c r="Z322" i="4"/>
  <c r="AA322" i="4"/>
  <c r="Y235" i="4"/>
  <c r="Z235" i="4"/>
  <c r="AA235" i="4"/>
  <c r="Y356" i="4"/>
  <c r="Z356" i="4"/>
  <c r="AA356" i="4"/>
  <c r="Y190" i="4"/>
  <c r="Z190" i="4"/>
  <c r="AA190" i="4"/>
  <c r="Y222" i="4"/>
  <c r="Z222" i="4"/>
  <c r="AA222" i="4"/>
  <c r="W68" i="4"/>
  <c r="V68" i="4"/>
  <c r="Y315" i="4"/>
  <c r="Z315" i="4"/>
  <c r="AA315" i="4"/>
  <c r="Y431" i="4"/>
  <c r="Z431" i="4"/>
  <c r="AA431" i="4"/>
  <c r="Y19" i="4"/>
  <c r="Z19" i="4"/>
  <c r="Y196" i="4"/>
  <c r="Z196" i="4"/>
  <c r="AA196" i="4"/>
  <c r="Y326" i="4"/>
  <c r="Z326" i="4"/>
  <c r="AA326" i="4"/>
  <c r="Y101" i="4"/>
  <c r="Z101" i="4"/>
  <c r="AA101" i="4"/>
  <c r="Y376" i="4"/>
  <c r="Z376" i="4"/>
  <c r="AA376" i="4"/>
  <c r="Y108" i="4"/>
  <c r="Z108" i="4"/>
  <c r="AA108" i="4"/>
  <c r="Y207" i="4"/>
  <c r="Z207" i="4"/>
  <c r="AA207" i="4"/>
  <c r="Y262" i="4"/>
  <c r="Z262" i="4"/>
  <c r="AA262" i="4"/>
  <c r="Y349" i="4"/>
  <c r="Z349" i="4"/>
  <c r="AA349" i="4"/>
  <c r="Y332" i="4"/>
  <c r="Z332" i="4"/>
  <c r="AA332" i="4"/>
  <c r="V350" i="4"/>
  <c r="W350" i="4"/>
  <c r="AA350" i="4"/>
  <c r="Y25" i="4"/>
  <c r="Z25" i="4"/>
  <c r="AA25" i="4"/>
  <c r="Y253" i="4"/>
  <c r="Z253" i="4"/>
  <c r="AA253" i="4"/>
  <c r="Y177" i="4"/>
  <c r="Z177" i="4"/>
  <c r="AA177" i="4"/>
  <c r="Y412" i="4"/>
  <c r="Z412" i="4"/>
  <c r="AA412" i="4"/>
  <c r="Y337" i="4"/>
  <c r="Z337" i="4"/>
  <c r="AA337" i="4"/>
  <c r="Y180" i="4"/>
  <c r="Z180" i="4"/>
  <c r="AA180" i="4"/>
  <c r="Y240" i="4"/>
  <c r="Z240" i="4"/>
  <c r="AA240" i="4"/>
  <c r="Y62" i="4"/>
  <c r="Z62" i="4"/>
  <c r="AA62" i="4"/>
  <c r="Y424" i="4"/>
  <c r="Z424" i="4"/>
  <c r="AA424" i="4"/>
  <c r="Y363" i="4"/>
  <c r="Z363" i="4"/>
  <c r="AA363" i="4"/>
  <c r="W218" i="4"/>
  <c r="V218" i="4"/>
  <c r="V54" i="4"/>
  <c r="W54" i="4"/>
  <c r="V290" i="4"/>
  <c r="W290" i="4"/>
  <c r="AA290" i="4"/>
  <c r="W472" i="4"/>
  <c r="V472" i="4"/>
  <c r="W354" i="4"/>
  <c r="V354" i="4"/>
  <c r="W444" i="4"/>
  <c r="V444" i="4"/>
  <c r="W490" i="4"/>
  <c r="V490" i="4"/>
  <c r="V463" i="4"/>
  <c r="W463" i="4"/>
  <c r="W287" i="4"/>
  <c r="V287" i="4"/>
  <c r="W72" i="4"/>
  <c r="V72" i="4"/>
  <c r="V304" i="4"/>
  <c r="W304" i="4"/>
  <c r="V63" i="4"/>
  <c r="W63" i="4"/>
  <c r="V144" i="4"/>
  <c r="W144" i="4"/>
  <c r="W450" i="4"/>
  <c r="V450" i="4"/>
  <c r="V30" i="4"/>
  <c r="W30" i="4"/>
  <c r="W148" i="4"/>
  <c r="V148" i="4"/>
  <c r="W251" i="4"/>
  <c r="V251" i="4"/>
  <c r="W407" i="4"/>
  <c r="V407" i="4"/>
  <c r="V418" i="4"/>
  <c r="W418" i="4"/>
  <c r="V32" i="4"/>
  <c r="W32" i="4"/>
  <c r="V451" i="4"/>
  <c r="W451" i="4"/>
  <c r="V142" i="4"/>
  <c r="W142" i="4"/>
  <c r="W201" i="4"/>
  <c r="V201" i="4"/>
  <c r="V178" i="4"/>
  <c r="W178" i="4"/>
  <c r="V79" i="4"/>
  <c r="W79" i="4"/>
  <c r="V482" i="4"/>
  <c r="W482" i="4"/>
  <c r="V502" i="4"/>
  <c r="W502" i="4"/>
  <c r="W307" i="4"/>
  <c r="V307" i="4"/>
  <c r="W152" i="4"/>
  <c r="V152" i="4"/>
  <c r="V454" i="4"/>
  <c r="W454" i="4"/>
  <c r="W77" i="4"/>
  <c r="V77" i="4"/>
  <c r="W373" i="4"/>
  <c r="V373" i="4"/>
  <c r="V316" i="4"/>
  <c r="W316" i="4"/>
  <c r="W281" i="4"/>
  <c r="V281" i="4"/>
  <c r="V84" i="4"/>
  <c r="W84" i="4"/>
  <c r="W95" i="4"/>
  <c r="V95" i="4"/>
  <c r="V452" i="4"/>
  <c r="W452" i="4"/>
  <c r="W322" i="4"/>
  <c r="V322" i="4"/>
  <c r="W235" i="4"/>
  <c r="V235" i="4"/>
  <c r="V356" i="4"/>
  <c r="W356" i="4"/>
  <c r="W190" i="4"/>
  <c r="V190" i="4"/>
  <c r="V222" i="4"/>
  <c r="W222" i="4"/>
  <c r="W315" i="4"/>
  <c r="V315" i="4"/>
  <c r="W431" i="4"/>
  <c r="V431" i="4"/>
  <c r="W19" i="4"/>
  <c r="V19" i="4"/>
  <c r="AA19" i="4"/>
  <c r="V196" i="4"/>
  <c r="W196" i="4"/>
  <c r="W326" i="4"/>
  <c r="V326" i="4"/>
  <c r="V101" i="4"/>
  <c r="W101" i="4"/>
  <c r="W376" i="4"/>
  <c r="V376" i="4"/>
  <c r="V108" i="4"/>
  <c r="W108" i="4"/>
  <c r="V207" i="4"/>
  <c r="W207" i="4"/>
  <c r="V262" i="4"/>
  <c r="W262" i="4"/>
  <c r="W349" i="4"/>
  <c r="V349" i="4"/>
  <c r="W332" i="4"/>
  <c r="V332" i="4"/>
  <c r="V25" i="4"/>
  <c r="W25" i="4"/>
  <c r="W253" i="4"/>
  <c r="V253" i="4"/>
  <c r="V177" i="4"/>
  <c r="W177" i="4"/>
  <c r="V412" i="4"/>
  <c r="W412" i="4"/>
  <c r="W337" i="4"/>
  <c r="V337" i="4"/>
  <c r="W180" i="4"/>
  <c r="V180" i="4"/>
  <c r="W240" i="4"/>
  <c r="V240" i="4"/>
  <c r="V62" i="4"/>
  <c r="W62" i="4"/>
  <c r="W424" i="4"/>
  <c r="V424" i="4"/>
  <c r="V363" i="4"/>
  <c r="W363" i="4"/>
  <c r="W69" i="4"/>
  <c r="V69" i="4"/>
  <c r="AA69" i="4"/>
  <c r="W31" i="4"/>
  <c r="V31" i="4"/>
  <c r="W171" i="4"/>
  <c r="V171" i="4"/>
  <c r="AA171" i="4"/>
  <c r="V160" i="4"/>
  <c r="W160" i="4"/>
  <c r="AA160" i="4"/>
  <c r="W460" i="4"/>
  <c r="V460" i="4"/>
  <c r="V80" i="4"/>
  <c r="W80" i="4"/>
  <c r="AA80" i="4"/>
  <c r="W6" i="4"/>
  <c r="V6" i="4"/>
  <c r="V503" i="4"/>
  <c r="W503" i="4"/>
  <c r="W299" i="4"/>
  <c r="V299" i="4"/>
  <c r="W398" i="4"/>
  <c r="V398" i="4"/>
  <c r="V229" i="4"/>
  <c r="W229" i="4"/>
  <c r="V227" i="4"/>
  <c r="W227" i="4"/>
  <c r="V271" i="4"/>
  <c r="W271" i="4"/>
  <c r="V504" i="4"/>
  <c r="W504" i="4"/>
  <c r="W58" i="4"/>
  <c r="V58" i="4"/>
  <c r="W369" i="4"/>
  <c r="V369" i="4"/>
  <c r="W193" i="4"/>
  <c r="V193" i="4"/>
  <c r="V291" i="4"/>
  <c r="W291" i="4"/>
  <c r="V492" i="4"/>
  <c r="W492" i="4"/>
  <c r="V37" i="4"/>
  <c r="W37" i="4"/>
  <c r="V396" i="4"/>
  <c r="W396" i="4"/>
  <c r="V130" i="4"/>
  <c r="W130" i="4"/>
  <c r="W267" i="4"/>
  <c r="V267" i="4"/>
  <c r="W459" i="4"/>
  <c r="V459" i="4"/>
  <c r="W345" i="4"/>
  <c r="V345" i="4"/>
  <c r="V194" i="4"/>
  <c r="W194" i="4"/>
  <c r="V182" i="4"/>
  <c r="W182" i="4"/>
  <c r="V344" i="4"/>
  <c r="W344" i="4"/>
  <c r="V55" i="4"/>
  <c r="W55" i="4"/>
  <c r="W211" i="4"/>
  <c r="V211" i="4"/>
  <c r="W410" i="4"/>
  <c r="V410" i="4"/>
  <c r="Y302" i="4"/>
  <c r="Z302" i="4"/>
  <c r="AA302" i="4"/>
  <c r="Y187" i="4"/>
  <c r="Z187" i="4"/>
  <c r="AA187" i="4"/>
  <c r="Y135" i="4"/>
  <c r="Z135" i="4"/>
  <c r="AA135" i="4"/>
  <c r="Y488" i="4"/>
  <c r="Z488" i="4"/>
  <c r="AA488" i="4"/>
  <c r="Y389" i="4"/>
  <c r="Z389" i="4"/>
  <c r="AA389" i="4"/>
  <c r="Y491" i="4"/>
  <c r="Z491" i="4"/>
  <c r="AA491" i="4"/>
  <c r="Y99" i="4"/>
  <c r="Z99" i="4"/>
  <c r="AA99" i="4"/>
  <c r="Y94" i="4"/>
  <c r="Z94" i="4"/>
  <c r="AA94" i="4"/>
  <c r="Y496" i="4"/>
  <c r="Z496" i="4"/>
  <c r="AA496" i="4"/>
  <c r="W438" i="4"/>
  <c r="V438" i="4"/>
  <c r="Y46" i="4"/>
  <c r="Z46" i="4"/>
  <c r="AA46" i="4"/>
  <c r="Y399" i="4"/>
  <c r="Z399" i="4"/>
  <c r="AA399" i="4"/>
  <c r="V409" i="4"/>
  <c r="W409" i="4"/>
  <c r="Y390" i="4"/>
  <c r="Z390" i="4"/>
  <c r="AA390" i="4"/>
  <c r="V379" i="4"/>
  <c r="W379" i="4"/>
  <c r="Y323" i="4"/>
  <c r="Z323" i="4"/>
  <c r="AA323" i="4"/>
  <c r="Y131" i="4"/>
  <c r="Z131" i="4"/>
  <c r="AA131" i="4"/>
  <c r="Y52" i="4"/>
  <c r="Z52" i="4"/>
  <c r="AA52" i="4"/>
  <c r="W140" i="4"/>
  <c r="V140" i="4"/>
  <c r="Y300" i="4"/>
  <c r="Z300" i="4"/>
  <c r="AA300" i="4"/>
  <c r="Y353" i="4"/>
  <c r="Z353" i="4"/>
  <c r="AA353" i="4"/>
  <c r="Y273" i="4"/>
  <c r="Z273" i="4"/>
  <c r="AA273" i="4"/>
  <c r="Y430" i="4"/>
  <c r="Z430" i="4"/>
  <c r="AA430" i="4"/>
  <c r="Y372" i="4"/>
  <c r="Z372" i="4"/>
  <c r="AA372" i="4"/>
  <c r="Y377" i="4"/>
  <c r="Z377" i="4"/>
  <c r="AA377" i="4"/>
  <c r="Y411" i="4"/>
  <c r="Z411" i="4"/>
  <c r="AA411" i="4"/>
  <c r="V274" i="4"/>
  <c r="W274" i="4"/>
  <c r="Y220" i="4"/>
  <c r="Z220" i="4"/>
  <c r="AA220" i="4"/>
  <c r="Y484" i="4"/>
  <c r="Z484" i="4"/>
  <c r="AA484" i="4"/>
  <c r="V74" i="4"/>
  <c r="W74" i="4"/>
  <c r="W226" i="4"/>
  <c r="V226" i="4"/>
  <c r="Y443" i="4"/>
  <c r="Z443" i="4"/>
  <c r="AA443" i="4"/>
  <c r="Y404" i="4"/>
  <c r="Z404" i="4"/>
  <c r="AA404" i="4"/>
  <c r="Y27" i="4"/>
  <c r="Z27" i="4"/>
  <c r="AA27" i="4"/>
  <c r="Y29" i="4"/>
  <c r="Z29" i="4"/>
  <c r="AA29" i="4"/>
  <c r="Y469" i="4"/>
  <c r="Z469" i="4"/>
  <c r="AA469" i="4"/>
  <c r="Y269" i="4"/>
  <c r="Z269" i="4"/>
  <c r="AA269" i="4"/>
  <c r="Y216" i="4"/>
  <c r="Z216" i="4"/>
  <c r="AA216" i="4"/>
  <c r="Y402" i="4"/>
  <c r="Z402" i="4"/>
  <c r="AA402" i="4"/>
  <c r="V360" i="4"/>
  <c r="W360" i="4"/>
  <c r="AA360" i="4"/>
  <c r="W233" i="4"/>
  <c r="V233" i="4"/>
  <c r="W408" i="4"/>
  <c r="V408" i="4"/>
  <c r="Y126" i="4"/>
  <c r="Z126" i="4"/>
  <c r="AA126" i="4"/>
  <c r="Y401" i="4"/>
  <c r="Z401" i="4"/>
  <c r="AA401" i="4"/>
  <c r="Y280" i="4"/>
  <c r="Z280" i="4"/>
  <c r="AA280" i="4"/>
  <c r="Y48" i="4"/>
  <c r="Z48" i="4"/>
  <c r="AA48" i="4"/>
  <c r="Y11" i="4"/>
  <c r="Z11" i="4"/>
  <c r="AA11" i="4"/>
  <c r="Y132" i="4"/>
  <c r="Z132" i="4"/>
  <c r="AA132" i="4"/>
  <c r="Y386" i="4"/>
  <c r="Z386" i="4"/>
  <c r="AA386" i="4"/>
  <c r="Y474" i="4"/>
  <c r="Z474" i="4"/>
  <c r="AA474" i="4"/>
  <c r="Y403" i="4"/>
  <c r="Z403" i="4"/>
  <c r="AA403" i="4"/>
  <c r="Y125" i="4"/>
  <c r="Z125" i="4"/>
  <c r="AA125" i="4"/>
  <c r="Y321" i="4"/>
  <c r="Z321" i="4"/>
  <c r="AA321" i="4"/>
  <c r="Y167" i="4"/>
  <c r="Z167" i="4"/>
  <c r="AA167" i="4"/>
  <c r="Y248" i="4"/>
  <c r="Z248" i="4"/>
  <c r="AA248" i="4"/>
  <c r="Y259" i="4"/>
  <c r="Z259" i="4"/>
  <c r="AA259" i="4"/>
  <c r="Y261" i="4"/>
  <c r="Z261" i="4"/>
  <c r="AA261" i="4"/>
  <c r="Y163" i="4"/>
  <c r="Z163" i="4"/>
  <c r="AA163" i="4"/>
  <c r="Y141" i="4"/>
  <c r="Z141" i="4"/>
  <c r="AA141" i="4"/>
  <c r="Y254" i="4"/>
  <c r="Z254" i="4"/>
  <c r="AA254" i="4"/>
  <c r="Y335" i="4"/>
  <c r="Z335" i="4"/>
  <c r="AA335" i="4"/>
  <c r="Y75" i="4"/>
  <c r="Z75" i="4"/>
  <c r="AA75" i="4"/>
  <c r="Y204" i="4"/>
  <c r="Z204" i="4"/>
  <c r="AA204" i="4"/>
  <c r="Y176" i="4"/>
  <c r="Z176" i="4"/>
  <c r="AA176" i="4"/>
  <c r="Y293" i="4"/>
  <c r="Z293" i="4"/>
  <c r="AA293" i="4"/>
  <c r="Y88" i="4"/>
  <c r="Z88" i="4"/>
  <c r="AA88" i="4"/>
  <c r="Y292" i="4"/>
  <c r="Z292" i="4"/>
  <c r="AA292" i="4"/>
  <c r="Y192" i="4"/>
  <c r="Z192" i="4"/>
  <c r="AA192" i="4"/>
  <c r="Y143" i="4"/>
  <c r="Z143" i="4"/>
  <c r="AA143" i="4"/>
  <c r="Y35" i="4"/>
  <c r="Z35" i="4"/>
  <c r="AA35" i="4"/>
  <c r="Y9" i="4"/>
  <c r="Z9" i="4"/>
  <c r="AA9" i="4"/>
  <c r="Y284" i="4"/>
  <c r="Z284" i="4"/>
  <c r="AA284" i="4"/>
  <c r="Y214" i="4"/>
  <c r="Z214" i="4"/>
  <c r="AA214" i="4"/>
  <c r="Y70" i="4"/>
  <c r="Z70" i="4"/>
  <c r="AA70" i="4"/>
  <c r="Y395" i="4"/>
  <c r="Z395" i="4"/>
  <c r="AA395" i="4"/>
  <c r="Y49" i="4"/>
  <c r="Z49" i="4"/>
  <c r="AA49" i="4"/>
  <c r="Y82" i="4"/>
  <c r="Z82" i="4"/>
  <c r="AA82" i="4"/>
  <c r="Y234" i="4"/>
  <c r="Z234" i="4"/>
  <c r="AA234" i="4"/>
  <c r="Y71" i="4"/>
  <c r="Z71" i="4"/>
  <c r="AA71" i="4"/>
  <c r="Y168" i="4"/>
  <c r="Z168" i="4"/>
  <c r="AA168" i="4"/>
  <c r="Y107" i="4"/>
  <c r="Z107" i="4"/>
  <c r="AA107" i="4"/>
  <c r="W257" i="4"/>
  <c r="V257" i="4"/>
  <c r="Y242" i="4"/>
  <c r="Z242" i="4"/>
  <c r="AA242" i="4"/>
  <c r="W18" i="4"/>
  <c r="V18" i="4"/>
  <c r="W237" i="4"/>
  <c r="V237" i="4"/>
  <c r="W394" i="4"/>
  <c r="V394" i="4"/>
  <c r="W118" i="4"/>
  <c r="V118" i="4"/>
  <c r="W263" i="4"/>
  <c r="V263" i="4"/>
  <c r="W416" i="4"/>
  <c r="V416" i="4"/>
  <c r="V388" i="4"/>
  <c r="W388" i="4"/>
  <c r="V447" i="4"/>
  <c r="W447" i="4"/>
  <c r="AA447" i="4"/>
  <c r="W187" i="4"/>
  <c r="V187" i="4"/>
  <c r="W488" i="4"/>
  <c r="V488" i="4"/>
  <c r="V491" i="4"/>
  <c r="W491" i="4"/>
  <c r="W94" i="4"/>
  <c r="V94" i="4"/>
  <c r="V399" i="4"/>
  <c r="W399" i="4"/>
  <c r="W390" i="4"/>
  <c r="V390" i="4"/>
  <c r="V323" i="4"/>
  <c r="W323" i="4"/>
  <c r="V52" i="4"/>
  <c r="W52" i="4"/>
  <c r="W300" i="4"/>
  <c r="V300" i="4"/>
  <c r="W273" i="4"/>
  <c r="V273" i="4"/>
  <c r="V372" i="4"/>
  <c r="W372" i="4"/>
  <c r="V411" i="4"/>
  <c r="W411" i="4"/>
  <c r="V220" i="4"/>
  <c r="W220" i="4"/>
  <c r="W404" i="4"/>
  <c r="V404" i="4"/>
  <c r="W29" i="4"/>
  <c r="V29" i="4"/>
  <c r="W269" i="4"/>
  <c r="V269" i="4"/>
  <c r="V216" i="4"/>
  <c r="W216" i="4"/>
  <c r="V402" i="4"/>
  <c r="W402" i="4"/>
  <c r="W126" i="4"/>
  <c r="V126" i="4"/>
  <c r="W401" i="4"/>
  <c r="V401" i="4"/>
  <c r="V280" i="4"/>
  <c r="W280" i="4"/>
  <c r="W48" i="4"/>
  <c r="V48" i="4"/>
  <c r="W11" i="4"/>
  <c r="V11" i="4"/>
  <c r="W132" i="4"/>
  <c r="V132" i="4"/>
  <c r="V386" i="4"/>
  <c r="W386" i="4"/>
  <c r="W474" i="4"/>
  <c r="V474" i="4"/>
  <c r="V403" i="4"/>
  <c r="W403" i="4"/>
  <c r="W125" i="4"/>
  <c r="V125" i="4"/>
  <c r="W321" i="4"/>
  <c r="V321" i="4"/>
  <c r="W167" i="4"/>
  <c r="V167" i="4"/>
  <c r="V248" i="4"/>
  <c r="W248" i="4"/>
  <c r="V259" i="4"/>
  <c r="W259" i="4"/>
  <c r="W261" i="4"/>
  <c r="V261" i="4"/>
  <c r="W163" i="4"/>
  <c r="V163" i="4"/>
  <c r="W141" i="4"/>
  <c r="V141" i="4"/>
  <c r="V254" i="4"/>
  <c r="W254" i="4"/>
  <c r="W335" i="4"/>
  <c r="V335" i="4"/>
  <c r="V75" i="4"/>
  <c r="W75" i="4"/>
  <c r="W204" i="4"/>
  <c r="V204" i="4"/>
  <c r="W176" i="4"/>
  <c r="V176" i="4"/>
  <c r="W293" i="4"/>
  <c r="V293" i="4"/>
  <c r="W88" i="4"/>
  <c r="V88" i="4"/>
  <c r="W292" i="4"/>
  <c r="V292" i="4"/>
  <c r="V192" i="4"/>
  <c r="W192" i="4"/>
  <c r="V143" i="4"/>
  <c r="W143" i="4"/>
  <c r="W35" i="4"/>
  <c r="V35" i="4"/>
  <c r="W9" i="4"/>
  <c r="V9" i="4"/>
  <c r="W284" i="4"/>
  <c r="V284" i="4"/>
  <c r="V214" i="4"/>
  <c r="W214" i="4"/>
  <c r="V70" i="4"/>
  <c r="W70" i="4"/>
  <c r="W395" i="4"/>
  <c r="V395" i="4"/>
  <c r="W49" i="4"/>
  <c r="V49" i="4"/>
  <c r="W82" i="4"/>
  <c r="V82" i="4"/>
  <c r="V234" i="4"/>
  <c r="W234" i="4"/>
  <c r="W71" i="4"/>
  <c r="V71" i="4"/>
  <c r="V168" i="4"/>
  <c r="W168" i="4"/>
  <c r="V107" i="4"/>
  <c r="W107" i="4"/>
  <c r="W242" i="4"/>
  <c r="V242" i="4"/>
  <c r="W195" i="4"/>
  <c r="V195" i="4"/>
  <c r="V499" i="4"/>
  <c r="W499" i="4"/>
  <c r="W236" i="4"/>
  <c r="V236" i="4"/>
  <c r="W297" i="4"/>
  <c r="V297" i="4"/>
  <c r="AA297" i="4"/>
  <c r="W12" i="4"/>
  <c r="V12" i="4"/>
  <c r="W324" i="4"/>
  <c r="V324" i="4"/>
  <c r="AA324" i="4"/>
  <c r="V365" i="4"/>
  <c r="W365" i="4"/>
  <c r="W60" i="4"/>
  <c r="V60" i="4"/>
  <c r="W302" i="4"/>
  <c r="V302" i="4"/>
  <c r="V135" i="4"/>
  <c r="W135" i="4"/>
  <c r="V389" i="4"/>
  <c r="W389" i="4"/>
  <c r="V99" i="4"/>
  <c r="W99" i="4"/>
  <c r="V496" i="4"/>
  <c r="W496" i="4"/>
  <c r="W46" i="4"/>
  <c r="V46" i="4"/>
  <c r="W131" i="4"/>
  <c r="V131" i="4"/>
  <c r="V353" i="4"/>
  <c r="W353" i="4"/>
  <c r="W430" i="4"/>
  <c r="V430" i="4"/>
  <c r="V377" i="4"/>
  <c r="W377" i="4"/>
  <c r="W484" i="4"/>
  <c r="V484" i="4"/>
  <c r="V443" i="4"/>
  <c r="W443" i="4"/>
  <c r="W27" i="4"/>
  <c r="V27" i="4"/>
  <c r="W469" i="4"/>
  <c r="V469" i="4"/>
  <c r="Y56" i="4"/>
  <c r="Z56" i="4"/>
  <c r="AA56" i="4"/>
  <c r="Y296" i="4"/>
  <c r="Z296" i="4"/>
  <c r="AA296" i="4"/>
  <c r="Y218" i="4"/>
  <c r="Z218" i="4"/>
  <c r="AA218" i="4"/>
  <c r="Y18" i="4"/>
  <c r="Z18" i="4"/>
  <c r="AA18" i="4"/>
  <c r="Y499" i="4"/>
  <c r="Z499" i="4"/>
  <c r="AA499" i="4"/>
  <c r="Y31" i="4"/>
  <c r="Z31" i="4"/>
  <c r="AA31" i="4"/>
  <c r="V478" i="4"/>
  <c r="W478" i="4"/>
  <c r="AA478" i="4"/>
  <c r="Y440" i="4"/>
  <c r="Z440" i="4"/>
  <c r="AA440" i="4"/>
  <c r="Y100" i="4"/>
  <c r="Z100" i="4"/>
  <c r="AA100" i="4"/>
  <c r="Y358" i="4"/>
  <c r="Z358" i="4"/>
  <c r="AA358" i="4"/>
  <c r="W437" i="4"/>
  <c r="V437" i="4"/>
  <c r="Y319" i="4"/>
  <c r="Z319" i="4"/>
  <c r="AA319" i="4"/>
  <c r="V149" i="4"/>
  <c r="W149" i="4"/>
  <c r="Y54" i="4"/>
  <c r="Z54" i="4"/>
  <c r="AA54" i="4"/>
  <c r="Y237" i="4"/>
  <c r="Z237" i="4"/>
  <c r="AA237" i="4"/>
  <c r="Y236" i="4"/>
  <c r="Z236" i="4"/>
  <c r="AA236" i="4"/>
  <c r="Y453" i="4"/>
  <c r="Z453" i="4"/>
  <c r="AA453" i="4"/>
  <c r="Y232" i="4"/>
  <c r="Z232" i="4"/>
  <c r="AA232" i="4"/>
  <c r="Y83" i="4"/>
  <c r="Z83" i="4"/>
  <c r="AA83" i="4"/>
  <c r="Y421" i="4"/>
  <c r="Z421" i="4"/>
  <c r="AA421" i="4"/>
  <c r="W442" i="4"/>
  <c r="V442" i="4"/>
  <c r="V457" i="4"/>
  <c r="W457" i="4"/>
  <c r="AA457" i="4"/>
  <c r="Y185" i="4"/>
  <c r="Z185" i="4"/>
  <c r="AA185" i="4"/>
  <c r="Y247" i="4"/>
  <c r="Z247" i="4"/>
  <c r="AA247" i="4"/>
  <c r="Y21" i="4"/>
  <c r="Z21" i="4"/>
  <c r="AA21" i="4"/>
  <c r="Y97" i="4"/>
  <c r="Z97" i="4"/>
  <c r="AA97" i="4"/>
  <c r="Y184" i="4"/>
  <c r="Z184" i="4"/>
  <c r="AA184" i="4"/>
  <c r="Y123" i="4"/>
  <c r="Z123" i="4"/>
  <c r="AA123" i="4"/>
  <c r="Y8" i="4"/>
  <c r="Z8" i="4"/>
  <c r="AA8" i="4"/>
  <c r="Y200" i="4"/>
  <c r="Z200" i="4"/>
  <c r="AA200" i="4"/>
  <c r="Y98" i="4"/>
  <c r="Z98" i="4"/>
  <c r="AA98" i="4"/>
  <c r="Y39" i="4"/>
  <c r="Z39" i="4"/>
  <c r="AA39" i="4"/>
  <c r="Y362" i="4"/>
  <c r="Z362" i="4"/>
  <c r="AA362" i="4"/>
  <c r="Y468" i="4"/>
  <c r="Z468" i="4"/>
  <c r="AA468" i="4"/>
  <c r="Y473" i="4"/>
  <c r="Z473" i="4"/>
  <c r="AA473" i="4"/>
  <c r="Y497" i="4"/>
  <c r="Z497" i="4"/>
  <c r="AA497" i="4"/>
  <c r="Y294" i="4"/>
  <c r="Z294" i="4"/>
  <c r="AA294" i="4"/>
  <c r="Y241" i="4"/>
  <c r="Z241" i="4"/>
  <c r="AA241" i="4"/>
  <c r="Y367" i="4"/>
  <c r="Z367" i="4"/>
  <c r="AA367" i="4"/>
  <c r="V45" i="4"/>
  <c r="W45" i="4"/>
  <c r="Y342" i="4"/>
  <c r="Z342" i="4"/>
  <c r="AA342" i="4"/>
  <c r="W47" i="4"/>
  <c r="V47" i="4"/>
  <c r="AA47" i="4"/>
  <c r="V252" i="4"/>
  <c r="W252" i="4"/>
  <c r="Y90" i="4"/>
  <c r="Z90" i="4"/>
  <c r="AA90" i="4"/>
  <c r="Y436" i="4"/>
  <c r="Z436" i="4"/>
  <c r="AA436" i="4"/>
  <c r="Y150" i="4"/>
  <c r="Z150" i="4"/>
  <c r="AA150" i="4"/>
  <c r="Y173" i="4"/>
  <c r="Z173" i="4"/>
  <c r="AA173" i="4"/>
  <c r="Y238" i="4"/>
  <c r="Z238" i="4"/>
  <c r="AA238" i="4"/>
  <c r="Y78" i="4"/>
  <c r="Z78" i="4"/>
  <c r="AA78" i="4"/>
  <c r="Y172" i="4"/>
  <c r="Z172" i="4"/>
  <c r="AA172" i="4"/>
  <c r="Y392" i="4"/>
  <c r="Z392" i="4"/>
  <c r="AA392" i="4"/>
  <c r="Y249" i="4"/>
  <c r="Z249" i="4"/>
  <c r="AA249" i="4"/>
  <c r="Y114" i="4"/>
  <c r="Z114" i="4"/>
  <c r="AA114" i="4"/>
  <c r="Y65" i="4"/>
  <c r="Z65" i="4"/>
  <c r="AA65" i="4"/>
  <c r="Y170" i="4"/>
  <c r="Z170" i="4"/>
  <c r="AA170" i="4"/>
  <c r="Y327" i="4"/>
  <c r="Z327" i="4"/>
  <c r="AA327" i="4"/>
  <c r="Y303" i="4"/>
  <c r="Z303" i="4"/>
  <c r="AA303" i="4"/>
  <c r="Y338" i="4"/>
  <c r="Z338" i="4"/>
  <c r="AA338" i="4"/>
  <c r="Y378" i="4"/>
  <c r="Z378" i="4"/>
  <c r="AA378" i="4"/>
  <c r="Y129" i="4"/>
  <c r="Z129" i="4"/>
  <c r="AA129" i="4"/>
  <c r="Y425" i="4"/>
  <c r="Z425" i="4"/>
  <c r="AA425" i="4"/>
  <c r="Y470" i="4"/>
  <c r="Z470" i="4"/>
  <c r="AA470" i="4"/>
  <c r="Y489" i="4"/>
  <c r="Z489" i="4"/>
  <c r="AA489" i="4"/>
  <c r="Y359" i="4"/>
  <c r="Z359" i="4"/>
  <c r="AA359" i="4"/>
  <c r="Y340" i="4"/>
  <c r="Z340" i="4"/>
  <c r="AA340" i="4"/>
  <c r="Y387" i="4"/>
  <c r="Z387" i="4"/>
  <c r="AA387" i="4"/>
  <c r="Y43" i="4"/>
  <c r="Z43" i="4"/>
  <c r="AA43" i="4"/>
  <c r="Y105" i="4"/>
  <c r="Z105" i="4"/>
  <c r="AA105" i="4"/>
  <c r="Y223" i="4"/>
  <c r="Z223" i="4"/>
  <c r="AA223" i="4"/>
  <c r="Y320" i="4"/>
  <c r="Z320" i="4"/>
  <c r="AA320" i="4"/>
  <c r="Y405" i="4"/>
  <c r="Z405" i="4"/>
  <c r="AA405" i="4"/>
  <c r="Y191" i="4"/>
  <c r="Z191" i="4"/>
  <c r="AA191" i="4"/>
  <c r="Y146" i="4"/>
  <c r="Z146" i="4"/>
  <c r="AA146" i="4"/>
  <c r="W317" i="4"/>
  <c r="V317" i="4"/>
  <c r="AA317" i="4"/>
  <c r="Y351" i="4"/>
  <c r="Z351" i="4"/>
  <c r="AA351" i="4"/>
  <c r="V112" i="4"/>
  <c r="W112" i="4"/>
  <c r="AA112" i="4"/>
  <c r="Y275" i="4"/>
  <c r="Z275" i="4"/>
  <c r="AA275" i="4"/>
  <c r="Y175" i="4"/>
  <c r="Z175" i="4"/>
  <c r="AA175" i="4"/>
  <c r="Y165" i="4"/>
  <c r="Z165" i="4"/>
  <c r="AA165" i="4"/>
  <c r="Y283" i="4"/>
  <c r="Z283" i="4"/>
  <c r="AA283" i="4"/>
  <c r="Y371" i="4"/>
  <c r="Z371" i="4"/>
  <c r="AA371" i="4"/>
  <c r="W296" i="4"/>
  <c r="V296" i="4"/>
  <c r="V453" i="4"/>
  <c r="W453" i="4"/>
  <c r="W232" i="4"/>
  <c r="V232" i="4"/>
  <c r="V83" i="4"/>
  <c r="W83" i="4"/>
  <c r="V421" i="4"/>
  <c r="W421" i="4"/>
  <c r="V185" i="4"/>
  <c r="W185" i="4"/>
  <c r="V247" i="4"/>
  <c r="W247" i="4"/>
  <c r="W21" i="4"/>
  <c r="V21" i="4"/>
  <c r="W97" i="4"/>
  <c r="V97" i="4"/>
  <c r="V184" i="4"/>
  <c r="W184" i="4"/>
  <c r="V123" i="4"/>
  <c r="W123" i="4"/>
  <c r="V8" i="4"/>
  <c r="W8" i="4"/>
  <c r="W200" i="4"/>
  <c r="V200" i="4"/>
  <c r="V98" i="4"/>
  <c r="W98" i="4"/>
  <c r="W39" i="4"/>
  <c r="V39" i="4"/>
  <c r="V362" i="4"/>
  <c r="W362" i="4"/>
  <c r="W468" i="4"/>
  <c r="V468" i="4"/>
  <c r="V473" i="4"/>
  <c r="W473" i="4"/>
  <c r="W497" i="4"/>
  <c r="V497" i="4"/>
  <c r="W294" i="4"/>
  <c r="V294" i="4"/>
  <c r="V241" i="4"/>
  <c r="W241" i="4"/>
  <c r="V367" i="4"/>
  <c r="W367" i="4"/>
  <c r="W342" i="4"/>
  <c r="V342" i="4"/>
  <c r="W90" i="4"/>
  <c r="V90" i="4"/>
  <c r="W436" i="4"/>
  <c r="V436" i="4"/>
  <c r="V150" i="4"/>
  <c r="W150" i="4"/>
  <c r="W173" i="4"/>
  <c r="V173" i="4"/>
  <c r="W238" i="4"/>
  <c r="V238" i="4"/>
  <c r="W78" i="4"/>
  <c r="V78" i="4"/>
  <c r="V172" i="4"/>
  <c r="W172" i="4"/>
  <c r="W392" i="4"/>
  <c r="V392" i="4"/>
  <c r="V249" i="4"/>
  <c r="W249" i="4"/>
  <c r="V114" i="4"/>
  <c r="W114" i="4"/>
  <c r="W65" i="4"/>
  <c r="V65" i="4"/>
  <c r="V170" i="4"/>
  <c r="W170" i="4"/>
  <c r="W327" i="4"/>
  <c r="V327" i="4"/>
  <c r="V303" i="4"/>
  <c r="W303" i="4"/>
  <c r="W338" i="4"/>
  <c r="V338" i="4"/>
  <c r="W378" i="4"/>
  <c r="V378" i="4"/>
  <c r="W129" i="4"/>
  <c r="V129" i="4"/>
  <c r="V425" i="4"/>
  <c r="W425" i="4"/>
  <c r="V470" i="4"/>
  <c r="W470" i="4"/>
  <c r="W489" i="4"/>
  <c r="V489" i="4"/>
  <c r="W359" i="4"/>
  <c r="V359" i="4"/>
  <c r="W340" i="4"/>
  <c r="V340" i="4"/>
  <c r="W387" i="4"/>
  <c r="V387" i="4"/>
  <c r="V43" i="4"/>
  <c r="W43" i="4"/>
  <c r="V105" i="4"/>
  <c r="W105" i="4"/>
  <c r="W223" i="4"/>
  <c r="V223" i="4"/>
  <c r="W320" i="4"/>
  <c r="V320" i="4"/>
  <c r="V405" i="4"/>
  <c r="W405" i="4"/>
  <c r="V191" i="4"/>
  <c r="W191" i="4"/>
  <c r="W146" i="4"/>
  <c r="V146" i="4"/>
  <c r="W351" i="4"/>
  <c r="V351" i="4"/>
  <c r="W275" i="4"/>
  <c r="V275" i="4"/>
  <c r="W175" i="4"/>
  <c r="V175" i="4"/>
  <c r="V165" i="4"/>
  <c r="W165" i="4"/>
  <c r="V283" i="4"/>
  <c r="W283" i="4"/>
  <c r="W371" i="4"/>
  <c r="V371" i="4"/>
  <c r="V467" i="4"/>
  <c r="W467" i="4"/>
  <c r="AA467" i="4"/>
  <c r="V456" i="4"/>
  <c r="W456" i="4"/>
  <c r="AA456" i="4"/>
  <c r="W14" i="4"/>
  <c r="V14" i="4"/>
  <c r="AA14" i="4"/>
  <c r="AC482" i="4"/>
  <c r="N482" i="4"/>
  <c r="AB482" i="4"/>
  <c r="AB20" i="4"/>
  <c r="AC20" i="4"/>
  <c r="N20" i="4"/>
  <c r="AB259" i="4"/>
  <c r="AC259" i="4"/>
  <c r="N259" i="4"/>
  <c r="AC240" i="4"/>
  <c r="N240" i="4"/>
  <c r="AB240" i="4"/>
  <c r="AC262" i="4"/>
  <c r="N262" i="4"/>
  <c r="AB262" i="4"/>
  <c r="AC344" i="4"/>
  <c r="N344" i="4"/>
  <c r="AB344" i="4"/>
  <c r="AB396" i="4"/>
  <c r="AC396" i="4"/>
  <c r="N396" i="4"/>
  <c r="AB244" i="4"/>
  <c r="AC244" i="4"/>
  <c r="N244" i="4"/>
  <c r="AC128" i="4"/>
  <c r="N128" i="4"/>
  <c r="AB128" i="4"/>
  <c r="AC349" i="4"/>
  <c r="N349" i="4"/>
  <c r="AB349" i="4"/>
  <c r="AB450" i="4"/>
  <c r="AC450" i="4"/>
  <c r="N450" i="4"/>
  <c r="AC54" i="4"/>
  <c r="N54" i="4"/>
  <c r="AB54" i="4"/>
  <c r="AC192" i="4"/>
  <c r="N192" i="4"/>
  <c r="AB192" i="4"/>
  <c r="AB488" i="4"/>
  <c r="AC488" i="4"/>
  <c r="N488" i="4"/>
  <c r="AB392" i="4"/>
  <c r="AC392" i="4"/>
  <c r="N392" i="4"/>
  <c r="AB362" i="4"/>
  <c r="AC362" i="4"/>
  <c r="N362" i="4"/>
  <c r="AB57" i="4"/>
  <c r="AC57" i="4"/>
  <c r="N57" i="4"/>
  <c r="AC313" i="4"/>
  <c r="N313" i="4"/>
  <c r="AB313" i="4"/>
  <c r="AB103" i="4"/>
  <c r="AC103" i="4"/>
  <c r="N103" i="4"/>
  <c r="AC237" i="4"/>
  <c r="N237" i="4"/>
  <c r="AB237" i="4"/>
  <c r="AB407" i="4"/>
  <c r="AC407" i="4"/>
  <c r="N407" i="4"/>
  <c r="AB224" i="4"/>
  <c r="AC224" i="4"/>
  <c r="N224" i="4"/>
  <c r="AB168" i="4"/>
  <c r="AC168" i="4"/>
  <c r="N168" i="4"/>
  <c r="AB401" i="4"/>
  <c r="AC401" i="4"/>
  <c r="N401" i="4"/>
  <c r="AB489" i="4"/>
  <c r="AC489" i="4"/>
  <c r="N489" i="4"/>
  <c r="AC39" i="4"/>
  <c r="N39" i="4"/>
  <c r="AB39" i="4"/>
  <c r="AB31" i="4"/>
  <c r="AC31" i="4"/>
  <c r="N31" i="4"/>
  <c r="AC422" i="4"/>
  <c r="N422" i="4"/>
  <c r="AB422" i="4"/>
  <c r="AB373" i="4"/>
  <c r="AC373" i="4"/>
  <c r="N373" i="4"/>
  <c r="AB441" i="4"/>
  <c r="AC441" i="4"/>
  <c r="N441" i="4"/>
  <c r="AB420" i="4"/>
  <c r="AC420" i="4"/>
  <c r="N420" i="4"/>
  <c r="AC82" i="4"/>
  <c r="N82" i="4"/>
  <c r="AB82" i="4"/>
  <c r="AC293" i="4"/>
  <c r="N293" i="4"/>
  <c r="AB293" i="4"/>
  <c r="AB321" i="4"/>
  <c r="AC321" i="4"/>
  <c r="N321" i="4"/>
  <c r="AB29" i="4"/>
  <c r="AC29" i="4"/>
  <c r="N29" i="4"/>
  <c r="AB46" i="4"/>
  <c r="AC46" i="4"/>
  <c r="N46" i="4"/>
  <c r="AB302" i="4"/>
  <c r="AC302" i="4"/>
  <c r="N302" i="4"/>
  <c r="AB258" i="4"/>
  <c r="AC258" i="4"/>
  <c r="N258" i="4"/>
  <c r="AC38" i="4"/>
  <c r="N38" i="4"/>
  <c r="AB38" i="4"/>
  <c r="AC319" i="4"/>
  <c r="N319" i="4"/>
  <c r="AB319" i="4"/>
  <c r="AC125" i="4"/>
  <c r="N125" i="4"/>
  <c r="AB125" i="4"/>
  <c r="AB52" i="4"/>
  <c r="AC52" i="4"/>
  <c r="N52" i="4"/>
  <c r="AB177" i="4"/>
  <c r="AC177" i="4"/>
  <c r="N177" i="4"/>
  <c r="AB101" i="4"/>
  <c r="AC101" i="4"/>
  <c r="N101" i="4"/>
  <c r="AC235" i="4"/>
  <c r="N235" i="4"/>
  <c r="AB235" i="4"/>
  <c r="AB307" i="4"/>
  <c r="AC307" i="4"/>
  <c r="N307" i="4"/>
  <c r="AC194" i="4"/>
  <c r="N194" i="4"/>
  <c r="AB194" i="4"/>
  <c r="AB37" i="4"/>
  <c r="AC37" i="4"/>
  <c r="N37" i="4"/>
  <c r="AB504" i="4"/>
  <c r="AC504" i="4"/>
  <c r="N504" i="4"/>
  <c r="AC328" i="4"/>
  <c r="N328" i="4"/>
  <c r="AB328" i="4"/>
  <c r="AB64" i="4"/>
  <c r="AC64" i="4"/>
  <c r="N64" i="4"/>
  <c r="AB340" i="4"/>
  <c r="AC340" i="4"/>
  <c r="N340" i="4"/>
  <c r="AB283" i="4"/>
  <c r="AC283" i="4"/>
  <c r="N283" i="4"/>
  <c r="AC238" i="4"/>
  <c r="N238" i="4"/>
  <c r="AB238" i="4"/>
  <c r="AB176" i="4"/>
  <c r="AC176" i="4"/>
  <c r="N176" i="4"/>
  <c r="AC165" i="4"/>
  <c r="N165" i="4"/>
  <c r="AB165" i="4"/>
  <c r="AB405" i="4"/>
  <c r="AC405" i="4"/>
  <c r="N405" i="4"/>
  <c r="AC378" i="4"/>
  <c r="N378" i="4"/>
  <c r="AB378" i="4"/>
  <c r="AC173" i="4"/>
  <c r="N173" i="4"/>
  <c r="AB173" i="4"/>
  <c r="AB8" i="4"/>
  <c r="AC8" i="4"/>
  <c r="N8" i="4"/>
  <c r="AB218" i="4"/>
  <c r="AC218" i="4"/>
  <c r="N218" i="4"/>
  <c r="AB253" i="4"/>
  <c r="AC253" i="4"/>
  <c r="N253" i="4"/>
  <c r="AC322" i="4"/>
  <c r="N322" i="4"/>
  <c r="AB322" i="4"/>
  <c r="AC62" i="4"/>
  <c r="N62" i="4"/>
  <c r="AB62" i="4"/>
  <c r="AB200" i="4"/>
  <c r="AC200" i="4"/>
  <c r="N200" i="4"/>
  <c r="AC49" i="4"/>
  <c r="N49" i="4"/>
  <c r="AB49" i="4"/>
  <c r="AC421" i="4"/>
  <c r="N421" i="4"/>
  <c r="AB421" i="4"/>
  <c r="AC169" i="4"/>
  <c r="N169" i="4"/>
  <c r="AB169" i="4"/>
  <c r="AB397" i="4"/>
  <c r="AC397" i="4"/>
  <c r="N397" i="4"/>
  <c r="AC466" i="4"/>
  <c r="N466" i="4"/>
  <c r="AB466" i="4"/>
  <c r="AC91" i="4"/>
  <c r="N91" i="4"/>
  <c r="AB91" i="4"/>
  <c r="AC448" i="4"/>
  <c r="N448" i="4"/>
  <c r="AB448" i="4"/>
  <c r="AC229" i="4"/>
  <c r="N229" i="4"/>
  <c r="AB229" i="4"/>
  <c r="AB12" i="4"/>
  <c r="AC12" i="4"/>
  <c r="N12" i="4"/>
  <c r="AB311" i="4"/>
  <c r="AC311" i="4"/>
  <c r="N311" i="4"/>
  <c r="AC191" i="4"/>
  <c r="N191" i="4"/>
  <c r="AB191" i="4"/>
  <c r="AB18" i="4"/>
  <c r="AC18" i="4"/>
  <c r="N18" i="4"/>
  <c r="AC175" i="4"/>
  <c r="N175" i="4"/>
  <c r="AB175" i="4"/>
  <c r="AB296" i="4"/>
  <c r="AC296" i="4"/>
  <c r="N296" i="4"/>
  <c r="AC223" i="4"/>
  <c r="N223" i="4"/>
  <c r="AB223" i="4"/>
  <c r="AC303" i="4"/>
  <c r="N303" i="4"/>
  <c r="AB303" i="4"/>
  <c r="AC436" i="4"/>
  <c r="N436" i="4"/>
  <c r="AB436" i="4"/>
  <c r="AC56" i="4"/>
  <c r="N56" i="4"/>
  <c r="AB56" i="4"/>
  <c r="AB476" i="4"/>
  <c r="AC476" i="4"/>
  <c r="N476" i="4"/>
  <c r="AC92" i="4"/>
  <c r="N92" i="4"/>
  <c r="AB92" i="4"/>
  <c r="AC334" i="4"/>
  <c r="N334" i="4"/>
  <c r="AB334" i="4"/>
  <c r="AC105" i="4"/>
  <c r="N105" i="4"/>
  <c r="AB105" i="4"/>
  <c r="AB241" i="4"/>
  <c r="AC241" i="4"/>
  <c r="N241" i="4"/>
  <c r="AB358" i="4"/>
  <c r="AC358" i="4"/>
  <c r="N358" i="4"/>
  <c r="AC284" i="4"/>
  <c r="N284" i="4"/>
  <c r="AB284" i="4"/>
  <c r="AB254" i="4"/>
  <c r="AC254" i="4"/>
  <c r="N254" i="4"/>
  <c r="AB132" i="4"/>
  <c r="AC132" i="4"/>
  <c r="N132" i="4"/>
  <c r="AC94" i="4"/>
  <c r="N94" i="4"/>
  <c r="AB94" i="4"/>
  <c r="AC431" i="4"/>
  <c r="N431" i="4"/>
  <c r="AB431" i="4"/>
  <c r="AC84" i="4"/>
  <c r="N84" i="4"/>
  <c r="AB84" i="4"/>
  <c r="AB211" i="4"/>
  <c r="AC211" i="4"/>
  <c r="N211" i="4"/>
  <c r="AC291" i="4"/>
  <c r="N291" i="4"/>
  <c r="AB291" i="4"/>
  <c r="AB227" i="4"/>
  <c r="AC227" i="4"/>
  <c r="N227" i="4"/>
  <c r="AB137" i="4"/>
  <c r="AC137" i="4"/>
  <c r="N137" i="4"/>
  <c r="AC114" i="4"/>
  <c r="N114" i="4"/>
  <c r="AB114" i="4"/>
  <c r="AC327" i="4"/>
  <c r="N327" i="4"/>
  <c r="AB327" i="4"/>
  <c r="AB43" i="4"/>
  <c r="AC43" i="4"/>
  <c r="N43" i="4"/>
  <c r="AC294" i="4"/>
  <c r="N294" i="4"/>
  <c r="AB294" i="4"/>
  <c r="AC21" i="4"/>
  <c r="N21" i="4"/>
  <c r="AB21" i="4"/>
  <c r="AC100" i="4"/>
  <c r="N100" i="4"/>
  <c r="AB100" i="4"/>
  <c r="AB209" i="4"/>
  <c r="AC209" i="4"/>
  <c r="N209" i="4"/>
  <c r="AC127" i="4"/>
  <c r="N127" i="4"/>
  <c r="AB127" i="4"/>
  <c r="AB7" i="4"/>
  <c r="AC7" i="4"/>
  <c r="N7" i="4"/>
  <c r="AB10" i="4"/>
  <c r="AC10" i="4"/>
  <c r="N10" i="4"/>
  <c r="AB129" i="4"/>
  <c r="AC129" i="4"/>
  <c r="N129" i="4"/>
  <c r="AB90" i="4"/>
  <c r="AC90" i="4"/>
  <c r="N90" i="4"/>
  <c r="AC97" i="4"/>
  <c r="N97" i="4"/>
  <c r="AB97" i="4"/>
  <c r="AC170" i="4"/>
  <c r="N170" i="4"/>
  <c r="AB170" i="4"/>
  <c r="AB440" i="4"/>
  <c r="AC440" i="4"/>
  <c r="N440" i="4"/>
  <c r="AC35" i="4"/>
  <c r="N35" i="4"/>
  <c r="AB35" i="4"/>
  <c r="AC163" i="4"/>
  <c r="N163" i="4"/>
  <c r="AB163" i="4"/>
  <c r="AC48" i="4"/>
  <c r="N48" i="4"/>
  <c r="AB48" i="4"/>
  <c r="AB23" i="4"/>
  <c r="AC23" i="4"/>
  <c r="N23" i="4"/>
  <c r="AB217" i="4"/>
  <c r="AC217" i="4"/>
  <c r="N217" i="4"/>
  <c r="AB174" i="4"/>
  <c r="AC174" i="4"/>
  <c r="N174" i="4"/>
  <c r="AB50" i="4"/>
  <c r="AC50" i="4"/>
  <c r="N50" i="4"/>
  <c r="AB387" i="4"/>
  <c r="AC387" i="4"/>
  <c r="N387" i="4"/>
  <c r="AB150" i="4"/>
  <c r="AC150" i="4"/>
  <c r="N150" i="4"/>
  <c r="AC149" i="4"/>
  <c r="N149" i="4"/>
  <c r="AB149" i="4"/>
  <c r="AC353" i="4"/>
  <c r="N353" i="4"/>
  <c r="AB353" i="4"/>
  <c r="AC60" i="4"/>
  <c r="N60" i="4"/>
  <c r="AB60" i="4"/>
  <c r="AB467" i="4"/>
  <c r="AC467" i="4"/>
  <c r="N467" i="4"/>
  <c r="AC359" i="4"/>
  <c r="N359" i="4"/>
  <c r="AB359" i="4"/>
  <c r="AB249" i="4"/>
  <c r="AC249" i="4"/>
  <c r="N249" i="4"/>
  <c r="AB83" i="4"/>
  <c r="AC83" i="4"/>
  <c r="N83" i="4"/>
  <c r="AB442" i="4"/>
  <c r="AC442" i="4"/>
  <c r="N442" i="4"/>
  <c r="AC408" i="4"/>
  <c r="N408" i="4"/>
  <c r="AB408" i="4"/>
  <c r="AC68" i="4"/>
  <c r="N68" i="4"/>
  <c r="AB68" i="4"/>
  <c r="AB264" i="4"/>
  <c r="AC264" i="4"/>
  <c r="N264" i="4"/>
  <c r="AC487" i="4"/>
  <c r="N487" i="4"/>
  <c r="AB487" i="4"/>
  <c r="AB34" i="4"/>
  <c r="AC34" i="4"/>
  <c r="N34" i="4"/>
  <c r="AC15" i="4"/>
  <c r="N15" i="4"/>
  <c r="AB15" i="4"/>
  <c r="AB246" i="4"/>
  <c r="AC246" i="4"/>
  <c r="N246" i="4"/>
  <c r="AC423" i="4"/>
  <c r="N423" i="4"/>
  <c r="AB423" i="4"/>
  <c r="AC156" i="4"/>
  <c r="N156" i="4"/>
  <c r="AB156" i="4"/>
  <c r="AB41" i="4"/>
  <c r="AC41" i="4"/>
  <c r="N41" i="4"/>
  <c r="AC67" i="4"/>
  <c r="N67" i="4"/>
  <c r="AB67" i="4"/>
  <c r="AC481" i="4"/>
  <c r="N481" i="4"/>
  <c r="AB481" i="4"/>
  <c r="AB198" i="4"/>
  <c r="AC198" i="4"/>
  <c r="N198" i="4"/>
  <c r="AC17" i="4"/>
  <c r="N17" i="4"/>
  <c r="AB17" i="4"/>
  <c r="AB89" i="4"/>
  <c r="AC89" i="4"/>
  <c r="N89" i="4"/>
  <c r="AB121" i="4"/>
  <c r="AC121" i="4"/>
  <c r="N121" i="4"/>
  <c r="AC437" i="4"/>
  <c r="N437" i="4"/>
  <c r="AB437" i="4"/>
  <c r="AB131" i="4"/>
  <c r="AC131" i="4"/>
  <c r="N131" i="4"/>
  <c r="AC236" i="4"/>
  <c r="N236" i="4"/>
  <c r="AB236" i="4"/>
  <c r="AB143" i="4"/>
  <c r="AC143" i="4"/>
  <c r="N143" i="4"/>
  <c r="AB261" i="4"/>
  <c r="AC261" i="4"/>
  <c r="N261" i="4"/>
  <c r="AC280" i="4"/>
  <c r="N280" i="4"/>
  <c r="AB280" i="4"/>
  <c r="AB300" i="4"/>
  <c r="AC300" i="4"/>
  <c r="N300" i="4"/>
  <c r="AB263" i="4"/>
  <c r="AC263" i="4"/>
  <c r="N263" i="4"/>
  <c r="AB438" i="4"/>
  <c r="AC438" i="4"/>
  <c r="N438" i="4"/>
  <c r="AB410" i="4"/>
  <c r="AC410" i="4"/>
  <c r="N410" i="4"/>
  <c r="AC182" i="4"/>
  <c r="N182" i="4"/>
  <c r="AB182" i="4"/>
  <c r="AC267" i="4"/>
  <c r="N267" i="4"/>
  <c r="AB267" i="4"/>
  <c r="AC492" i="4"/>
  <c r="N492" i="4"/>
  <c r="AB492" i="4"/>
  <c r="AC58" i="4"/>
  <c r="N58" i="4"/>
  <c r="AB58" i="4"/>
  <c r="AB6" i="4"/>
  <c r="AC6" i="4"/>
  <c r="N6" i="4"/>
  <c r="AC171" i="4"/>
  <c r="N171" i="4"/>
  <c r="AB171" i="4"/>
  <c r="AB424" i="4"/>
  <c r="AC424" i="4"/>
  <c r="N424" i="4"/>
  <c r="AC337" i="4"/>
  <c r="N337" i="4"/>
  <c r="AB337" i="4"/>
  <c r="AC25" i="4"/>
  <c r="N25" i="4"/>
  <c r="AB25" i="4"/>
  <c r="AB207" i="4"/>
  <c r="AC207" i="4"/>
  <c r="N207" i="4"/>
  <c r="AB326" i="4"/>
  <c r="AC326" i="4"/>
  <c r="N326" i="4"/>
  <c r="AC315" i="4"/>
  <c r="N315" i="4"/>
  <c r="AB315" i="4"/>
  <c r="AB77" i="4"/>
  <c r="AC77" i="4"/>
  <c r="N77" i="4"/>
  <c r="AB502" i="4"/>
  <c r="AC502" i="4"/>
  <c r="N502" i="4"/>
  <c r="AC201" i="4"/>
  <c r="N201" i="4"/>
  <c r="AB201" i="4"/>
  <c r="AC418" i="4"/>
  <c r="N418" i="4"/>
  <c r="AB418" i="4"/>
  <c r="AC30" i="4"/>
  <c r="N30" i="4"/>
  <c r="AB30" i="4"/>
  <c r="AB304" i="4"/>
  <c r="AC304" i="4"/>
  <c r="N304" i="4"/>
  <c r="AB490" i="4"/>
  <c r="AC490" i="4"/>
  <c r="N490" i="4"/>
  <c r="AB290" i="4"/>
  <c r="AC290" i="4"/>
  <c r="N290" i="4"/>
  <c r="AC245" i="4"/>
  <c r="N245" i="4"/>
  <c r="AB245" i="4"/>
  <c r="AB230" i="4"/>
  <c r="AC230" i="4"/>
  <c r="N230" i="4"/>
  <c r="AC122" i="4"/>
  <c r="N122" i="4"/>
  <c r="AB122" i="4"/>
  <c r="AB145" i="4"/>
  <c r="AC145" i="4"/>
  <c r="N145" i="4"/>
  <c r="AC364" i="4"/>
  <c r="N364" i="4"/>
  <c r="AB364" i="4"/>
  <c r="AB181" i="4"/>
  <c r="AC181" i="4"/>
  <c r="N181" i="4"/>
  <c r="AC162" i="4"/>
  <c r="N162" i="4"/>
  <c r="AB162" i="4"/>
  <c r="AB458" i="4"/>
  <c r="AC458" i="4"/>
  <c r="N458" i="4"/>
  <c r="AC427" i="4"/>
  <c r="N427" i="4"/>
  <c r="AB427" i="4"/>
  <c r="AB225" i="4"/>
  <c r="AC225" i="4"/>
  <c r="N225" i="4"/>
  <c r="AC13" i="4"/>
  <c r="N13" i="4"/>
  <c r="AB13" i="4"/>
  <c r="AC212" i="4"/>
  <c r="N212" i="4"/>
  <c r="AB212" i="4"/>
  <c r="AC391" i="4"/>
  <c r="N391" i="4"/>
  <c r="AB391" i="4"/>
  <c r="AC59" i="4"/>
  <c r="N59" i="4"/>
  <c r="AB59" i="4"/>
  <c r="AB485" i="4"/>
  <c r="AC485" i="4"/>
  <c r="N485" i="4"/>
  <c r="AB110" i="4"/>
  <c r="AC110" i="4"/>
  <c r="N110" i="4"/>
  <c r="AC312" i="4"/>
  <c r="N312" i="4"/>
  <c r="AB312" i="4"/>
  <c r="AB464" i="4"/>
  <c r="AC464" i="4"/>
  <c r="N464" i="4"/>
  <c r="AB228" i="4"/>
  <c r="AC228" i="4"/>
  <c r="N228" i="4"/>
  <c r="AB270" i="4"/>
  <c r="AC270" i="4"/>
  <c r="N270" i="4"/>
  <c r="AC155" i="4"/>
  <c r="N155" i="4"/>
  <c r="AB155" i="4"/>
  <c r="AB325" i="4"/>
  <c r="AC325" i="4"/>
  <c r="N325" i="4"/>
  <c r="AB493" i="4"/>
  <c r="AC493" i="4"/>
  <c r="N493" i="4"/>
  <c r="AC400" i="4"/>
  <c r="N400" i="4"/>
  <c r="AB400" i="4"/>
  <c r="AB484" i="4"/>
  <c r="AC484" i="4"/>
  <c r="N484" i="4"/>
  <c r="AB365" i="4"/>
  <c r="AC365" i="4"/>
  <c r="N365" i="4"/>
  <c r="AC214" i="4"/>
  <c r="N214" i="4"/>
  <c r="AB214" i="4"/>
  <c r="AC335" i="4"/>
  <c r="N335" i="4"/>
  <c r="AB335" i="4"/>
  <c r="AB220" i="4"/>
  <c r="AC220" i="4"/>
  <c r="N220" i="4"/>
  <c r="AB187" i="4"/>
  <c r="AC187" i="4"/>
  <c r="N187" i="4"/>
  <c r="AB275" i="4"/>
  <c r="AC275" i="4"/>
  <c r="N275" i="4"/>
  <c r="AC342" i="4"/>
  <c r="N342" i="4"/>
  <c r="AB342" i="4"/>
  <c r="AC497" i="4"/>
  <c r="N497" i="4"/>
  <c r="AB497" i="4"/>
  <c r="AC123" i="4"/>
  <c r="N123" i="4"/>
  <c r="AB123" i="4"/>
  <c r="AC247" i="4"/>
  <c r="N247" i="4"/>
  <c r="AB247" i="4"/>
  <c r="AB232" i="4"/>
  <c r="AC232" i="4"/>
  <c r="N232" i="4"/>
  <c r="AB233" i="4"/>
  <c r="AC233" i="4"/>
  <c r="N233" i="4"/>
  <c r="AC419" i="4"/>
  <c r="N419" i="4"/>
  <c r="AB419" i="4"/>
  <c r="AC26" i="4"/>
  <c r="N26" i="4"/>
  <c r="AB26" i="4"/>
  <c r="AB366" i="4"/>
  <c r="AC366" i="4"/>
  <c r="N366" i="4"/>
  <c r="AC301" i="4"/>
  <c r="N301" i="4"/>
  <c r="AB301" i="4"/>
  <c r="AC298" i="4"/>
  <c r="N298" i="4"/>
  <c r="AB298" i="4"/>
  <c r="AB370" i="4"/>
  <c r="AC370" i="4"/>
  <c r="N370" i="4"/>
  <c r="AC260" i="4"/>
  <c r="N260" i="4"/>
  <c r="AB260" i="4"/>
  <c r="AC479" i="4"/>
  <c r="N479" i="4"/>
  <c r="AB479" i="4"/>
  <c r="AB66" i="4"/>
  <c r="AC66" i="4"/>
  <c r="N66" i="4"/>
  <c r="AB381" i="4"/>
  <c r="AC381" i="4"/>
  <c r="N381" i="4"/>
  <c r="AB446" i="4"/>
  <c r="AC446" i="4"/>
  <c r="N446" i="4"/>
  <c r="AB4" i="4"/>
  <c r="AC4" i="4"/>
  <c r="N4" i="4"/>
  <c r="AB36" i="4"/>
  <c r="AC36" i="4"/>
  <c r="N36" i="4"/>
  <c r="AC255" i="4"/>
  <c r="N255" i="4"/>
  <c r="AB255" i="4"/>
  <c r="AC289" i="4"/>
  <c r="N289" i="4"/>
  <c r="AB289" i="4"/>
  <c r="AC462" i="4"/>
  <c r="N462" i="4"/>
  <c r="AB462" i="4"/>
  <c r="AC417" i="4"/>
  <c r="N417" i="4"/>
  <c r="AB417" i="4"/>
  <c r="AC435" i="4"/>
  <c r="N435" i="4"/>
  <c r="AB435" i="4"/>
  <c r="AC111" i="4"/>
  <c r="N111" i="4"/>
  <c r="AB111" i="4"/>
  <c r="AC197" i="4"/>
  <c r="N197" i="4"/>
  <c r="AB197" i="4"/>
  <c r="AB480" i="4"/>
  <c r="AC480" i="4"/>
  <c r="N480" i="4"/>
  <c r="AC268" i="4"/>
  <c r="N268" i="4"/>
  <c r="AB268" i="4"/>
  <c r="AC389" i="4"/>
  <c r="N389" i="4"/>
  <c r="AB389" i="4"/>
  <c r="AC107" i="4"/>
  <c r="N107" i="4"/>
  <c r="AB107" i="4"/>
  <c r="AB386" i="4"/>
  <c r="AC386" i="4"/>
  <c r="N386" i="4"/>
  <c r="AC216" i="4"/>
  <c r="N216" i="4"/>
  <c r="AB216" i="4"/>
  <c r="AC399" i="4"/>
  <c r="N399" i="4"/>
  <c r="AB399" i="4"/>
  <c r="AC371" i="4"/>
  <c r="N371" i="4"/>
  <c r="AB371" i="4"/>
  <c r="AC380" i="4"/>
  <c r="N380" i="4"/>
  <c r="AB380" i="4"/>
  <c r="AB330" i="4"/>
  <c r="AC330" i="4"/>
  <c r="N330" i="4"/>
  <c r="AB318" i="4"/>
  <c r="AC318" i="4"/>
  <c r="N318" i="4"/>
  <c r="AC53" i="4"/>
  <c r="N53" i="4"/>
  <c r="AB53" i="4"/>
  <c r="AC44" i="4"/>
  <c r="N44" i="4"/>
  <c r="AB44" i="4"/>
  <c r="AB272" i="4"/>
  <c r="AC272" i="4"/>
  <c r="N272" i="4"/>
  <c r="AC475" i="4"/>
  <c r="N475" i="4"/>
  <c r="AB475" i="4"/>
  <c r="AB305" i="4"/>
  <c r="AC305" i="4"/>
  <c r="N305" i="4"/>
  <c r="AB276" i="4"/>
  <c r="AC276" i="4"/>
  <c r="N276" i="4"/>
  <c r="AB279" i="4"/>
  <c r="AC279" i="4"/>
  <c r="N279" i="4"/>
  <c r="AB112" i="4"/>
  <c r="AC112" i="4"/>
  <c r="N112" i="4"/>
  <c r="AB469" i="4"/>
  <c r="AC469" i="4"/>
  <c r="N469" i="4"/>
  <c r="AB377" i="4"/>
  <c r="AC377" i="4"/>
  <c r="N377" i="4"/>
  <c r="AB135" i="4"/>
  <c r="AC135" i="4"/>
  <c r="N135" i="4"/>
  <c r="AB324" i="4"/>
  <c r="AC324" i="4"/>
  <c r="N324" i="4"/>
  <c r="AB499" i="4"/>
  <c r="AC499" i="4"/>
  <c r="N499" i="4"/>
  <c r="AB269" i="4"/>
  <c r="AC269" i="4"/>
  <c r="N269" i="4"/>
  <c r="AB411" i="4"/>
  <c r="AC411" i="4"/>
  <c r="N411" i="4"/>
  <c r="AC447" i="4"/>
  <c r="N447" i="4"/>
  <c r="AB447" i="4"/>
  <c r="AC118" i="4"/>
  <c r="N118" i="4"/>
  <c r="AB118" i="4"/>
  <c r="AB226" i="4"/>
  <c r="AC226" i="4"/>
  <c r="N226" i="4"/>
  <c r="AB379" i="4"/>
  <c r="AC379" i="4"/>
  <c r="N379" i="4"/>
  <c r="AB130" i="4"/>
  <c r="AC130" i="4"/>
  <c r="N130" i="4"/>
  <c r="AC398" i="4"/>
  <c r="N398" i="4"/>
  <c r="AB398" i="4"/>
  <c r="AC80" i="4"/>
  <c r="N80" i="4"/>
  <c r="AB80" i="4"/>
  <c r="AB412" i="4"/>
  <c r="AC412" i="4"/>
  <c r="N412" i="4"/>
  <c r="AB332" i="4"/>
  <c r="AC332" i="4"/>
  <c r="N332" i="4"/>
  <c r="AB108" i="4"/>
  <c r="AC108" i="4"/>
  <c r="N108" i="4"/>
  <c r="AC196" i="4"/>
  <c r="N196" i="4"/>
  <c r="AB196" i="4"/>
  <c r="AC222" i="4"/>
  <c r="N222" i="4"/>
  <c r="AB222" i="4"/>
  <c r="AB281" i="4"/>
  <c r="AC281" i="4"/>
  <c r="N281" i="4"/>
  <c r="AB454" i="4"/>
  <c r="AC454" i="4"/>
  <c r="N454" i="4"/>
  <c r="AC142" i="4"/>
  <c r="N142" i="4"/>
  <c r="AB142" i="4"/>
  <c r="AC72" i="4"/>
  <c r="N72" i="4"/>
  <c r="AB72" i="4"/>
  <c r="AB444" i="4"/>
  <c r="AC444" i="4"/>
  <c r="N444" i="4"/>
  <c r="AC295" i="4"/>
  <c r="N295" i="4"/>
  <c r="AB295" i="4"/>
  <c r="AC138" i="4"/>
  <c r="N138" i="4"/>
  <c r="AB138" i="4"/>
  <c r="AC208" i="4"/>
  <c r="N208" i="4"/>
  <c r="AB208" i="4"/>
  <c r="AB383" i="4"/>
  <c r="AC383" i="4"/>
  <c r="N383" i="4"/>
  <c r="AB85" i="4"/>
  <c r="AC85" i="4"/>
  <c r="N85" i="4"/>
  <c r="AC483" i="4"/>
  <c r="N483" i="4"/>
  <c r="AB483" i="4"/>
  <c r="AC500" i="4"/>
  <c r="N500" i="4"/>
  <c r="AB500" i="4"/>
  <c r="AC384" i="4"/>
  <c r="N384" i="4"/>
  <c r="AB384" i="4"/>
  <c r="AB439" i="4"/>
  <c r="AC439" i="4"/>
  <c r="N439" i="4"/>
  <c r="AC164" i="4"/>
  <c r="N164" i="4"/>
  <c r="AB164" i="4"/>
  <c r="AC428" i="4"/>
  <c r="N428" i="4"/>
  <c r="AB428" i="4"/>
  <c r="AC243" i="4"/>
  <c r="N243" i="4"/>
  <c r="AB243" i="4"/>
  <c r="AC308" i="4"/>
  <c r="N308" i="4"/>
  <c r="AB308" i="4"/>
  <c r="AC205" i="4"/>
  <c r="N205" i="4"/>
  <c r="AB205" i="4"/>
  <c r="AC157" i="4"/>
  <c r="N157" i="4"/>
  <c r="AB157" i="4"/>
  <c r="AB278" i="4"/>
  <c r="AC278" i="4"/>
  <c r="N278" i="4"/>
  <c r="AC368" i="4"/>
  <c r="N368" i="4"/>
  <c r="AB368" i="4"/>
  <c r="AB183" i="4"/>
  <c r="AC183" i="4"/>
  <c r="N183" i="4"/>
  <c r="AB250" i="4"/>
  <c r="AC250" i="4"/>
  <c r="N250" i="4"/>
  <c r="AC286" i="4"/>
  <c r="N286" i="4"/>
  <c r="AB286" i="4"/>
  <c r="AC106" i="4"/>
  <c r="N106" i="4"/>
  <c r="AB106" i="4"/>
  <c r="AB188" i="4"/>
  <c r="AC188" i="4"/>
  <c r="N188" i="4"/>
  <c r="AC320" i="4"/>
  <c r="N320" i="4"/>
  <c r="AB320" i="4"/>
  <c r="AC257" i="4"/>
  <c r="N257" i="4"/>
  <c r="AB257" i="4"/>
  <c r="AC360" i="4"/>
  <c r="N360" i="4"/>
  <c r="AB360" i="4"/>
  <c r="AB282" i="4"/>
  <c r="AC282" i="4"/>
  <c r="N282" i="4"/>
  <c r="AC265" i="4"/>
  <c r="N265" i="4"/>
  <c r="AB265" i="4"/>
  <c r="AC93" i="4"/>
  <c r="N93" i="4"/>
  <c r="AB93" i="4"/>
  <c r="AC115" i="4"/>
  <c r="N115" i="4"/>
  <c r="AB115" i="4"/>
  <c r="AB134" i="4"/>
  <c r="AC134" i="4"/>
  <c r="N134" i="4"/>
  <c r="AB461" i="4"/>
  <c r="AC461" i="4"/>
  <c r="N461" i="4"/>
  <c r="AB256" i="4"/>
  <c r="AC256" i="4"/>
  <c r="N256" i="4"/>
  <c r="AB117" i="4"/>
  <c r="AC117" i="4"/>
  <c r="N117" i="4"/>
  <c r="AC455" i="4"/>
  <c r="N455" i="4"/>
  <c r="AB455" i="4"/>
  <c r="AC341" i="4"/>
  <c r="N341" i="4"/>
  <c r="AB341" i="4"/>
  <c r="AB153" i="4"/>
  <c r="AC153" i="4"/>
  <c r="N153" i="4"/>
  <c r="AC347" i="4"/>
  <c r="N347" i="4"/>
  <c r="AB347" i="4"/>
  <c r="AB73" i="4"/>
  <c r="AC73" i="4"/>
  <c r="N73" i="4"/>
  <c r="AB486" i="4"/>
  <c r="AC486" i="4"/>
  <c r="N486" i="4"/>
  <c r="AB96" i="4"/>
  <c r="AC96" i="4"/>
  <c r="N96" i="4"/>
  <c r="AC415" i="4"/>
  <c r="N415" i="4"/>
  <c r="AB415" i="4"/>
  <c r="AB61" i="4"/>
  <c r="AC61" i="4"/>
  <c r="N61" i="4"/>
  <c r="AC102" i="4"/>
  <c r="N102" i="4"/>
  <c r="AB102" i="4"/>
  <c r="AB119" i="4"/>
  <c r="AC119" i="4"/>
  <c r="N119" i="4"/>
  <c r="AC343" i="4"/>
  <c r="N343" i="4"/>
  <c r="AB343" i="4"/>
  <c r="AC113" i="4"/>
  <c r="N113" i="4"/>
  <c r="AB113" i="4"/>
  <c r="AB139" i="4"/>
  <c r="AC139" i="4"/>
  <c r="N139" i="4"/>
  <c r="AB338" i="4"/>
  <c r="AC338" i="4"/>
  <c r="N338" i="4"/>
  <c r="AC252" i="4"/>
  <c r="N252" i="4"/>
  <c r="AB252" i="4"/>
  <c r="AB81" i="4"/>
  <c r="AC81" i="4"/>
  <c r="N81" i="4"/>
  <c r="AC498" i="4"/>
  <c r="N498" i="4"/>
  <c r="AB498" i="4"/>
  <c r="AB116" i="4"/>
  <c r="AC116" i="4"/>
  <c r="N116" i="4"/>
  <c r="AC158" i="4"/>
  <c r="N158" i="4"/>
  <c r="AB158" i="4"/>
  <c r="AB495" i="4"/>
  <c r="AC495" i="4"/>
  <c r="N495" i="4"/>
  <c r="AB285" i="4"/>
  <c r="AC285" i="4"/>
  <c r="N285" i="4"/>
  <c r="AB339" i="4"/>
  <c r="AC339" i="4"/>
  <c r="N339" i="4"/>
  <c r="AB87" i="4"/>
  <c r="AC87" i="4"/>
  <c r="N87" i="4"/>
  <c r="AB213" i="4"/>
  <c r="AC213" i="4"/>
  <c r="N213" i="4"/>
  <c r="AB45" i="4"/>
  <c r="AC45" i="4"/>
  <c r="N45" i="4"/>
  <c r="AB426" i="4"/>
  <c r="AC426" i="4"/>
  <c r="N426" i="4"/>
  <c r="AC470" i="4"/>
  <c r="N470" i="4"/>
  <c r="AB470" i="4"/>
  <c r="AC98" i="4"/>
  <c r="N98" i="4"/>
  <c r="AB98" i="4"/>
  <c r="AB453" i="4"/>
  <c r="AC453" i="4"/>
  <c r="N453" i="4"/>
  <c r="AB27" i="4"/>
  <c r="AC27" i="4"/>
  <c r="N27" i="4"/>
  <c r="AC496" i="4"/>
  <c r="N496" i="4"/>
  <c r="AB496" i="4"/>
  <c r="AC395" i="4"/>
  <c r="N395" i="4"/>
  <c r="AB395" i="4"/>
  <c r="AC74" i="4"/>
  <c r="N74" i="4"/>
  <c r="AB74" i="4"/>
  <c r="AC55" i="4"/>
  <c r="N55" i="4"/>
  <c r="AB55" i="4"/>
  <c r="AB345" i="4"/>
  <c r="AC345" i="4"/>
  <c r="N345" i="4"/>
  <c r="AC193" i="4"/>
  <c r="N193" i="4"/>
  <c r="AB193" i="4"/>
  <c r="AC271" i="4"/>
  <c r="N271" i="4"/>
  <c r="AB271" i="4"/>
  <c r="AC299" i="4"/>
  <c r="N299" i="4"/>
  <c r="AB299" i="4"/>
  <c r="AC460" i="4"/>
  <c r="N460" i="4"/>
  <c r="AB460" i="4"/>
  <c r="AB69" i="4"/>
  <c r="AC69" i="4"/>
  <c r="N69" i="4"/>
  <c r="AB376" i="4"/>
  <c r="AC376" i="4"/>
  <c r="N376" i="4"/>
  <c r="AB19" i="4"/>
  <c r="AC19" i="4"/>
  <c r="N19" i="4"/>
  <c r="AC190" i="4"/>
  <c r="N190" i="4"/>
  <c r="AB190" i="4"/>
  <c r="AC452" i="4"/>
  <c r="N452" i="4"/>
  <c r="AB452" i="4"/>
  <c r="AB316" i="4"/>
  <c r="AC316" i="4"/>
  <c r="N316" i="4"/>
  <c r="AB152" i="4"/>
  <c r="AC152" i="4"/>
  <c r="N152" i="4"/>
  <c r="AB79" i="4"/>
  <c r="AC79" i="4"/>
  <c r="N79" i="4"/>
  <c r="AB451" i="4"/>
  <c r="AC451" i="4"/>
  <c r="N451" i="4"/>
  <c r="AC251" i="4"/>
  <c r="N251" i="4"/>
  <c r="AB251" i="4"/>
  <c r="AC144" i="4"/>
  <c r="N144" i="4"/>
  <c r="AB144" i="4"/>
  <c r="AB287" i="4"/>
  <c r="AC287" i="4"/>
  <c r="N287" i="4"/>
  <c r="AB354" i="4"/>
  <c r="AC354" i="4"/>
  <c r="N354" i="4"/>
  <c r="AC22" i="4"/>
  <c r="N22" i="4"/>
  <c r="AB22" i="4"/>
  <c r="AC166" i="4"/>
  <c r="N166" i="4"/>
  <c r="AB166" i="4"/>
  <c r="AC352" i="4"/>
  <c r="N352" i="4"/>
  <c r="AB352" i="4"/>
  <c r="AC314" i="4"/>
  <c r="N314" i="4"/>
  <c r="AB314" i="4"/>
  <c r="AC306" i="4"/>
  <c r="N306" i="4"/>
  <c r="AB306" i="4"/>
  <c r="AC471" i="4"/>
  <c r="N471" i="4"/>
  <c r="AB471" i="4"/>
  <c r="AC159" i="4"/>
  <c r="N159" i="4"/>
  <c r="AB159" i="4"/>
  <c r="AB186" i="4"/>
  <c r="AC186" i="4"/>
  <c r="N186" i="4"/>
  <c r="AC357" i="4"/>
  <c r="N357" i="4"/>
  <c r="AB357" i="4"/>
  <c r="AB120" i="4"/>
  <c r="AC120" i="4"/>
  <c r="N120" i="4"/>
  <c r="AC16" i="4"/>
  <c r="N16" i="4"/>
  <c r="AB16" i="4"/>
  <c r="AB414" i="4"/>
  <c r="AC414" i="4"/>
  <c r="N414" i="4"/>
  <c r="AB355" i="4"/>
  <c r="AC355" i="4"/>
  <c r="N355" i="4"/>
  <c r="AC393" i="4"/>
  <c r="N393" i="4"/>
  <c r="AB393" i="4"/>
  <c r="AC432" i="4"/>
  <c r="N432" i="4"/>
  <c r="AB432" i="4"/>
  <c r="AC266" i="4"/>
  <c r="N266" i="4"/>
  <c r="AB266" i="4"/>
  <c r="AB374" i="4"/>
  <c r="AC374" i="4"/>
  <c r="N374" i="4"/>
  <c r="AC206" i="4"/>
  <c r="N206" i="4"/>
  <c r="AB206" i="4"/>
  <c r="AC133" i="4"/>
  <c r="N133" i="4"/>
  <c r="AB133" i="4"/>
  <c r="AC151" i="4"/>
  <c r="N151" i="4"/>
  <c r="AB151" i="4"/>
  <c r="AC161" i="4"/>
  <c r="N161" i="4"/>
  <c r="AB161" i="4"/>
  <c r="AC348" i="4"/>
  <c r="N348" i="4"/>
  <c r="AB348" i="4"/>
  <c r="AB501" i="4"/>
  <c r="AC501" i="4"/>
  <c r="N501" i="4"/>
  <c r="AB172" i="4"/>
  <c r="AC172" i="4"/>
  <c r="N172" i="4"/>
  <c r="AC478" i="4"/>
  <c r="N478" i="4"/>
  <c r="AB478" i="4"/>
  <c r="AC430" i="4"/>
  <c r="N430" i="4"/>
  <c r="AB430" i="4"/>
  <c r="AB195" i="4"/>
  <c r="AC195" i="4"/>
  <c r="N195" i="4"/>
  <c r="AB71" i="4"/>
  <c r="AC71" i="4"/>
  <c r="N71" i="4"/>
  <c r="AB9" i="4"/>
  <c r="AC9" i="4"/>
  <c r="N9" i="4"/>
  <c r="AC292" i="4"/>
  <c r="N292" i="4"/>
  <c r="AB292" i="4"/>
  <c r="AC204" i="4"/>
  <c r="N204" i="4"/>
  <c r="AB204" i="4"/>
  <c r="AC141" i="4"/>
  <c r="N141" i="4"/>
  <c r="AB141" i="4"/>
  <c r="AB248" i="4"/>
  <c r="AC248" i="4"/>
  <c r="N248" i="4"/>
  <c r="AB403" i="4"/>
  <c r="AC403" i="4"/>
  <c r="N403" i="4"/>
  <c r="AC11" i="4"/>
  <c r="N11" i="4"/>
  <c r="AB11" i="4"/>
  <c r="AB126" i="4"/>
  <c r="AC126" i="4"/>
  <c r="N126" i="4"/>
  <c r="AB372" i="4"/>
  <c r="AC372" i="4"/>
  <c r="N372" i="4"/>
  <c r="AB323" i="4"/>
  <c r="AC323" i="4"/>
  <c r="N323" i="4"/>
  <c r="AB491" i="4"/>
  <c r="AC491" i="4"/>
  <c r="N491" i="4"/>
  <c r="AC388" i="4"/>
  <c r="N388" i="4"/>
  <c r="AB388" i="4"/>
  <c r="AB394" i="4"/>
  <c r="AC394" i="4"/>
  <c r="N394" i="4"/>
  <c r="AC456" i="4"/>
  <c r="N456" i="4"/>
  <c r="AB456" i="4"/>
  <c r="AC146" i="4"/>
  <c r="N146" i="4"/>
  <c r="AB146" i="4"/>
  <c r="AC425" i="4"/>
  <c r="N425" i="4"/>
  <c r="AB425" i="4"/>
  <c r="AC78" i="4"/>
  <c r="N78" i="4"/>
  <c r="AB78" i="4"/>
  <c r="AB468" i="4"/>
  <c r="AC468" i="4"/>
  <c r="N468" i="4"/>
  <c r="AC317" i="4"/>
  <c r="N317" i="4"/>
  <c r="AB317" i="4"/>
  <c r="AB47" i="4"/>
  <c r="AC47" i="4"/>
  <c r="N47" i="4"/>
  <c r="AC457" i="4"/>
  <c r="N457" i="4"/>
  <c r="AB457" i="4"/>
  <c r="AC409" i="4"/>
  <c r="N409" i="4"/>
  <c r="AB409" i="4"/>
  <c r="AC350" i="4"/>
  <c r="N350" i="4"/>
  <c r="AB350" i="4"/>
  <c r="AC309" i="4"/>
  <c r="N309" i="4"/>
  <c r="AB309" i="4"/>
  <c r="AC42" i="4"/>
  <c r="N42" i="4"/>
  <c r="AB42" i="4"/>
  <c r="AB76" i="4"/>
  <c r="AC76" i="4"/>
  <c r="N76" i="4"/>
  <c r="AC221" i="4"/>
  <c r="N221" i="4"/>
  <c r="AB221" i="4"/>
  <c r="AB215" i="4"/>
  <c r="AC215" i="4"/>
  <c r="N215" i="4"/>
  <c r="AB231" i="4"/>
  <c r="AC231" i="4"/>
  <c r="N231" i="4"/>
  <c r="AC375" i="4"/>
  <c r="N375" i="4"/>
  <c r="AB375" i="4"/>
  <c r="AB28" i="4"/>
  <c r="AC28" i="4"/>
  <c r="N28" i="4"/>
  <c r="AB445" i="4"/>
  <c r="AC445" i="4"/>
  <c r="N445" i="4"/>
  <c r="AC449" i="4"/>
  <c r="N449" i="4"/>
  <c r="AB449" i="4"/>
  <c r="AC382" i="4"/>
  <c r="N382" i="4"/>
  <c r="AB382" i="4"/>
  <c r="AB33" i="4"/>
  <c r="AC33" i="4"/>
  <c r="N33" i="4"/>
  <c r="AB429" i="4"/>
  <c r="AC429" i="4"/>
  <c r="N429" i="4"/>
  <c r="AB477" i="4"/>
  <c r="AC477" i="4"/>
  <c r="N477" i="4"/>
  <c r="AB329" i="4"/>
  <c r="AC329" i="4"/>
  <c r="N329" i="4"/>
  <c r="AB202" i="4"/>
  <c r="AC202" i="4"/>
  <c r="N202" i="4"/>
  <c r="AB465" i="4"/>
  <c r="AC465" i="4"/>
  <c r="N465" i="4"/>
  <c r="AC351" i="4"/>
  <c r="N351" i="4"/>
  <c r="AB351" i="4"/>
  <c r="AB367" i="4"/>
  <c r="AC367" i="4"/>
  <c r="N367" i="4"/>
  <c r="AC184" i="4"/>
  <c r="N184" i="4"/>
  <c r="AB184" i="4"/>
  <c r="AB346" i="4"/>
  <c r="AC346" i="4"/>
  <c r="N346" i="4"/>
  <c r="AB51" i="4"/>
  <c r="AC51" i="4"/>
  <c r="N51" i="4"/>
  <c r="AB239" i="4"/>
  <c r="AC239" i="4"/>
  <c r="N239" i="4"/>
  <c r="AC277" i="4"/>
  <c r="N277" i="4"/>
  <c r="AB277" i="4"/>
  <c r="AB288" i="4"/>
  <c r="AC288" i="4"/>
  <c r="N288" i="4"/>
  <c r="AC86" i="4"/>
  <c r="N86" i="4"/>
  <c r="AB86" i="4"/>
  <c r="AC413" i="4"/>
  <c r="N413" i="4"/>
  <c r="AB413" i="4"/>
  <c r="AC210" i="4"/>
  <c r="N210" i="4"/>
  <c r="AB210" i="4"/>
  <c r="AB179" i="4"/>
  <c r="AC179" i="4"/>
  <c r="N179" i="4"/>
  <c r="AB274" i="4"/>
  <c r="AC274" i="4"/>
  <c r="N274" i="4"/>
  <c r="AC124" i="4"/>
  <c r="N124" i="4"/>
  <c r="AB124" i="4"/>
  <c r="AB14" i="4"/>
  <c r="AC14" i="4"/>
  <c r="N14" i="4"/>
  <c r="AC65" i="4"/>
  <c r="N65" i="4"/>
  <c r="AB65" i="4"/>
  <c r="AB473" i="4"/>
  <c r="AC473" i="4"/>
  <c r="N473" i="4"/>
  <c r="AC185" i="4"/>
  <c r="N185" i="4"/>
  <c r="AB185" i="4"/>
  <c r="AC443" i="4"/>
  <c r="N443" i="4"/>
  <c r="AB443" i="4"/>
  <c r="AB99" i="4"/>
  <c r="AC99" i="4"/>
  <c r="N99" i="4"/>
  <c r="AC297" i="4"/>
  <c r="N297" i="4"/>
  <c r="AB297" i="4"/>
  <c r="AC242" i="4"/>
  <c r="N242" i="4"/>
  <c r="AB242" i="4"/>
  <c r="AC234" i="4"/>
  <c r="N234" i="4"/>
  <c r="AB234" i="4"/>
  <c r="AC70" i="4"/>
  <c r="N70" i="4"/>
  <c r="AB70" i="4"/>
  <c r="AC88" i="4"/>
  <c r="N88" i="4"/>
  <c r="AB88" i="4"/>
  <c r="AC75" i="4"/>
  <c r="N75" i="4"/>
  <c r="AB75" i="4"/>
  <c r="AC167" i="4"/>
  <c r="N167" i="4"/>
  <c r="AB167" i="4"/>
  <c r="AB474" i="4"/>
  <c r="AC474" i="4"/>
  <c r="N474" i="4"/>
  <c r="AB402" i="4"/>
  <c r="AC402" i="4"/>
  <c r="N402" i="4"/>
  <c r="AB404" i="4"/>
  <c r="AC404" i="4"/>
  <c r="N404" i="4"/>
  <c r="AB273" i="4"/>
  <c r="AC273" i="4"/>
  <c r="N273" i="4"/>
  <c r="AB390" i="4"/>
  <c r="AC390" i="4"/>
  <c r="N390" i="4"/>
  <c r="AB416" i="4"/>
  <c r="AC416" i="4"/>
  <c r="N416" i="4"/>
  <c r="AB140" i="4"/>
  <c r="AC140" i="4"/>
  <c r="N140" i="4"/>
  <c r="AC459" i="4"/>
  <c r="N459" i="4"/>
  <c r="AB459" i="4"/>
  <c r="AB369" i="4"/>
  <c r="AC369" i="4"/>
  <c r="N369" i="4"/>
  <c r="AC503" i="4"/>
  <c r="N503" i="4"/>
  <c r="AB503" i="4"/>
  <c r="AC160" i="4"/>
  <c r="N160" i="4"/>
  <c r="AB160" i="4"/>
  <c r="AC363" i="4"/>
  <c r="N363" i="4"/>
  <c r="AB363" i="4"/>
  <c r="AB180" i="4"/>
  <c r="AC180" i="4"/>
  <c r="N180" i="4"/>
  <c r="AC356" i="4"/>
  <c r="N356" i="4"/>
  <c r="AB356" i="4"/>
  <c r="AB95" i="4"/>
  <c r="AC95" i="4"/>
  <c r="N95" i="4"/>
  <c r="AC178" i="4"/>
  <c r="N178" i="4"/>
  <c r="AB178" i="4"/>
  <c r="AC32" i="4"/>
  <c r="N32" i="4"/>
  <c r="AB32" i="4"/>
  <c r="AC148" i="4"/>
  <c r="N148" i="4"/>
  <c r="AB148" i="4"/>
  <c r="AB63" i="4"/>
  <c r="AC63" i="4"/>
  <c r="N63" i="4"/>
  <c r="AC463" i="4"/>
  <c r="N463" i="4"/>
  <c r="AB463" i="4"/>
  <c r="AC472" i="4"/>
  <c r="N472" i="4"/>
  <c r="AB472" i="4"/>
  <c r="AB40" i="4"/>
  <c r="AC40" i="4"/>
  <c r="N40" i="4"/>
  <c r="AB336" i="4"/>
  <c r="AC336" i="4"/>
  <c r="N336" i="4"/>
  <c r="AB5" i="4"/>
  <c r="AC5" i="4"/>
  <c r="N5" i="4"/>
  <c r="AC433" i="4"/>
  <c r="N433" i="4"/>
  <c r="AB433" i="4"/>
  <c r="AC331" i="4"/>
  <c r="N331" i="4"/>
  <c r="AB331" i="4"/>
  <c r="AB24" i="4"/>
  <c r="AC24" i="4"/>
  <c r="N24" i="4"/>
  <c r="AC406" i="4"/>
  <c r="N406" i="4"/>
  <c r="AB406" i="4"/>
  <c r="AB104" i="4"/>
  <c r="AC104" i="4"/>
  <c r="N104" i="4"/>
  <c r="AB385" i="4"/>
  <c r="AC385" i="4"/>
  <c r="N385" i="4"/>
  <c r="AB199" i="4"/>
  <c r="AC199" i="4"/>
  <c r="N199" i="4"/>
  <c r="AC109" i="4"/>
  <c r="N109" i="4"/>
  <c r="AB109" i="4"/>
  <c r="AB189" i="4"/>
  <c r="AC189" i="4"/>
  <c r="N189" i="4"/>
  <c r="AC361" i="4"/>
  <c r="N361" i="4"/>
  <c r="AB361" i="4"/>
  <c r="AB154" i="4"/>
  <c r="AC154" i="4"/>
  <c r="N154" i="4"/>
  <c r="AB147" i="4"/>
  <c r="AC147" i="4"/>
  <c r="N147" i="4"/>
  <c r="AB203" i="4"/>
  <c r="AC203" i="4"/>
  <c r="N203" i="4"/>
  <c r="AB434" i="4"/>
  <c r="AC434" i="4"/>
  <c r="N434" i="4"/>
  <c r="AB219" i="4"/>
  <c r="AC219" i="4"/>
  <c r="N219" i="4"/>
  <c r="AC494" i="4"/>
  <c r="N494" i="4"/>
  <c r="AB494" i="4"/>
  <c r="AB136" i="4"/>
  <c r="AC136" i="4"/>
  <c r="N136" i="4"/>
  <c r="AB333" i="4"/>
  <c r="AC333" i="4"/>
  <c r="N333" i="4"/>
  <c r="AC310" i="4"/>
  <c r="N310" i="4"/>
  <c r="AB310" i="4"/>
  <c r="D168" i="1"/>
  <c r="D169" i="1"/>
  <c r="C60" i="4"/>
  <c r="D171" i="1" l="1"/>
  <c r="E171" i="1" s="1"/>
  <c r="D38" i="1"/>
  <c r="C8" i="4"/>
  <c r="D170" i="1"/>
  <c r="E170" i="1" s="1"/>
  <c r="D172" i="1" s="1"/>
  <c r="F8" i="4"/>
  <c r="D147" i="1"/>
  <c r="E147" i="1" s="1"/>
  <c r="D148" i="1" s="1"/>
  <c r="D34" i="1" s="1"/>
  <c r="D33" i="1"/>
  <c r="D149" i="1" l="1"/>
  <c r="D150" i="1"/>
  <c r="C52" i="4"/>
  <c r="D52" i="4" s="1"/>
  <c r="C50" i="4" s="1"/>
  <c r="C53" i="4" s="1"/>
  <c r="D53" i="4" s="1"/>
  <c r="C51" i="4" s="1"/>
  <c r="D176" i="1"/>
  <c r="E176" i="1" s="1"/>
  <c r="D173" i="1"/>
  <c r="E173" i="1" s="1"/>
  <c r="D174" i="1" s="1"/>
  <c r="F10" i="4"/>
  <c r="C10" i="4"/>
  <c r="D35" i="1"/>
  <c r="D175" i="1"/>
  <c r="E175" i="1" s="1"/>
  <c r="D177" i="1" s="1"/>
  <c r="D22" i="1" l="1"/>
  <c r="D178" i="1"/>
  <c r="C11" i="4"/>
  <c r="F11" i="4"/>
  <c r="D180" i="1"/>
  <c r="D24" i="1"/>
  <c r="C12" i="4"/>
  <c r="F12" i="4"/>
  <c r="D179" i="1"/>
  <c r="AH34" i="4" l="1"/>
  <c r="AH31" i="4"/>
  <c r="AH288" i="4"/>
  <c r="AH281" i="4"/>
  <c r="AH249" i="4"/>
  <c r="AH26" i="4"/>
  <c r="AH217" i="4"/>
  <c r="AH444" i="4"/>
  <c r="AH428" i="4"/>
  <c r="AH81" i="4"/>
  <c r="AH183" i="4"/>
  <c r="AH189" i="4"/>
  <c r="AH15" i="4"/>
  <c r="AH294" i="4"/>
  <c r="AH246" i="4"/>
  <c r="AH155" i="4"/>
  <c r="AH131" i="4"/>
  <c r="AH329" i="4"/>
  <c r="AH77" i="4"/>
  <c r="AH422" i="4"/>
  <c r="AH433" i="4"/>
  <c r="AH497" i="4"/>
  <c r="AH341" i="4"/>
  <c r="AH410" i="4"/>
  <c r="AH271" i="4"/>
  <c r="AH11" i="4"/>
  <c r="AH162" i="4"/>
  <c r="AH205" i="4"/>
  <c r="AH110" i="4"/>
  <c r="AH296" i="4"/>
  <c r="AH179" i="4"/>
  <c r="AH375" i="4"/>
  <c r="AH272" i="4"/>
  <c r="AH409" i="4"/>
  <c r="AH154" i="4"/>
  <c r="AH62" i="4"/>
  <c r="AH297" i="4"/>
  <c r="AH293" i="4"/>
  <c r="AH364" i="4"/>
  <c r="AH22" i="4"/>
  <c r="AH24" i="4"/>
  <c r="AH165" i="4"/>
  <c r="AH193" i="4"/>
  <c r="AH417" i="4"/>
  <c r="AH224" i="4"/>
  <c r="AH97" i="4"/>
  <c r="AH161" i="4"/>
  <c r="AH186" i="4"/>
  <c r="AH194" i="4"/>
  <c r="AH468" i="4"/>
  <c r="AH456" i="4"/>
  <c r="AH483" i="4"/>
  <c r="AH146" i="4"/>
  <c r="AH100" i="4"/>
  <c r="AH359" i="4"/>
  <c r="AH263" i="4"/>
  <c r="AH129" i="4"/>
  <c r="AH48" i="4"/>
  <c r="AH46" i="4"/>
  <c r="AH435" i="4"/>
  <c r="AH411" i="4"/>
  <c r="AH59" i="4"/>
  <c r="AH70" i="4"/>
  <c r="AH393" i="4"/>
  <c r="AH318" i="4"/>
  <c r="AH346" i="4"/>
  <c r="AH449" i="4"/>
  <c r="AH338" i="4"/>
  <c r="AH277" i="4"/>
  <c r="AH42" i="4"/>
  <c r="AH278" i="4"/>
  <c r="AH253" i="4"/>
  <c r="AH152" i="4"/>
  <c r="AH357" i="4"/>
  <c r="AH478" i="4"/>
  <c r="AH65" i="4"/>
  <c r="AH167" i="4"/>
  <c r="AH125" i="4"/>
  <c r="AH184" i="4"/>
  <c r="AH75" i="4"/>
  <c r="AH351" i="4"/>
  <c r="AH470" i="4"/>
  <c r="AH369" i="4"/>
  <c r="AH457" i="4"/>
  <c r="AH415" i="4"/>
  <c r="AH480" i="4"/>
  <c r="AH334" i="4"/>
  <c r="AH212" i="4"/>
  <c r="AH452" i="4"/>
  <c r="AH197" i="4"/>
  <c r="AH66" i="4"/>
  <c r="AH170" i="4"/>
  <c r="AH418" i="4"/>
  <c r="AH108" i="4"/>
  <c r="AH405" i="4"/>
  <c r="AH396" i="4"/>
  <c r="AH5" i="4"/>
  <c r="AH472" i="4"/>
  <c r="AH204" i="4"/>
  <c r="AH304" i="4"/>
  <c r="AH374" i="4"/>
  <c r="AH299" i="4"/>
  <c r="AH423" i="4"/>
  <c r="AH157" i="4"/>
  <c r="AH347" i="4"/>
  <c r="AH21" i="4"/>
  <c r="AH30" i="4"/>
  <c r="AH394" i="4"/>
  <c r="AH219" i="4"/>
  <c r="AH38" i="4"/>
  <c r="AH343" i="4"/>
  <c r="AH307" i="4"/>
  <c r="AH141" i="4"/>
  <c r="AH63" i="4"/>
  <c r="AH95" i="4"/>
  <c r="AH406" i="4"/>
  <c r="AH340" i="4"/>
  <c r="AH477" i="4"/>
  <c r="AH442" i="4"/>
  <c r="AH216" i="4"/>
  <c r="AH254" i="4"/>
  <c r="AH487" i="4"/>
  <c r="AH139" i="4"/>
  <c r="AH481" i="4"/>
  <c r="AH436" i="4"/>
  <c r="AH421" i="4"/>
  <c r="AH430" i="4"/>
  <c r="AH451" i="4"/>
  <c r="AH37" i="4"/>
  <c r="AH447" i="4"/>
  <c r="AH191" i="4"/>
  <c r="AH276" i="4"/>
  <c r="AH78" i="4"/>
  <c r="AH172" i="4"/>
  <c r="AH209" i="4"/>
  <c r="AH326" i="4"/>
  <c r="AH305" i="4"/>
  <c r="AH87" i="4"/>
  <c r="AH432" i="4"/>
  <c r="AH295" i="4"/>
  <c r="AH382" i="4"/>
  <c r="AH332" i="4"/>
  <c r="AH56" i="4"/>
  <c r="AH492" i="4"/>
  <c r="AH348" i="4"/>
  <c r="AH64" i="4"/>
  <c r="AH109" i="4"/>
  <c r="AH94" i="4"/>
  <c r="AH325" i="4"/>
  <c r="AH280" i="4"/>
  <c r="AH9" i="4"/>
  <c r="AH256" i="4"/>
  <c r="AH181" i="4"/>
  <c r="AH111" i="4"/>
  <c r="AH107" i="4"/>
  <c r="AH391" i="4"/>
  <c r="AH459" i="4"/>
  <c r="AH83" i="4"/>
  <c r="AH383" i="4"/>
  <c r="AH335" i="4"/>
  <c r="AH331" i="4"/>
  <c r="AH342" i="4"/>
  <c r="AH20" i="4"/>
  <c r="AH363" i="4"/>
  <c r="AH190" i="4"/>
  <c r="AH259" i="4"/>
  <c r="AH196" i="4"/>
  <c r="AH386" i="4"/>
  <c r="AH82" i="4"/>
  <c r="AH120" i="4"/>
  <c r="AH39" i="4"/>
  <c r="AH408" i="4"/>
  <c r="AH429" i="4"/>
  <c r="AH398" i="4"/>
  <c r="AH28" i="4"/>
  <c r="AH130" i="4"/>
  <c r="AH361" i="4"/>
  <c r="AH44" i="4"/>
  <c r="AH185" i="4"/>
  <c r="AH153" i="4"/>
  <c r="AH228" i="4"/>
  <c r="AH443" i="4"/>
  <c r="AH101" i="4"/>
  <c r="AH321" i="4"/>
  <c r="AH266" i="4"/>
  <c r="AH380" i="4"/>
  <c r="AH419" i="4"/>
  <c r="AH80" i="4"/>
  <c r="AH17" i="4"/>
  <c r="AH360" i="4"/>
  <c r="AH79" i="4"/>
  <c r="AH114" i="4"/>
  <c r="AH229" i="4"/>
  <c r="AH367" i="4"/>
  <c r="AH262" i="4"/>
  <c r="AH292" i="4"/>
  <c r="AH174" i="4"/>
  <c r="AH99" i="4"/>
  <c r="AH438" i="4"/>
  <c r="AH69" i="4"/>
  <c r="AH248" i="4"/>
  <c r="AH68" i="4"/>
  <c r="AH236" i="4"/>
  <c r="AH156" i="4"/>
  <c r="AH103" i="4"/>
  <c r="AH475" i="4"/>
  <c r="AH13" i="4"/>
  <c r="AH494" i="4"/>
  <c r="AH482" i="4"/>
  <c r="AH105" i="4"/>
  <c r="AH466" i="4"/>
  <c r="AH440" i="4"/>
  <c r="AH258" i="4"/>
  <c r="AH464" i="4"/>
  <c r="AH390" i="4"/>
  <c r="AH86" i="4"/>
  <c r="AH474" i="4"/>
  <c r="AH337" i="4"/>
  <c r="AH138" i="4"/>
  <c r="AH265" i="4"/>
  <c r="AH377" i="4"/>
  <c r="AH222" i="4"/>
  <c r="AH35" i="4"/>
  <c r="AH388" i="4"/>
  <c r="AH143" i="4"/>
  <c r="AH503" i="4"/>
  <c r="AH142" i="4"/>
  <c r="AH319" i="4"/>
  <c r="AH241" i="4"/>
  <c r="AH353" i="4"/>
  <c r="AH397" i="4"/>
  <c r="AH303" i="4"/>
  <c r="AH61" i="4"/>
  <c r="AH328" i="4"/>
  <c r="AH145" i="4"/>
  <c r="AH203" i="4"/>
  <c r="AH104" i="4"/>
  <c r="AH195" i="4"/>
  <c r="AH149" i="4"/>
  <c r="AH23" i="4"/>
  <c r="AH164" i="4"/>
  <c r="AH4" i="4"/>
  <c r="AH366" i="4"/>
  <c r="AH223" i="4"/>
  <c r="AH460" i="4"/>
  <c r="AH287" i="4"/>
  <c r="AH387" i="4"/>
  <c r="AH43" i="4"/>
  <c r="AH312" i="4"/>
  <c r="AH273" i="4"/>
  <c r="AH218" i="4"/>
  <c r="AH55" i="4"/>
  <c r="AH150" i="4"/>
  <c r="AH221" i="4"/>
  <c r="AH453" i="4"/>
  <c r="AH49" i="4"/>
  <c r="AH427" i="4"/>
  <c r="AH484" i="4"/>
  <c r="AH19" i="4"/>
  <c r="AH126" i="4"/>
  <c r="AH158" i="4"/>
  <c r="AH378" i="4"/>
  <c r="AH57" i="4"/>
  <c r="AH73" i="4"/>
  <c r="AH51" i="4"/>
  <c r="AH173" i="4"/>
  <c r="AH275" i="4"/>
  <c r="AH317" i="4"/>
  <c r="AH345" i="4"/>
  <c r="AH231" i="4"/>
  <c r="AH96" i="4"/>
  <c r="AH400" i="4"/>
  <c r="AH471" i="4"/>
  <c r="AH160" i="4"/>
  <c r="AH310" i="4"/>
  <c r="AH148" i="4"/>
  <c r="AH47" i="4"/>
  <c r="AH488" i="4"/>
  <c r="AH134" i="4"/>
  <c r="AH301" i="4"/>
  <c r="AH124" i="4"/>
  <c r="AH420" i="4"/>
  <c r="AH192" i="4"/>
  <c r="AH178" i="4"/>
  <c r="AH220" i="4"/>
  <c r="AH18" i="4"/>
  <c r="AH491" i="4"/>
  <c r="AH8" i="4"/>
  <c r="AH251" i="4"/>
  <c r="AH119" i="4"/>
  <c r="AH458" i="4"/>
  <c r="AH286" i="4"/>
  <c r="AH445" i="4"/>
  <c r="AH469" i="4"/>
  <c r="AH322" i="4"/>
  <c r="AH151" i="4"/>
  <c r="AH279" i="4"/>
  <c r="AH500" i="4"/>
  <c r="AH117" i="4"/>
  <c r="AH302" i="4"/>
  <c r="AH244" i="4"/>
  <c r="AH313" i="4"/>
  <c r="AH33" i="4"/>
  <c r="AH403" i="4"/>
  <c r="AH290" i="4"/>
  <c r="AH76" i="4"/>
  <c r="AH41" i="4"/>
  <c r="AH226" i="4"/>
  <c r="AH355" i="4"/>
  <c r="AH356" i="4"/>
  <c r="AH123" i="4"/>
  <c r="AH122" i="4"/>
  <c r="AH479" i="4"/>
  <c r="AH102" i="4"/>
  <c r="AH490" i="4"/>
  <c r="AH498" i="4"/>
  <c r="AH45" i="4"/>
  <c r="AH252" i="4"/>
  <c r="AH437" i="4"/>
  <c r="AH227" i="4"/>
  <c r="AH199" i="4"/>
  <c r="AH274" i="4"/>
  <c r="AH207" i="4"/>
  <c r="AH473" i="4"/>
  <c r="AH239" i="4"/>
  <c r="AH439" i="4"/>
  <c r="AH344" i="4"/>
  <c r="AH36" i="4"/>
  <c r="AH53" i="4"/>
  <c r="AH493" i="4"/>
  <c r="AH306" i="4"/>
  <c r="AH133" i="4"/>
  <c r="AH52" i="4"/>
  <c r="AH365" i="4"/>
  <c r="AH309" i="4"/>
  <c r="AH115" i="4"/>
  <c r="AH58" i="4"/>
  <c r="AH16" i="4"/>
  <c r="AH282" i="4"/>
  <c r="AH168" i="4"/>
  <c r="AH6" i="4"/>
  <c r="AH412" i="4"/>
  <c r="AH372" i="4"/>
  <c r="AH12" i="4"/>
  <c r="AH324" i="4"/>
  <c r="AH233" i="4"/>
  <c r="AH267" i="4"/>
  <c r="AH225" i="4"/>
  <c r="AH147" i="4"/>
  <c r="AH504" i="4"/>
  <c r="AH270" i="4"/>
  <c r="AH401" i="4"/>
  <c r="AH368" i="4"/>
  <c r="AH407" i="4"/>
  <c r="AH350" i="4"/>
  <c r="AH67" i="4"/>
  <c r="AH213" i="4"/>
  <c r="AH257" i="4"/>
  <c r="AH180" i="4"/>
  <c r="AH333" i="4"/>
  <c r="AH98" i="4"/>
  <c r="AH379" i="4"/>
  <c r="AH182" i="4"/>
  <c r="AH85" i="4"/>
  <c r="AH431" i="4"/>
  <c r="AH128" i="4"/>
  <c r="AH373" i="4"/>
  <c r="AH136" i="4"/>
  <c r="AH113" i="4"/>
  <c r="AH486" i="4"/>
  <c r="AH159" i="4"/>
  <c r="AH84" i="4"/>
  <c r="AH106" i="4"/>
  <c r="AH385" i="4"/>
  <c r="AH399" i="4"/>
  <c r="AH327" i="4"/>
  <c r="AH315" i="4"/>
  <c r="AH210" i="4"/>
  <c r="AH501" i="4"/>
  <c r="AH234" i="4"/>
  <c r="AH300" i="4"/>
  <c r="AH71" i="4"/>
  <c r="AH171" i="4"/>
  <c r="AH376" i="4"/>
  <c r="AH163" i="4"/>
  <c r="AH330" i="4"/>
  <c r="AH269" i="4"/>
  <c r="AH208" i="4"/>
  <c r="AH50" i="4"/>
  <c r="AH238" i="4"/>
  <c r="AH175" i="4"/>
  <c r="AH247" i="4"/>
  <c r="AH255" i="4"/>
  <c r="AH25" i="4"/>
  <c r="AH454" i="4"/>
  <c r="AH426" i="4"/>
  <c r="AH240" i="4"/>
  <c r="AH285" i="4"/>
  <c r="AH187" i="4"/>
  <c r="AH450" i="4"/>
  <c r="AH242" i="4"/>
  <c r="AH202" i="4"/>
  <c r="AH144" i="4"/>
  <c r="AH72" i="4"/>
  <c r="AH314" i="4"/>
  <c r="AH32" i="4"/>
  <c r="AH362" i="4"/>
  <c r="AH211" i="4"/>
  <c r="AH404" i="4"/>
  <c r="AH230" i="4"/>
  <c r="AH455" i="4"/>
  <c r="AH463" i="4"/>
  <c r="AH424" i="4"/>
  <c r="AH441" i="4"/>
  <c r="AH132" i="4"/>
  <c r="AH90" i="4"/>
  <c r="AH499" i="4"/>
  <c r="AH215" i="4"/>
  <c r="AH166" i="4"/>
  <c r="AH260" i="4"/>
  <c r="AH201" i="4"/>
  <c r="AH448" i="4"/>
  <c r="AH118" i="4"/>
  <c r="AH316" i="4"/>
  <c r="AH74" i="4"/>
  <c r="AH14" i="4"/>
  <c r="AH135" i="4"/>
  <c r="AH27" i="4"/>
  <c r="AH425" i="4"/>
  <c r="AH502" i="4"/>
  <c r="AH89" i="4"/>
  <c r="AH389" i="4"/>
  <c r="AH261" i="4"/>
  <c r="AH250" i="4"/>
  <c r="AH245" i="4"/>
  <c r="AH298" i="4"/>
  <c r="AH177" i="4"/>
  <c r="AH352" i="4"/>
  <c r="AH40" i="4"/>
  <c r="AH10" i="4"/>
  <c r="AH284" i="4"/>
  <c r="AH289" i="4"/>
  <c r="AH91" i="4"/>
  <c r="AH88" i="4"/>
  <c r="AH414" i="4"/>
  <c r="AH495" i="4"/>
  <c r="AH416" i="4"/>
  <c r="AH311" i="4"/>
  <c r="AH214" i="4"/>
  <c r="AH349" i="4"/>
  <c r="AH395" i="4"/>
  <c r="AH283" i="4"/>
  <c r="AH29" i="4"/>
  <c r="AH200" i="4"/>
  <c r="AH243" i="4"/>
  <c r="AH434" i="4"/>
  <c r="AH198" i="4"/>
  <c r="AH446" i="4"/>
  <c r="AH308" i="4"/>
  <c r="AH489" i="4"/>
  <c r="AH268" i="4"/>
  <c r="AH264" i="4"/>
  <c r="AH137" i="4"/>
  <c r="AH232" i="4"/>
  <c r="AH358" i="4"/>
  <c r="AH60" i="4"/>
  <c r="AH339" i="4"/>
  <c r="AH235" i="4"/>
  <c r="AH461" i="4"/>
  <c r="AH413" i="4"/>
  <c r="AH237" i="4"/>
  <c r="AH176" i="4"/>
  <c r="AH169" i="4"/>
  <c r="AH336" i="4"/>
  <c r="AH381" i="4"/>
  <c r="AH291" i="4"/>
  <c r="AH485" i="4"/>
  <c r="AH112" i="4"/>
  <c r="AH93" i="4"/>
  <c r="AH7" i="4"/>
  <c r="AH320" i="4"/>
  <c r="AH462" i="4"/>
  <c r="AH116" i="4"/>
  <c r="AH127" i="4"/>
  <c r="AH92" i="4"/>
  <c r="AH54" i="4"/>
  <c r="AH354" i="4"/>
  <c r="AH206" i="4"/>
  <c r="AH392" i="4"/>
  <c r="AH140" i="4"/>
  <c r="AH402" i="4"/>
  <c r="AH384" i="4"/>
  <c r="AH188" i="4"/>
  <c r="AH370" i="4"/>
  <c r="AH121" i="4"/>
  <c r="AH465" i="4"/>
  <c r="AH467" i="4"/>
  <c r="AH476" i="4"/>
  <c r="AH371" i="4"/>
  <c r="AH496" i="4"/>
  <c r="AH323" i="4"/>
  <c r="AE10" i="4" l="1"/>
  <c r="AG10" i="4" s="1"/>
  <c r="O10" i="4" s="1"/>
  <c r="AD10" i="4"/>
  <c r="AF10" i="4" s="1"/>
  <c r="P10" i="4" s="1"/>
  <c r="AD226" i="4"/>
  <c r="AF226" i="4" s="1"/>
  <c r="P226" i="4" s="1"/>
  <c r="AE226" i="4"/>
  <c r="AG226" i="4" s="1"/>
  <c r="O226" i="4" s="1"/>
  <c r="AE363" i="4"/>
  <c r="AG363" i="4" s="1"/>
  <c r="O363" i="4" s="1"/>
  <c r="AD363" i="4"/>
  <c r="AF363" i="4" s="1"/>
  <c r="P363" i="4" s="1"/>
  <c r="AD384" i="4"/>
  <c r="AF384" i="4" s="1"/>
  <c r="P384" i="4" s="1"/>
  <c r="AE384" i="4"/>
  <c r="AG384" i="4" s="1"/>
  <c r="O384" i="4" s="1"/>
  <c r="AE88" i="4"/>
  <c r="AG88" i="4" s="1"/>
  <c r="O88" i="4" s="1"/>
  <c r="AD88" i="4"/>
  <c r="AF88" i="4" s="1"/>
  <c r="P88" i="4" s="1"/>
  <c r="AD260" i="4"/>
  <c r="AF260" i="4" s="1"/>
  <c r="P260" i="4" s="1"/>
  <c r="AE260" i="4"/>
  <c r="AG260" i="4" s="1"/>
  <c r="O260" i="4" s="1"/>
  <c r="AE211" i="4"/>
  <c r="AG211" i="4" s="1"/>
  <c r="O211" i="4" s="1"/>
  <c r="AD211" i="4"/>
  <c r="AF211" i="4" s="1"/>
  <c r="P211" i="4" s="1"/>
  <c r="AD426" i="4"/>
  <c r="AF426" i="4" s="1"/>
  <c r="P426" i="4" s="1"/>
  <c r="AE426" i="4"/>
  <c r="AG426" i="4" s="1"/>
  <c r="O426" i="4" s="1"/>
  <c r="AE376" i="4"/>
  <c r="AG376" i="4" s="1"/>
  <c r="O376" i="4" s="1"/>
  <c r="AD376" i="4"/>
  <c r="AF376" i="4" s="1"/>
  <c r="P376" i="4" s="1"/>
  <c r="AD84" i="4"/>
  <c r="AF84" i="4" s="1"/>
  <c r="P84" i="4" s="1"/>
  <c r="AE84" i="4"/>
  <c r="AG84" i="4" s="1"/>
  <c r="O84" i="4" s="1"/>
  <c r="AD333" i="4"/>
  <c r="AF333" i="4" s="1"/>
  <c r="P333" i="4" s="1"/>
  <c r="AE333" i="4"/>
  <c r="AG333" i="4" s="1"/>
  <c r="O333" i="4" s="1"/>
  <c r="AD225" i="4"/>
  <c r="AF225" i="4" s="1"/>
  <c r="P225" i="4" s="1"/>
  <c r="AE225" i="4"/>
  <c r="AG225" i="4" s="1"/>
  <c r="O225" i="4" s="1"/>
  <c r="AD115" i="4"/>
  <c r="AF115" i="4" s="1"/>
  <c r="P115" i="4" s="1"/>
  <c r="AE115" i="4"/>
  <c r="AG115" i="4" s="1"/>
  <c r="O115" i="4" s="1"/>
  <c r="AD473" i="4"/>
  <c r="AF473" i="4" s="1"/>
  <c r="P473" i="4" s="1"/>
  <c r="AE473" i="4"/>
  <c r="AG473" i="4" s="1"/>
  <c r="O473" i="4" s="1"/>
  <c r="AD122" i="4"/>
  <c r="AF122" i="4" s="1"/>
  <c r="P122" i="4" s="1"/>
  <c r="AE122" i="4"/>
  <c r="AG122" i="4" s="1"/>
  <c r="O122" i="4" s="1"/>
  <c r="AD302" i="4"/>
  <c r="AF302" i="4" s="1"/>
  <c r="P302" i="4" s="1"/>
  <c r="AE302" i="4"/>
  <c r="AG302" i="4" s="1"/>
  <c r="O302" i="4" s="1"/>
  <c r="AD8" i="4"/>
  <c r="AF8" i="4" s="1"/>
  <c r="P8" i="4" s="1"/>
  <c r="AE8" i="4"/>
  <c r="AG8" i="4" s="1"/>
  <c r="O8" i="4" s="1"/>
  <c r="AD148" i="4"/>
  <c r="AF148" i="4" s="1"/>
  <c r="P148" i="4" s="1"/>
  <c r="AE148" i="4"/>
  <c r="AG148" i="4" s="1"/>
  <c r="O148" i="4" s="1"/>
  <c r="AD73" i="4"/>
  <c r="AF73" i="4" s="1"/>
  <c r="P73" i="4" s="1"/>
  <c r="AE73" i="4"/>
  <c r="AG73" i="4" s="1"/>
  <c r="O73" i="4" s="1"/>
  <c r="AD55" i="4"/>
  <c r="AF55" i="4" s="1"/>
  <c r="P55" i="4" s="1"/>
  <c r="AE55" i="4"/>
  <c r="AG55" i="4" s="1"/>
  <c r="O55" i="4" s="1"/>
  <c r="AE23" i="4"/>
  <c r="AG23" i="4" s="1"/>
  <c r="O23" i="4" s="1"/>
  <c r="AD23" i="4"/>
  <c r="AF23" i="4" s="1"/>
  <c r="P23" i="4" s="1"/>
  <c r="AE319" i="4"/>
  <c r="AG319" i="4" s="1"/>
  <c r="O319" i="4" s="1"/>
  <c r="AD319" i="4"/>
  <c r="AF319" i="4" s="1"/>
  <c r="P319" i="4" s="1"/>
  <c r="AE86" i="4"/>
  <c r="AG86" i="4" s="1"/>
  <c r="O86" i="4" s="1"/>
  <c r="AD86" i="4"/>
  <c r="AF86" i="4" s="1"/>
  <c r="P86" i="4" s="1"/>
  <c r="AD156" i="4"/>
  <c r="AF156" i="4" s="1"/>
  <c r="P156" i="4" s="1"/>
  <c r="AE156" i="4"/>
  <c r="AG156" i="4" s="1"/>
  <c r="O156" i="4" s="1"/>
  <c r="AD114" i="4"/>
  <c r="AF114" i="4" s="1"/>
  <c r="P114" i="4" s="1"/>
  <c r="AE114" i="4"/>
  <c r="AG114" i="4" s="1"/>
  <c r="O114" i="4" s="1"/>
  <c r="AD153" i="4"/>
  <c r="AF153" i="4" s="1"/>
  <c r="P153" i="4" s="1"/>
  <c r="AE153" i="4"/>
  <c r="AG153" i="4" s="1"/>
  <c r="O153" i="4" s="1"/>
  <c r="AD386" i="4"/>
  <c r="AF386" i="4" s="1"/>
  <c r="P386" i="4" s="1"/>
  <c r="AE386" i="4"/>
  <c r="AG386" i="4" s="1"/>
  <c r="O386" i="4" s="1"/>
  <c r="AD391" i="4"/>
  <c r="AF391" i="4" s="1"/>
  <c r="P391" i="4" s="1"/>
  <c r="AE391" i="4"/>
  <c r="AG391" i="4" s="1"/>
  <c r="O391" i="4" s="1"/>
  <c r="AD492" i="4"/>
  <c r="AF492" i="4" s="1"/>
  <c r="P492" i="4" s="1"/>
  <c r="AE492" i="4"/>
  <c r="AG492" i="4" s="1"/>
  <c r="O492" i="4" s="1"/>
  <c r="AE276" i="4"/>
  <c r="AG276" i="4" s="1"/>
  <c r="O276" i="4" s="1"/>
  <c r="AD276" i="4"/>
  <c r="AF276" i="4" s="1"/>
  <c r="P276" i="4" s="1"/>
  <c r="AE216" i="4"/>
  <c r="AG216" i="4" s="1"/>
  <c r="O216" i="4" s="1"/>
  <c r="AD216" i="4"/>
  <c r="AF216" i="4" s="1"/>
  <c r="P216" i="4" s="1"/>
  <c r="AE394" i="4"/>
  <c r="AG394" i="4" s="1"/>
  <c r="O394" i="4" s="1"/>
  <c r="AD394" i="4"/>
  <c r="AF394" i="4" s="1"/>
  <c r="P394" i="4" s="1"/>
  <c r="AD396" i="4"/>
  <c r="AF396" i="4" s="1"/>
  <c r="P396" i="4" s="1"/>
  <c r="AE396" i="4"/>
  <c r="AG396" i="4" s="1"/>
  <c r="O396" i="4" s="1"/>
  <c r="AD457" i="4"/>
  <c r="AF457" i="4" s="1"/>
  <c r="P457" i="4" s="1"/>
  <c r="AE457" i="4"/>
  <c r="AG457" i="4" s="1"/>
  <c r="O457" i="4" s="1"/>
  <c r="AE253" i="4"/>
  <c r="AG253" i="4" s="1"/>
  <c r="O253" i="4" s="1"/>
  <c r="AD253" i="4"/>
  <c r="AF253" i="4" s="1"/>
  <c r="P253" i="4" s="1"/>
  <c r="AE435" i="4"/>
  <c r="AG435" i="4" s="1"/>
  <c r="O435" i="4" s="1"/>
  <c r="AD435" i="4"/>
  <c r="AF435" i="4" s="1"/>
  <c r="P435" i="4" s="1"/>
  <c r="AE186" i="4"/>
  <c r="AG186" i="4" s="1"/>
  <c r="O186" i="4" s="1"/>
  <c r="AD186" i="4"/>
  <c r="AF186" i="4" s="1"/>
  <c r="P186" i="4" s="1"/>
  <c r="AE62" i="4"/>
  <c r="AG62" i="4" s="1"/>
  <c r="O62" i="4" s="1"/>
  <c r="AD62" i="4"/>
  <c r="AF62" i="4" s="1"/>
  <c r="P62" i="4" s="1"/>
  <c r="AE410" i="4"/>
  <c r="AG410" i="4" s="1"/>
  <c r="O410" i="4" s="1"/>
  <c r="AD410" i="4"/>
  <c r="AF410" i="4" s="1"/>
  <c r="P410" i="4" s="1"/>
  <c r="AD189" i="4"/>
  <c r="AF189" i="4" s="1"/>
  <c r="P189" i="4" s="1"/>
  <c r="AE189" i="4"/>
  <c r="AG189" i="4" s="1"/>
  <c r="O189" i="4" s="1"/>
  <c r="AE206" i="4"/>
  <c r="AG206" i="4" s="1"/>
  <c r="O206" i="4" s="1"/>
  <c r="AD206" i="4"/>
  <c r="AF206" i="4" s="1"/>
  <c r="P206" i="4" s="1"/>
  <c r="AD67" i="4"/>
  <c r="AF67" i="4" s="1"/>
  <c r="P67" i="4" s="1"/>
  <c r="AE67" i="4"/>
  <c r="AG67" i="4" s="1"/>
  <c r="O67" i="4" s="1"/>
  <c r="AD388" i="4"/>
  <c r="AF388" i="4" s="1"/>
  <c r="P388" i="4" s="1"/>
  <c r="AE388" i="4"/>
  <c r="AG388" i="4" s="1"/>
  <c r="O388" i="4" s="1"/>
  <c r="AE451" i="4"/>
  <c r="AG451" i="4" s="1"/>
  <c r="O451" i="4" s="1"/>
  <c r="AD451" i="4"/>
  <c r="AF451" i="4" s="1"/>
  <c r="P451" i="4" s="1"/>
  <c r="AD7" i="4"/>
  <c r="AF7" i="4" s="1"/>
  <c r="P7" i="4" s="1"/>
  <c r="AE7" i="4"/>
  <c r="AG7" i="4" s="1"/>
  <c r="O7" i="4" s="1"/>
  <c r="AD389" i="4"/>
  <c r="AF389" i="4" s="1"/>
  <c r="P389" i="4" s="1"/>
  <c r="AE389" i="4"/>
  <c r="AG389" i="4" s="1"/>
  <c r="O389" i="4" s="1"/>
  <c r="AD243" i="4"/>
  <c r="AF243" i="4" s="1"/>
  <c r="P243" i="4" s="1"/>
  <c r="AE243" i="4"/>
  <c r="AG243" i="4" s="1"/>
  <c r="O243" i="4" s="1"/>
  <c r="AE166" i="4"/>
  <c r="AG166" i="4" s="1"/>
  <c r="O166" i="4" s="1"/>
  <c r="AD166" i="4"/>
  <c r="AF166" i="4" s="1"/>
  <c r="P166" i="4" s="1"/>
  <c r="AE454" i="4"/>
  <c r="AG454" i="4" s="1"/>
  <c r="O454" i="4" s="1"/>
  <c r="AD454" i="4"/>
  <c r="AF454" i="4" s="1"/>
  <c r="P454" i="4" s="1"/>
  <c r="AD171" i="4"/>
  <c r="AF171" i="4" s="1"/>
  <c r="P171" i="4" s="1"/>
  <c r="AE171" i="4"/>
  <c r="AG171" i="4" s="1"/>
  <c r="O171" i="4" s="1"/>
  <c r="AE159" i="4"/>
  <c r="AG159" i="4" s="1"/>
  <c r="O159" i="4" s="1"/>
  <c r="AD159" i="4"/>
  <c r="AF159" i="4" s="1"/>
  <c r="P159" i="4" s="1"/>
  <c r="AD180" i="4"/>
  <c r="AF180" i="4" s="1"/>
  <c r="P180" i="4" s="1"/>
  <c r="AE180" i="4"/>
  <c r="AG180" i="4" s="1"/>
  <c r="O180" i="4" s="1"/>
  <c r="AE267" i="4"/>
  <c r="AG267" i="4" s="1"/>
  <c r="O267" i="4" s="1"/>
  <c r="AD267" i="4"/>
  <c r="AF267" i="4" s="1"/>
  <c r="P267" i="4" s="1"/>
  <c r="AE309" i="4"/>
  <c r="AG309" i="4" s="1"/>
  <c r="O309" i="4" s="1"/>
  <c r="AD309" i="4"/>
  <c r="AF309" i="4" s="1"/>
  <c r="P309" i="4" s="1"/>
  <c r="AD207" i="4"/>
  <c r="AF207" i="4" s="1"/>
  <c r="P207" i="4" s="1"/>
  <c r="AE207" i="4"/>
  <c r="AG207" i="4" s="1"/>
  <c r="O207" i="4" s="1"/>
  <c r="AE123" i="4"/>
  <c r="AG123" i="4" s="1"/>
  <c r="O123" i="4" s="1"/>
  <c r="AD123" i="4"/>
  <c r="AF123" i="4" s="1"/>
  <c r="P123" i="4" s="1"/>
  <c r="AE117" i="4"/>
  <c r="AG117" i="4" s="1"/>
  <c r="O117" i="4" s="1"/>
  <c r="AD117" i="4"/>
  <c r="AF117" i="4" s="1"/>
  <c r="P117" i="4" s="1"/>
  <c r="AD491" i="4"/>
  <c r="AF491" i="4" s="1"/>
  <c r="P491" i="4" s="1"/>
  <c r="AE491" i="4"/>
  <c r="AG491" i="4" s="1"/>
  <c r="O491" i="4" s="1"/>
  <c r="AE310" i="4"/>
  <c r="AG310" i="4" s="1"/>
  <c r="O310" i="4" s="1"/>
  <c r="AD310" i="4"/>
  <c r="AF310" i="4" s="1"/>
  <c r="P310" i="4" s="1"/>
  <c r="AE57" i="4"/>
  <c r="AG57" i="4" s="1"/>
  <c r="O57" i="4" s="1"/>
  <c r="AD57" i="4"/>
  <c r="AF57" i="4" s="1"/>
  <c r="P57" i="4" s="1"/>
  <c r="AD218" i="4"/>
  <c r="AF218" i="4" s="1"/>
  <c r="P218" i="4" s="1"/>
  <c r="AE218" i="4"/>
  <c r="AG218" i="4" s="1"/>
  <c r="O218" i="4" s="1"/>
  <c r="AD149" i="4"/>
  <c r="AF149" i="4" s="1"/>
  <c r="P149" i="4" s="1"/>
  <c r="AE149" i="4"/>
  <c r="AG149" i="4" s="1"/>
  <c r="O149" i="4" s="1"/>
  <c r="AD142" i="4"/>
  <c r="AF142" i="4" s="1"/>
  <c r="P142" i="4" s="1"/>
  <c r="AE142" i="4"/>
  <c r="AG142" i="4" s="1"/>
  <c r="O142" i="4" s="1"/>
  <c r="AE390" i="4"/>
  <c r="AG390" i="4" s="1"/>
  <c r="O390" i="4" s="1"/>
  <c r="AD390" i="4"/>
  <c r="AF390" i="4" s="1"/>
  <c r="P390" i="4" s="1"/>
  <c r="AE236" i="4"/>
  <c r="AG236" i="4" s="1"/>
  <c r="O236" i="4" s="1"/>
  <c r="AD236" i="4"/>
  <c r="AF236" i="4" s="1"/>
  <c r="P236" i="4" s="1"/>
  <c r="AE79" i="4"/>
  <c r="AG79" i="4" s="1"/>
  <c r="O79" i="4" s="1"/>
  <c r="AD79" i="4"/>
  <c r="AF79" i="4" s="1"/>
  <c r="P79" i="4" s="1"/>
  <c r="AE185" i="4"/>
  <c r="AG185" i="4" s="1"/>
  <c r="O185" i="4" s="1"/>
  <c r="AD185" i="4"/>
  <c r="AF185" i="4" s="1"/>
  <c r="P185" i="4" s="1"/>
  <c r="AE196" i="4"/>
  <c r="AG196" i="4" s="1"/>
  <c r="O196" i="4" s="1"/>
  <c r="AD196" i="4"/>
  <c r="AF196" i="4" s="1"/>
  <c r="P196" i="4" s="1"/>
  <c r="AD107" i="4"/>
  <c r="AF107" i="4" s="1"/>
  <c r="P107" i="4" s="1"/>
  <c r="AE107" i="4"/>
  <c r="AG107" i="4" s="1"/>
  <c r="O107" i="4" s="1"/>
  <c r="AE56" i="4"/>
  <c r="AG56" i="4" s="1"/>
  <c r="O56" i="4" s="1"/>
  <c r="AD56" i="4"/>
  <c r="AF56" i="4" s="1"/>
  <c r="P56" i="4" s="1"/>
  <c r="AE191" i="4"/>
  <c r="AG191" i="4" s="1"/>
  <c r="O191" i="4" s="1"/>
  <c r="AD191" i="4"/>
  <c r="AF191" i="4" s="1"/>
  <c r="P191" i="4" s="1"/>
  <c r="AE442" i="4"/>
  <c r="AG442" i="4" s="1"/>
  <c r="O442" i="4" s="1"/>
  <c r="AD442" i="4"/>
  <c r="AF442" i="4" s="1"/>
  <c r="P442" i="4" s="1"/>
  <c r="AD30" i="4"/>
  <c r="AF30" i="4" s="1"/>
  <c r="P30" i="4" s="1"/>
  <c r="AE30" i="4"/>
  <c r="AG30" i="4" s="1"/>
  <c r="O30" i="4" s="1"/>
  <c r="AE405" i="4"/>
  <c r="AG405" i="4" s="1"/>
  <c r="O405" i="4" s="1"/>
  <c r="AD405" i="4"/>
  <c r="AF405" i="4" s="1"/>
  <c r="P405" i="4" s="1"/>
  <c r="AE369" i="4"/>
  <c r="AG369" i="4" s="1"/>
  <c r="O369" i="4" s="1"/>
  <c r="AD369" i="4"/>
  <c r="AF369" i="4" s="1"/>
  <c r="P369" i="4" s="1"/>
  <c r="AE278" i="4"/>
  <c r="AG278" i="4" s="1"/>
  <c r="O278" i="4" s="1"/>
  <c r="AD278" i="4"/>
  <c r="AF278" i="4" s="1"/>
  <c r="P278" i="4" s="1"/>
  <c r="AD46" i="4"/>
  <c r="AF46" i="4" s="1"/>
  <c r="P46" i="4" s="1"/>
  <c r="AE46" i="4"/>
  <c r="AG46" i="4" s="1"/>
  <c r="O46" i="4" s="1"/>
  <c r="AE161" i="4"/>
  <c r="AG161" i="4" s="1"/>
  <c r="O161" i="4" s="1"/>
  <c r="AD161" i="4"/>
  <c r="AF161" i="4" s="1"/>
  <c r="P161" i="4" s="1"/>
  <c r="AD154" i="4"/>
  <c r="AF154" i="4" s="1"/>
  <c r="P154" i="4" s="1"/>
  <c r="AE154" i="4"/>
  <c r="AG154" i="4" s="1"/>
  <c r="O154" i="4" s="1"/>
  <c r="AD341" i="4"/>
  <c r="AF341" i="4" s="1"/>
  <c r="P341" i="4" s="1"/>
  <c r="AE341" i="4"/>
  <c r="AG341" i="4" s="1"/>
  <c r="O341" i="4" s="1"/>
  <c r="AD183" i="4"/>
  <c r="AF183" i="4" s="1"/>
  <c r="P183" i="4" s="1"/>
  <c r="AE183" i="4"/>
  <c r="AG183" i="4" s="1"/>
  <c r="O183" i="4" s="1"/>
  <c r="AD496" i="4"/>
  <c r="AF496" i="4" s="1"/>
  <c r="P496" i="4" s="1"/>
  <c r="AE496" i="4"/>
  <c r="AG496" i="4" s="1"/>
  <c r="O496" i="4" s="1"/>
  <c r="AD136" i="4"/>
  <c r="AF136" i="4" s="1"/>
  <c r="P136" i="4" s="1"/>
  <c r="AE136" i="4"/>
  <c r="AG136" i="4" s="1"/>
  <c r="O136" i="4" s="1"/>
  <c r="AE203" i="4"/>
  <c r="AG203" i="4" s="1"/>
  <c r="O203" i="4" s="1"/>
  <c r="AD203" i="4"/>
  <c r="AF203" i="4" s="1"/>
  <c r="P203" i="4" s="1"/>
  <c r="AE170" i="4"/>
  <c r="AG170" i="4" s="1"/>
  <c r="O170" i="4" s="1"/>
  <c r="AD170" i="4"/>
  <c r="AF170" i="4" s="1"/>
  <c r="P170" i="4" s="1"/>
  <c r="AE235" i="4"/>
  <c r="AG235" i="4" s="1"/>
  <c r="O235" i="4" s="1"/>
  <c r="AD235" i="4"/>
  <c r="AF235" i="4" s="1"/>
  <c r="P235" i="4" s="1"/>
  <c r="AD93" i="4"/>
  <c r="AF93" i="4" s="1"/>
  <c r="P93" i="4" s="1"/>
  <c r="AE93" i="4"/>
  <c r="AG93" i="4" s="1"/>
  <c r="O93" i="4" s="1"/>
  <c r="AD91" i="4"/>
  <c r="AF91" i="4" s="1"/>
  <c r="P91" i="4" s="1"/>
  <c r="AE91" i="4"/>
  <c r="AG91" i="4" s="1"/>
  <c r="O91" i="4" s="1"/>
  <c r="AD362" i="4"/>
  <c r="AF362" i="4" s="1"/>
  <c r="P362" i="4" s="1"/>
  <c r="AE362" i="4"/>
  <c r="AG362" i="4" s="1"/>
  <c r="O362" i="4" s="1"/>
  <c r="AD140" i="4"/>
  <c r="AF140" i="4" s="1"/>
  <c r="P140" i="4" s="1"/>
  <c r="AE140" i="4"/>
  <c r="AG140" i="4" s="1"/>
  <c r="O140" i="4" s="1"/>
  <c r="AD112" i="4"/>
  <c r="AF112" i="4" s="1"/>
  <c r="P112" i="4" s="1"/>
  <c r="AE112" i="4"/>
  <c r="AG112" i="4" s="1"/>
  <c r="O112" i="4" s="1"/>
  <c r="AE60" i="4"/>
  <c r="AG60" i="4" s="1"/>
  <c r="O60" i="4" s="1"/>
  <c r="AD60" i="4"/>
  <c r="AF60" i="4" s="1"/>
  <c r="P60" i="4" s="1"/>
  <c r="AE200" i="4"/>
  <c r="AG200" i="4" s="1"/>
  <c r="O200" i="4" s="1"/>
  <c r="AD200" i="4"/>
  <c r="AF200" i="4" s="1"/>
  <c r="P200" i="4" s="1"/>
  <c r="AD289" i="4"/>
  <c r="AF289" i="4" s="1"/>
  <c r="P289" i="4" s="1"/>
  <c r="AE289" i="4"/>
  <c r="AG289" i="4" s="1"/>
  <c r="O289" i="4" s="1"/>
  <c r="AD502" i="4"/>
  <c r="AF502" i="4" s="1"/>
  <c r="P502" i="4" s="1"/>
  <c r="AE502" i="4"/>
  <c r="AG502" i="4" s="1"/>
  <c r="O502" i="4" s="1"/>
  <c r="AD215" i="4"/>
  <c r="AF215" i="4" s="1"/>
  <c r="P215" i="4" s="1"/>
  <c r="AE215" i="4"/>
  <c r="AG215" i="4" s="1"/>
  <c r="O215" i="4" s="1"/>
  <c r="AE32" i="4"/>
  <c r="AG32" i="4" s="1"/>
  <c r="O32" i="4" s="1"/>
  <c r="AD32" i="4"/>
  <c r="AF32" i="4" s="1"/>
  <c r="P32" i="4" s="1"/>
  <c r="AD25" i="4"/>
  <c r="AF25" i="4" s="1"/>
  <c r="P25" i="4" s="1"/>
  <c r="AE25" i="4"/>
  <c r="AG25" i="4" s="1"/>
  <c r="O25" i="4" s="1"/>
  <c r="AD71" i="4"/>
  <c r="AF71" i="4" s="1"/>
  <c r="P71" i="4" s="1"/>
  <c r="AE71" i="4"/>
  <c r="AG71" i="4" s="1"/>
  <c r="O71" i="4" s="1"/>
  <c r="AD486" i="4"/>
  <c r="AF486" i="4" s="1"/>
  <c r="P486" i="4" s="1"/>
  <c r="AE486" i="4"/>
  <c r="AG486" i="4" s="1"/>
  <c r="O486" i="4" s="1"/>
  <c r="AE257" i="4"/>
  <c r="AG257" i="4" s="1"/>
  <c r="O257" i="4" s="1"/>
  <c r="AD257" i="4"/>
  <c r="AF257" i="4" s="1"/>
  <c r="P257" i="4" s="1"/>
  <c r="AE233" i="4"/>
  <c r="AG233" i="4" s="1"/>
  <c r="O233" i="4" s="1"/>
  <c r="AD233" i="4"/>
  <c r="AF233" i="4" s="1"/>
  <c r="P233" i="4" s="1"/>
  <c r="AD365" i="4"/>
  <c r="AF365" i="4" s="1"/>
  <c r="P365" i="4" s="1"/>
  <c r="AE365" i="4"/>
  <c r="AG365" i="4" s="1"/>
  <c r="O365" i="4" s="1"/>
  <c r="AD274" i="4"/>
  <c r="AF274" i="4" s="1"/>
  <c r="P274" i="4" s="1"/>
  <c r="AE274" i="4"/>
  <c r="AG274" i="4" s="1"/>
  <c r="O274" i="4" s="1"/>
  <c r="AE356" i="4"/>
  <c r="AG356" i="4" s="1"/>
  <c r="O356" i="4" s="1"/>
  <c r="AD356" i="4"/>
  <c r="AF356" i="4" s="1"/>
  <c r="P356" i="4" s="1"/>
  <c r="AD500" i="4"/>
  <c r="AF500" i="4" s="1"/>
  <c r="P500" i="4" s="1"/>
  <c r="AE500" i="4"/>
  <c r="AG500" i="4" s="1"/>
  <c r="O500" i="4" s="1"/>
  <c r="AE18" i="4"/>
  <c r="AG18" i="4" s="1"/>
  <c r="O18" i="4" s="1"/>
  <c r="AD18" i="4"/>
  <c r="AF18" i="4" s="1"/>
  <c r="P18" i="4" s="1"/>
  <c r="AE160" i="4"/>
  <c r="AG160" i="4" s="1"/>
  <c r="O160" i="4" s="1"/>
  <c r="AD160" i="4"/>
  <c r="AF160" i="4" s="1"/>
  <c r="P160" i="4" s="1"/>
  <c r="AD378" i="4"/>
  <c r="AF378" i="4" s="1"/>
  <c r="P378" i="4" s="1"/>
  <c r="AE378" i="4"/>
  <c r="AG378" i="4" s="1"/>
  <c r="O378" i="4" s="1"/>
  <c r="AE273" i="4"/>
  <c r="AG273" i="4" s="1"/>
  <c r="O273" i="4" s="1"/>
  <c r="AD273" i="4"/>
  <c r="AF273" i="4" s="1"/>
  <c r="P273" i="4" s="1"/>
  <c r="AD195" i="4"/>
  <c r="AF195" i="4" s="1"/>
  <c r="P195" i="4" s="1"/>
  <c r="AE195" i="4"/>
  <c r="AG195" i="4" s="1"/>
  <c r="O195" i="4" s="1"/>
  <c r="AE503" i="4"/>
  <c r="AG503" i="4" s="1"/>
  <c r="O503" i="4" s="1"/>
  <c r="AD503" i="4"/>
  <c r="AF503" i="4" s="1"/>
  <c r="P503" i="4" s="1"/>
  <c r="AE464" i="4"/>
  <c r="AG464" i="4" s="1"/>
  <c r="O464" i="4" s="1"/>
  <c r="AD464" i="4"/>
  <c r="AF464" i="4" s="1"/>
  <c r="P464" i="4" s="1"/>
  <c r="AD68" i="4"/>
  <c r="AF68" i="4" s="1"/>
  <c r="P68" i="4" s="1"/>
  <c r="AE68" i="4"/>
  <c r="AG68" i="4" s="1"/>
  <c r="O68" i="4" s="1"/>
  <c r="AD360" i="4"/>
  <c r="AF360" i="4" s="1"/>
  <c r="P360" i="4" s="1"/>
  <c r="AE360" i="4"/>
  <c r="AG360" i="4" s="1"/>
  <c r="O360" i="4" s="1"/>
  <c r="AD44" i="4"/>
  <c r="AF44" i="4" s="1"/>
  <c r="P44" i="4" s="1"/>
  <c r="AE44" i="4"/>
  <c r="AG44" i="4" s="1"/>
  <c r="O44" i="4" s="1"/>
  <c r="AD259" i="4"/>
  <c r="AF259" i="4" s="1"/>
  <c r="P259" i="4" s="1"/>
  <c r="AE259" i="4"/>
  <c r="AG259" i="4" s="1"/>
  <c r="O259" i="4" s="1"/>
  <c r="AD111" i="4"/>
  <c r="AF111" i="4" s="1"/>
  <c r="P111" i="4" s="1"/>
  <c r="AE111" i="4"/>
  <c r="AG111" i="4" s="1"/>
  <c r="O111" i="4" s="1"/>
  <c r="AD332" i="4"/>
  <c r="AF332" i="4" s="1"/>
  <c r="P332" i="4" s="1"/>
  <c r="AE332" i="4"/>
  <c r="AG332" i="4" s="1"/>
  <c r="O332" i="4" s="1"/>
  <c r="AD447" i="4"/>
  <c r="AF447" i="4" s="1"/>
  <c r="P447" i="4" s="1"/>
  <c r="AE447" i="4"/>
  <c r="AG447" i="4" s="1"/>
  <c r="O447" i="4" s="1"/>
  <c r="AE477" i="4"/>
  <c r="AG477" i="4" s="1"/>
  <c r="O477" i="4" s="1"/>
  <c r="AD477" i="4"/>
  <c r="AF477" i="4" s="1"/>
  <c r="P477" i="4" s="1"/>
  <c r="AE21" i="4"/>
  <c r="AG21" i="4" s="1"/>
  <c r="O21" i="4" s="1"/>
  <c r="AD21" i="4"/>
  <c r="AF21" i="4" s="1"/>
  <c r="P21" i="4" s="1"/>
  <c r="AE108" i="4"/>
  <c r="AG108" i="4" s="1"/>
  <c r="O108" i="4" s="1"/>
  <c r="AD108" i="4"/>
  <c r="AF108" i="4" s="1"/>
  <c r="P108" i="4" s="1"/>
  <c r="AD470" i="4"/>
  <c r="AF470" i="4" s="1"/>
  <c r="P470" i="4" s="1"/>
  <c r="AE470" i="4"/>
  <c r="AG470" i="4" s="1"/>
  <c r="O470" i="4" s="1"/>
  <c r="AD42" i="4"/>
  <c r="AF42" i="4" s="1"/>
  <c r="P42" i="4" s="1"/>
  <c r="AE42" i="4"/>
  <c r="AG42" i="4" s="1"/>
  <c r="O42" i="4" s="1"/>
  <c r="AE48" i="4"/>
  <c r="AG48" i="4" s="1"/>
  <c r="O48" i="4" s="1"/>
  <c r="AD48" i="4"/>
  <c r="AF48" i="4" s="1"/>
  <c r="P48" i="4" s="1"/>
  <c r="AD97" i="4"/>
  <c r="AF97" i="4" s="1"/>
  <c r="P97" i="4" s="1"/>
  <c r="AE97" i="4"/>
  <c r="AG97" i="4" s="1"/>
  <c r="O97" i="4" s="1"/>
  <c r="AD409" i="4"/>
  <c r="AF409" i="4" s="1"/>
  <c r="P409" i="4" s="1"/>
  <c r="AE409" i="4"/>
  <c r="AG409" i="4" s="1"/>
  <c r="O409" i="4" s="1"/>
  <c r="AE497" i="4"/>
  <c r="AG497" i="4" s="1"/>
  <c r="O497" i="4" s="1"/>
  <c r="AD497" i="4"/>
  <c r="AF497" i="4" s="1"/>
  <c r="P497" i="4" s="1"/>
  <c r="AE81" i="4"/>
  <c r="AG81" i="4" s="1"/>
  <c r="O81" i="4" s="1"/>
  <c r="AD81" i="4"/>
  <c r="AF81" i="4" s="1"/>
  <c r="P81" i="4" s="1"/>
  <c r="AE72" i="4"/>
  <c r="AG72" i="4" s="1"/>
  <c r="O72" i="4" s="1"/>
  <c r="AD72" i="4"/>
  <c r="AF72" i="4" s="1"/>
  <c r="P72" i="4" s="1"/>
  <c r="AE400" i="4"/>
  <c r="AG400" i="4" s="1"/>
  <c r="O400" i="4" s="1"/>
  <c r="AD400" i="4"/>
  <c r="AF400" i="4" s="1"/>
  <c r="P400" i="4" s="1"/>
  <c r="AE406" i="4"/>
  <c r="AG406" i="4" s="1"/>
  <c r="O406" i="4" s="1"/>
  <c r="AD406" i="4"/>
  <c r="AF406" i="4" s="1"/>
  <c r="P406" i="4" s="1"/>
  <c r="AD434" i="4"/>
  <c r="AF434" i="4" s="1"/>
  <c r="P434" i="4" s="1"/>
  <c r="AE434" i="4"/>
  <c r="AG434" i="4" s="1"/>
  <c r="O434" i="4" s="1"/>
  <c r="AD402" i="4"/>
  <c r="AF402" i="4" s="1"/>
  <c r="P402" i="4" s="1"/>
  <c r="AE402" i="4"/>
  <c r="AG402" i="4" s="1"/>
  <c r="O402" i="4" s="1"/>
  <c r="AE339" i="4"/>
  <c r="AG339" i="4" s="1"/>
  <c r="O339" i="4" s="1"/>
  <c r="AD339" i="4"/>
  <c r="AF339" i="4" s="1"/>
  <c r="P339" i="4" s="1"/>
  <c r="AD89" i="4"/>
  <c r="AF89" i="4" s="1"/>
  <c r="P89" i="4" s="1"/>
  <c r="AE89" i="4"/>
  <c r="AG89" i="4" s="1"/>
  <c r="O89" i="4" s="1"/>
  <c r="AE323" i="4"/>
  <c r="AG323" i="4" s="1"/>
  <c r="O323" i="4" s="1"/>
  <c r="AD323" i="4"/>
  <c r="AF323" i="4" s="1"/>
  <c r="P323" i="4" s="1"/>
  <c r="AD392" i="4"/>
  <c r="AF392" i="4" s="1"/>
  <c r="P392" i="4" s="1"/>
  <c r="AE392" i="4"/>
  <c r="AG392" i="4" s="1"/>
  <c r="O392" i="4" s="1"/>
  <c r="AE485" i="4"/>
  <c r="AG485" i="4" s="1"/>
  <c r="O485" i="4" s="1"/>
  <c r="AD485" i="4"/>
  <c r="AF485" i="4" s="1"/>
  <c r="P485" i="4" s="1"/>
  <c r="AE358" i="4"/>
  <c r="AG358" i="4" s="1"/>
  <c r="O358" i="4" s="1"/>
  <c r="AD358" i="4"/>
  <c r="AF358" i="4" s="1"/>
  <c r="P358" i="4" s="1"/>
  <c r="AD29" i="4"/>
  <c r="AF29" i="4" s="1"/>
  <c r="P29" i="4" s="1"/>
  <c r="AE29" i="4"/>
  <c r="AG29" i="4" s="1"/>
  <c r="O29" i="4" s="1"/>
  <c r="AD284" i="4"/>
  <c r="AF284" i="4" s="1"/>
  <c r="P284" i="4" s="1"/>
  <c r="AE284" i="4"/>
  <c r="AG284" i="4" s="1"/>
  <c r="O284" i="4" s="1"/>
  <c r="AD425" i="4"/>
  <c r="AF425" i="4" s="1"/>
  <c r="P425" i="4" s="1"/>
  <c r="AE425" i="4"/>
  <c r="AG425" i="4" s="1"/>
  <c r="O425" i="4" s="1"/>
  <c r="AE499" i="4"/>
  <c r="AG499" i="4" s="1"/>
  <c r="O499" i="4" s="1"/>
  <c r="AD499" i="4"/>
  <c r="AF499" i="4" s="1"/>
  <c r="P499" i="4" s="1"/>
  <c r="AE314" i="4"/>
  <c r="AG314" i="4" s="1"/>
  <c r="O314" i="4" s="1"/>
  <c r="AD314" i="4"/>
  <c r="AF314" i="4" s="1"/>
  <c r="P314" i="4" s="1"/>
  <c r="AD255" i="4"/>
  <c r="AF255" i="4" s="1"/>
  <c r="P255" i="4" s="1"/>
  <c r="AE255" i="4"/>
  <c r="AG255" i="4" s="1"/>
  <c r="O255" i="4" s="1"/>
  <c r="AD300" i="4"/>
  <c r="AF300" i="4" s="1"/>
  <c r="P300" i="4" s="1"/>
  <c r="AE300" i="4"/>
  <c r="AG300" i="4" s="1"/>
  <c r="O300" i="4" s="1"/>
  <c r="AD113" i="4"/>
  <c r="AF113" i="4" s="1"/>
  <c r="P113" i="4" s="1"/>
  <c r="AE113" i="4"/>
  <c r="AG113" i="4" s="1"/>
  <c r="O113" i="4" s="1"/>
  <c r="AE213" i="4"/>
  <c r="AG213" i="4" s="1"/>
  <c r="O213" i="4" s="1"/>
  <c r="AD213" i="4"/>
  <c r="AF213" i="4" s="1"/>
  <c r="P213" i="4" s="1"/>
  <c r="AD324" i="4"/>
  <c r="AF324" i="4" s="1"/>
  <c r="P324" i="4" s="1"/>
  <c r="AE324" i="4"/>
  <c r="AG324" i="4" s="1"/>
  <c r="O324" i="4" s="1"/>
  <c r="AD52" i="4"/>
  <c r="AF52" i="4" s="1"/>
  <c r="P52" i="4" s="1"/>
  <c r="AE52" i="4"/>
  <c r="AG52" i="4" s="1"/>
  <c r="O52" i="4" s="1"/>
  <c r="AE199" i="4"/>
  <c r="AG199" i="4" s="1"/>
  <c r="O199" i="4" s="1"/>
  <c r="AD199" i="4"/>
  <c r="AF199" i="4" s="1"/>
  <c r="P199" i="4" s="1"/>
  <c r="AD355" i="4"/>
  <c r="AF355" i="4" s="1"/>
  <c r="P355" i="4" s="1"/>
  <c r="AE355" i="4"/>
  <c r="AG355" i="4" s="1"/>
  <c r="O355" i="4" s="1"/>
  <c r="AE279" i="4"/>
  <c r="AG279" i="4" s="1"/>
  <c r="O279" i="4" s="1"/>
  <c r="AD279" i="4"/>
  <c r="AF279" i="4" s="1"/>
  <c r="P279" i="4" s="1"/>
  <c r="AE220" i="4"/>
  <c r="AG220" i="4" s="1"/>
  <c r="O220" i="4" s="1"/>
  <c r="AD220" i="4"/>
  <c r="AF220" i="4" s="1"/>
  <c r="P220" i="4" s="1"/>
  <c r="AE471" i="4"/>
  <c r="AG471" i="4" s="1"/>
  <c r="O471" i="4" s="1"/>
  <c r="AD471" i="4"/>
  <c r="AF471" i="4" s="1"/>
  <c r="P471" i="4" s="1"/>
  <c r="AE158" i="4"/>
  <c r="AG158" i="4" s="1"/>
  <c r="O158" i="4" s="1"/>
  <c r="AD158" i="4"/>
  <c r="AF158" i="4" s="1"/>
  <c r="P158" i="4" s="1"/>
  <c r="AE312" i="4"/>
  <c r="AG312" i="4" s="1"/>
  <c r="O312" i="4" s="1"/>
  <c r="AD312" i="4"/>
  <c r="AF312" i="4" s="1"/>
  <c r="P312" i="4" s="1"/>
  <c r="AE104" i="4"/>
  <c r="AG104" i="4" s="1"/>
  <c r="O104" i="4" s="1"/>
  <c r="AD104" i="4"/>
  <c r="AF104" i="4" s="1"/>
  <c r="P104" i="4" s="1"/>
  <c r="AE143" i="4"/>
  <c r="AG143" i="4" s="1"/>
  <c r="O143" i="4" s="1"/>
  <c r="AD143" i="4"/>
  <c r="AF143" i="4" s="1"/>
  <c r="P143" i="4" s="1"/>
  <c r="AE258" i="4"/>
  <c r="AG258" i="4" s="1"/>
  <c r="O258" i="4" s="1"/>
  <c r="AD258" i="4"/>
  <c r="AF258" i="4" s="1"/>
  <c r="P258" i="4" s="1"/>
  <c r="AD248" i="4"/>
  <c r="AF248" i="4" s="1"/>
  <c r="P248" i="4" s="1"/>
  <c r="AE248" i="4"/>
  <c r="AG248" i="4" s="1"/>
  <c r="O248" i="4" s="1"/>
  <c r="AD17" i="4"/>
  <c r="AF17" i="4" s="1"/>
  <c r="P17" i="4" s="1"/>
  <c r="AE17" i="4"/>
  <c r="AG17" i="4" s="1"/>
  <c r="O17" i="4" s="1"/>
  <c r="AE361" i="4"/>
  <c r="AG361" i="4" s="1"/>
  <c r="O361" i="4" s="1"/>
  <c r="AD361" i="4"/>
  <c r="AF361" i="4" s="1"/>
  <c r="P361" i="4" s="1"/>
  <c r="AD190" i="4"/>
  <c r="AF190" i="4" s="1"/>
  <c r="P190" i="4" s="1"/>
  <c r="AE190" i="4"/>
  <c r="AG190" i="4" s="1"/>
  <c r="O190" i="4" s="1"/>
  <c r="AD181" i="4"/>
  <c r="AF181" i="4" s="1"/>
  <c r="P181" i="4" s="1"/>
  <c r="AE181" i="4"/>
  <c r="AG181" i="4" s="1"/>
  <c r="O181" i="4" s="1"/>
  <c r="AD382" i="4"/>
  <c r="AF382" i="4" s="1"/>
  <c r="P382" i="4" s="1"/>
  <c r="AE382" i="4"/>
  <c r="AG382" i="4" s="1"/>
  <c r="O382" i="4" s="1"/>
  <c r="AD37" i="4"/>
  <c r="AF37" i="4" s="1"/>
  <c r="P37" i="4" s="1"/>
  <c r="AE37" i="4"/>
  <c r="AG37" i="4" s="1"/>
  <c r="O37" i="4" s="1"/>
  <c r="AD340" i="4"/>
  <c r="AF340" i="4" s="1"/>
  <c r="P340" i="4" s="1"/>
  <c r="AE340" i="4"/>
  <c r="AG340" i="4" s="1"/>
  <c r="O340" i="4" s="1"/>
  <c r="AD347" i="4"/>
  <c r="AF347" i="4" s="1"/>
  <c r="P347" i="4" s="1"/>
  <c r="AE347" i="4"/>
  <c r="AG347" i="4" s="1"/>
  <c r="O347" i="4" s="1"/>
  <c r="AE418" i="4"/>
  <c r="AG418" i="4" s="1"/>
  <c r="O418" i="4" s="1"/>
  <c r="AD418" i="4"/>
  <c r="AF418" i="4" s="1"/>
  <c r="P418" i="4" s="1"/>
  <c r="AD351" i="4"/>
  <c r="AF351" i="4" s="1"/>
  <c r="P351" i="4" s="1"/>
  <c r="AE351" i="4"/>
  <c r="AG351" i="4" s="1"/>
  <c r="O351" i="4" s="1"/>
  <c r="AE277" i="4"/>
  <c r="AG277" i="4" s="1"/>
  <c r="O277" i="4" s="1"/>
  <c r="AD277" i="4"/>
  <c r="AF277" i="4" s="1"/>
  <c r="P277" i="4" s="1"/>
  <c r="AE129" i="4"/>
  <c r="AG129" i="4" s="1"/>
  <c r="O129" i="4" s="1"/>
  <c r="AD129" i="4"/>
  <c r="AF129" i="4" s="1"/>
  <c r="P129" i="4" s="1"/>
  <c r="AE224" i="4"/>
  <c r="AG224" i="4" s="1"/>
  <c r="O224" i="4" s="1"/>
  <c r="AD224" i="4"/>
  <c r="AF224" i="4" s="1"/>
  <c r="P224" i="4" s="1"/>
  <c r="AE272" i="4"/>
  <c r="AG272" i="4" s="1"/>
  <c r="O272" i="4" s="1"/>
  <c r="AD272" i="4"/>
  <c r="AF272" i="4" s="1"/>
  <c r="P272" i="4" s="1"/>
  <c r="AD433" i="4"/>
  <c r="AF433" i="4" s="1"/>
  <c r="P433" i="4" s="1"/>
  <c r="AE433" i="4"/>
  <c r="AG433" i="4" s="1"/>
  <c r="O433" i="4" s="1"/>
  <c r="AE428" i="4"/>
  <c r="AG428" i="4" s="1"/>
  <c r="O428" i="4" s="1"/>
  <c r="AD428" i="4"/>
  <c r="AF428" i="4" s="1"/>
  <c r="P428" i="4" s="1"/>
  <c r="AD422" i="4"/>
  <c r="AF422" i="4" s="1"/>
  <c r="P422" i="4" s="1"/>
  <c r="AE422" i="4"/>
  <c r="AG422" i="4" s="1"/>
  <c r="O422" i="4" s="1"/>
  <c r="AE444" i="4"/>
  <c r="AG444" i="4" s="1"/>
  <c r="O444" i="4" s="1"/>
  <c r="AD444" i="4"/>
  <c r="AF444" i="4" s="1"/>
  <c r="P444" i="4" s="1"/>
  <c r="AD291" i="4"/>
  <c r="AF291" i="4" s="1"/>
  <c r="P291" i="4" s="1"/>
  <c r="AE291" i="4"/>
  <c r="AG291" i="4" s="1"/>
  <c r="O291" i="4" s="1"/>
  <c r="AD12" i="4"/>
  <c r="AF12" i="4" s="1"/>
  <c r="P12" i="4" s="1"/>
  <c r="AE12" i="4"/>
  <c r="AG12" i="4" s="1"/>
  <c r="O12" i="4" s="1"/>
  <c r="AE440" i="4"/>
  <c r="AG440" i="4" s="1"/>
  <c r="O440" i="4" s="1"/>
  <c r="AD440" i="4"/>
  <c r="AF440" i="4" s="1"/>
  <c r="P440" i="4" s="1"/>
  <c r="AD256" i="4"/>
  <c r="AF256" i="4" s="1"/>
  <c r="P256" i="4" s="1"/>
  <c r="AE256" i="4"/>
  <c r="AG256" i="4" s="1"/>
  <c r="O256" i="4" s="1"/>
  <c r="AD375" i="4"/>
  <c r="AF375" i="4" s="1"/>
  <c r="P375" i="4" s="1"/>
  <c r="AE375" i="4"/>
  <c r="AG375" i="4" s="1"/>
  <c r="O375" i="4" s="1"/>
  <c r="AD381" i="4"/>
  <c r="AF381" i="4" s="1"/>
  <c r="P381" i="4" s="1"/>
  <c r="AE381" i="4"/>
  <c r="AG381" i="4" s="1"/>
  <c r="O381" i="4" s="1"/>
  <c r="AD137" i="4"/>
  <c r="AF137" i="4" s="1"/>
  <c r="P137" i="4" s="1"/>
  <c r="AE137" i="4"/>
  <c r="AG137" i="4" s="1"/>
  <c r="O137" i="4" s="1"/>
  <c r="AD395" i="4"/>
  <c r="AF395" i="4" s="1"/>
  <c r="P395" i="4" s="1"/>
  <c r="AE395" i="4"/>
  <c r="AG395" i="4" s="1"/>
  <c r="O395" i="4" s="1"/>
  <c r="AE40" i="4"/>
  <c r="AG40" i="4" s="1"/>
  <c r="O40" i="4" s="1"/>
  <c r="AD40" i="4"/>
  <c r="AF40" i="4" s="1"/>
  <c r="P40" i="4" s="1"/>
  <c r="AD135" i="4"/>
  <c r="AF135" i="4" s="1"/>
  <c r="P135" i="4" s="1"/>
  <c r="AE135" i="4"/>
  <c r="AG135" i="4" s="1"/>
  <c r="O135" i="4" s="1"/>
  <c r="AE132" i="4"/>
  <c r="AG132" i="4" s="1"/>
  <c r="O132" i="4" s="1"/>
  <c r="AD132" i="4"/>
  <c r="AF132" i="4" s="1"/>
  <c r="P132" i="4" s="1"/>
  <c r="AD144" i="4"/>
  <c r="AF144" i="4" s="1"/>
  <c r="P144" i="4" s="1"/>
  <c r="AE144" i="4"/>
  <c r="AG144" i="4" s="1"/>
  <c r="O144" i="4" s="1"/>
  <c r="AD175" i="4"/>
  <c r="AF175" i="4" s="1"/>
  <c r="P175" i="4" s="1"/>
  <c r="AE175" i="4"/>
  <c r="AG175" i="4" s="1"/>
  <c r="O175" i="4" s="1"/>
  <c r="AD501" i="4"/>
  <c r="AF501" i="4" s="1"/>
  <c r="P501" i="4" s="1"/>
  <c r="AE501" i="4"/>
  <c r="AG501" i="4" s="1"/>
  <c r="O501" i="4" s="1"/>
  <c r="AD373" i="4"/>
  <c r="AF373" i="4" s="1"/>
  <c r="P373" i="4" s="1"/>
  <c r="AE373" i="4"/>
  <c r="AG373" i="4" s="1"/>
  <c r="O373" i="4" s="1"/>
  <c r="AD350" i="4"/>
  <c r="AF350" i="4" s="1"/>
  <c r="P350" i="4" s="1"/>
  <c r="AE350" i="4"/>
  <c r="AG350" i="4" s="1"/>
  <c r="O350" i="4" s="1"/>
  <c r="AD372" i="4"/>
  <c r="AF372" i="4" s="1"/>
  <c r="P372" i="4" s="1"/>
  <c r="AE372" i="4"/>
  <c r="AG372" i="4" s="1"/>
  <c r="O372" i="4" s="1"/>
  <c r="AD306" i="4"/>
  <c r="AF306" i="4" s="1"/>
  <c r="P306" i="4" s="1"/>
  <c r="AE306" i="4"/>
  <c r="AG306" i="4" s="1"/>
  <c r="O306" i="4" s="1"/>
  <c r="AD437" i="4"/>
  <c r="AF437" i="4" s="1"/>
  <c r="P437" i="4" s="1"/>
  <c r="AE437" i="4"/>
  <c r="AG437" i="4" s="1"/>
  <c r="O437" i="4" s="1"/>
  <c r="AD41" i="4"/>
  <c r="AF41" i="4" s="1"/>
  <c r="P41" i="4" s="1"/>
  <c r="AE41" i="4"/>
  <c r="AG41" i="4" s="1"/>
  <c r="O41" i="4" s="1"/>
  <c r="AE322" i="4"/>
  <c r="AG322" i="4" s="1"/>
  <c r="O322" i="4" s="1"/>
  <c r="AD322" i="4"/>
  <c r="AF322" i="4" s="1"/>
  <c r="P322" i="4" s="1"/>
  <c r="AE192" i="4"/>
  <c r="AG192" i="4" s="1"/>
  <c r="O192" i="4" s="1"/>
  <c r="AD192" i="4"/>
  <c r="AF192" i="4" s="1"/>
  <c r="P192" i="4" s="1"/>
  <c r="AE96" i="4"/>
  <c r="AG96" i="4" s="1"/>
  <c r="O96" i="4" s="1"/>
  <c r="AD96" i="4"/>
  <c r="AF96" i="4" s="1"/>
  <c r="P96" i="4" s="1"/>
  <c r="AE19" i="4"/>
  <c r="AG19" i="4" s="1"/>
  <c r="O19" i="4" s="1"/>
  <c r="AD19" i="4"/>
  <c r="AF19" i="4" s="1"/>
  <c r="P19" i="4" s="1"/>
  <c r="AE387" i="4"/>
  <c r="AG387" i="4" s="1"/>
  <c r="O387" i="4" s="1"/>
  <c r="AD387" i="4"/>
  <c r="AF387" i="4" s="1"/>
  <c r="P387" i="4" s="1"/>
  <c r="AD145" i="4"/>
  <c r="AF145" i="4" s="1"/>
  <c r="P145" i="4" s="1"/>
  <c r="AE145" i="4"/>
  <c r="AG145" i="4" s="1"/>
  <c r="O145" i="4" s="1"/>
  <c r="AD35" i="4"/>
  <c r="AF35" i="4" s="1"/>
  <c r="P35" i="4" s="1"/>
  <c r="AE35" i="4"/>
  <c r="AG35" i="4" s="1"/>
  <c r="O35" i="4" s="1"/>
  <c r="AD466" i="4"/>
  <c r="AF466" i="4" s="1"/>
  <c r="P466" i="4" s="1"/>
  <c r="AE466" i="4"/>
  <c r="AG466" i="4" s="1"/>
  <c r="O466" i="4" s="1"/>
  <c r="AE438" i="4"/>
  <c r="AG438" i="4" s="1"/>
  <c r="O438" i="4" s="1"/>
  <c r="AD438" i="4"/>
  <c r="AF438" i="4" s="1"/>
  <c r="P438" i="4" s="1"/>
  <c r="AE419" i="4"/>
  <c r="AG419" i="4" s="1"/>
  <c r="O419" i="4" s="1"/>
  <c r="AD419" i="4"/>
  <c r="AF419" i="4" s="1"/>
  <c r="P419" i="4" s="1"/>
  <c r="AD28" i="4"/>
  <c r="AF28" i="4" s="1"/>
  <c r="P28" i="4" s="1"/>
  <c r="AE28" i="4"/>
  <c r="AG28" i="4" s="1"/>
  <c r="O28" i="4" s="1"/>
  <c r="AD20" i="4"/>
  <c r="AF20" i="4" s="1"/>
  <c r="P20" i="4" s="1"/>
  <c r="AE20" i="4"/>
  <c r="AG20" i="4" s="1"/>
  <c r="O20" i="4" s="1"/>
  <c r="AE9" i="4"/>
  <c r="AG9" i="4" s="1"/>
  <c r="O9" i="4" s="1"/>
  <c r="AD9" i="4"/>
  <c r="AF9" i="4" s="1"/>
  <c r="P9" i="4" s="1"/>
  <c r="AE432" i="4"/>
  <c r="AG432" i="4" s="1"/>
  <c r="O432" i="4" s="1"/>
  <c r="AD432" i="4"/>
  <c r="AF432" i="4" s="1"/>
  <c r="P432" i="4" s="1"/>
  <c r="AE430" i="4"/>
  <c r="AG430" i="4" s="1"/>
  <c r="O430" i="4" s="1"/>
  <c r="AD430" i="4"/>
  <c r="AF430" i="4" s="1"/>
  <c r="P430" i="4" s="1"/>
  <c r="AD95" i="4"/>
  <c r="AF95" i="4" s="1"/>
  <c r="P95" i="4" s="1"/>
  <c r="AE95" i="4"/>
  <c r="AG95" i="4" s="1"/>
  <c r="O95" i="4" s="1"/>
  <c r="AE423" i="4"/>
  <c r="AG423" i="4" s="1"/>
  <c r="O423" i="4" s="1"/>
  <c r="AD423" i="4"/>
  <c r="AF423" i="4" s="1"/>
  <c r="P423" i="4" s="1"/>
  <c r="AE66" i="4"/>
  <c r="AG66" i="4" s="1"/>
  <c r="O66" i="4" s="1"/>
  <c r="AD66" i="4"/>
  <c r="AF66" i="4" s="1"/>
  <c r="P66" i="4" s="1"/>
  <c r="AE184" i="4"/>
  <c r="AG184" i="4" s="1"/>
  <c r="O184" i="4" s="1"/>
  <c r="AD184" i="4"/>
  <c r="AF184" i="4" s="1"/>
  <c r="P184" i="4" s="1"/>
  <c r="AD449" i="4"/>
  <c r="AF449" i="4" s="1"/>
  <c r="P449" i="4" s="1"/>
  <c r="AE449" i="4"/>
  <c r="AG449" i="4" s="1"/>
  <c r="O449" i="4" s="1"/>
  <c r="AE359" i="4"/>
  <c r="AG359" i="4" s="1"/>
  <c r="O359" i="4" s="1"/>
  <c r="AD359" i="4"/>
  <c r="AF359" i="4" s="1"/>
  <c r="P359" i="4" s="1"/>
  <c r="AE193" i="4"/>
  <c r="AG193" i="4" s="1"/>
  <c r="O193" i="4" s="1"/>
  <c r="AD193" i="4"/>
  <c r="AF193" i="4" s="1"/>
  <c r="P193" i="4" s="1"/>
  <c r="AE179" i="4"/>
  <c r="AG179" i="4" s="1"/>
  <c r="O179" i="4" s="1"/>
  <c r="AD179" i="4"/>
  <c r="AF179" i="4" s="1"/>
  <c r="P179" i="4" s="1"/>
  <c r="AD77" i="4"/>
  <c r="AF77" i="4" s="1"/>
  <c r="P77" i="4" s="1"/>
  <c r="AE77" i="4"/>
  <c r="AG77" i="4" s="1"/>
  <c r="O77" i="4" s="1"/>
  <c r="AE217" i="4"/>
  <c r="AG217" i="4" s="1"/>
  <c r="O217" i="4" s="1"/>
  <c r="AD217" i="4"/>
  <c r="AF217" i="4" s="1"/>
  <c r="P217" i="4" s="1"/>
  <c r="AD283" i="4"/>
  <c r="AF283" i="4" s="1"/>
  <c r="P283" i="4" s="1"/>
  <c r="AE283" i="4"/>
  <c r="AG283" i="4" s="1"/>
  <c r="O283" i="4" s="1"/>
  <c r="AD227" i="4"/>
  <c r="AF227" i="4" s="1"/>
  <c r="P227" i="4" s="1"/>
  <c r="AE227" i="4"/>
  <c r="AG227" i="4" s="1"/>
  <c r="O227" i="4" s="1"/>
  <c r="AD80" i="4"/>
  <c r="AF80" i="4" s="1"/>
  <c r="P80" i="4" s="1"/>
  <c r="AE80" i="4"/>
  <c r="AG80" i="4" s="1"/>
  <c r="O80" i="4" s="1"/>
  <c r="AD263" i="4"/>
  <c r="AF263" i="4" s="1"/>
  <c r="P263" i="4" s="1"/>
  <c r="AE263" i="4"/>
  <c r="AG263" i="4" s="1"/>
  <c r="O263" i="4" s="1"/>
  <c r="AD354" i="4"/>
  <c r="AF354" i="4" s="1"/>
  <c r="P354" i="4" s="1"/>
  <c r="AE354" i="4"/>
  <c r="AG354" i="4" s="1"/>
  <c r="O354" i="4" s="1"/>
  <c r="AD54" i="4"/>
  <c r="AF54" i="4" s="1"/>
  <c r="P54" i="4" s="1"/>
  <c r="AE54" i="4"/>
  <c r="AG54" i="4" s="1"/>
  <c r="O54" i="4" s="1"/>
  <c r="AE264" i="4"/>
  <c r="AG264" i="4" s="1"/>
  <c r="O264" i="4" s="1"/>
  <c r="AD264" i="4"/>
  <c r="AF264" i="4" s="1"/>
  <c r="P264" i="4" s="1"/>
  <c r="AE352" i="4"/>
  <c r="AG352" i="4" s="1"/>
  <c r="O352" i="4" s="1"/>
  <c r="AD352" i="4"/>
  <c r="AF352" i="4" s="1"/>
  <c r="P352" i="4" s="1"/>
  <c r="AE441" i="4"/>
  <c r="AG441" i="4" s="1"/>
  <c r="O441" i="4" s="1"/>
  <c r="AD441" i="4"/>
  <c r="AF441" i="4" s="1"/>
  <c r="P441" i="4" s="1"/>
  <c r="AD238" i="4"/>
  <c r="AF238" i="4" s="1"/>
  <c r="P238" i="4" s="1"/>
  <c r="AE238" i="4"/>
  <c r="AG238" i="4" s="1"/>
  <c r="O238" i="4" s="1"/>
  <c r="AD128" i="4"/>
  <c r="AF128" i="4" s="1"/>
  <c r="P128" i="4" s="1"/>
  <c r="AE128" i="4"/>
  <c r="AG128" i="4" s="1"/>
  <c r="O128" i="4" s="1"/>
  <c r="AE412" i="4"/>
  <c r="AG412" i="4" s="1"/>
  <c r="O412" i="4" s="1"/>
  <c r="AD412" i="4"/>
  <c r="AF412" i="4" s="1"/>
  <c r="P412" i="4" s="1"/>
  <c r="AE252" i="4"/>
  <c r="AG252" i="4" s="1"/>
  <c r="O252" i="4" s="1"/>
  <c r="AD252" i="4"/>
  <c r="AF252" i="4" s="1"/>
  <c r="P252" i="4" s="1"/>
  <c r="AE76" i="4"/>
  <c r="AG76" i="4" s="1"/>
  <c r="O76" i="4" s="1"/>
  <c r="AD76" i="4"/>
  <c r="AF76" i="4" s="1"/>
  <c r="P76" i="4" s="1"/>
  <c r="AE469" i="4"/>
  <c r="AG469" i="4" s="1"/>
  <c r="O469" i="4" s="1"/>
  <c r="AD469" i="4"/>
  <c r="AF469" i="4" s="1"/>
  <c r="P469" i="4" s="1"/>
  <c r="AD420" i="4"/>
  <c r="AF420" i="4" s="1"/>
  <c r="P420" i="4" s="1"/>
  <c r="AE420" i="4"/>
  <c r="AG420" i="4" s="1"/>
  <c r="O420" i="4" s="1"/>
  <c r="AD231" i="4"/>
  <c r="AF231" i="4" s="1"/>
  <c r="P231" i="4" s="1"/>
  <c r="AE231" i="4"/>
  <c r="AG231" i="4" s="1"/>
  <c r="O231" i="4" s="1"/>
  <c r="AD484" i="4"/>
  <c r="AF484" i="4" s="1"/>
  <c r="P484" i="4" s="1"/>
  <c r="AE484" i="4"/>
  <c r="AG484" i="4" s="1"/>
  <c r="O484" i="4" s="1"/>
  <c r="AD287" i="4"/>
  <c r="AF287" i="4" s="1"/>
  <c r="P287" i="4" s="1"/>
  <c r="AE287" i="4"/>
  <c r="AG287" i="4" s="1"/>
  <c r="O287" i="4" s="1"/>
  <c r="AE328" i="4"/>
  <c r="AG328" i="4" s="1"/>
  <c r="O328" i="4" s="1"/>
  <c r="AD328" i="4"/>
  <c r="AF328" i="4" s="1"/>
  <c r="P328" i="4" s="1"/>
  <c r="AD222" i="4"/>
  <c r="AF222" i="4" s="1"/>
  <c r="P222" i="4" s="1"/>
  <c r="AE222" i="4"/>
  <c r="AG222" i="4" s="1"/>
  <c r="O222" i="4" s="1"/>
  <c r="AD105" i="4"/>
  <c r="AF105" i="4" s="1"/>
  <c r="P105" i="4" s="1"/>
  <c r="AE105" i="4"/>
  <c r="AG105" i="4" s="1"/>
  <c r="O105" i="4" s="1"/>
  <c r="AE99" i="4"/>
  <c r="AG99" i="4" s="1"/>
  <c r="O99" i="4" s="1"/>
  <c r="AD99" i="4"/>
  <c r="AF99" i="4" s="1"/>
  <c r="P99" i="4" s="1"/>
  <c r="AD380" i="4"/>
  <c r="AF380" i="4" s="1"/>
  <c r="P380" i="4" s="1"/>
  <c r="AE380" i="4"/>
  <c r="AG380" i="4" s="1"/>
  <c r="O380" i="4" s="1"/>
  <c r="AE398" i="4"/>
  <c r="AG398" i="4" s="1"/>
  <c r="O398" i="4" s="1"/>
  <c r="AD398" i="4"/>
  <c r="AF398" i="4" s="1"/>
  <c r="P398" i="4" s="1"/>
  <c r="AD342" i="4"/>
  <c r="AF342" i="4" s="1"/>
  <c r="P342" i="4" s="1"/>
  <c r="AE342" i="4"/>
  <c r="AG342" i="4" s="1"/>
  <c r="O342" i="4" s="1"/>
  <c r="AD280" i="4"/>
  <c r="AF280" i="4" s="1"/>
  <c r="P280" i="4" s="1"/>
  <c r="AE280" i="4"/>
  <c r="AG280" i="4" s="1"/>
  <c r="O280" i="4" s="1"/>
  <c r="AE87" i="4"/>
  <c r="AG87" i="4" s="1"/>
  <c r="O87" i="4" s="1"/>
  <c r="AD87" i="4"/>
  <c r="AF87" i="4" s="1"/>
  <c r="P87" i="4" s="1"/>
  <c r="AE421" i="4"/>
  <c r="AG421" i="4" s="1"/>
  <c r="O421" i="4" s="1"/>
  <c r="AD421" i="4"/>
  <c r="AF421" i="4" s="1"/>
  <c r="P421" i="4" s="1"/>
  <c r="AD63" i="4"/>
  <c r="AF63" i="4" s="1"/>
  <c r="P63" i="4" s="1"/>
  <c r="AE63" i="4"/>
  <c r="AG63" i="4" s="1"/>
  <c r="O63" i="4" s="1"/>
  <c r="AE299" i="4"/>
  <c r="AG299" i="4" s="1"/>
  <c r="O299" i="4" s="1"/>
  <c r="AD299" i="4"/>
  <c r="AF299" i="4" s="1"/>
  <c r="P299" i="4" s="1"/>
  <c r="AD197" i="4"/>
  <c r="AF197" i="4" s="1"/>
  <c r="P197" i="4" s="1"/>
  <c r="AE197" i="4"/>
  <c r="AG197" i="4" s="1"/>
  <c r="O197" i="4" s="1"/>
  <c r="AE125" i="4"/>
  <c r="AG125" i="4" s="1"/>
  <c r="O125" i="4" s="1"/>
  <c r="AD125" i="4"/>
  <c r="AF125" i="4" s="1"/>
  <c r="P125" i="4" s="1"/>
  <c r="AD346" i="4"/>
  <c r="AF346" i="4" s="1"/>
  <c r="P346" i="4" s="1"/>
  <c r="AE346" i="4"/>
  <c r="AG346" i="4" s="1"/>
  <c r="O346" i="4" s="1"/>
  <c r="AE100" i="4"/>
  <c r="AG100" i="4" s="1"/>
  <c r="O100" i="4" s="1"/>
  <c r="AD100" i="4"/>
  <c r="AF100" i="4" s="1"/>
  <c r="P100" i="4" s="1"/>
  <c r="AE165" i="4"/>
  <c r="AG165" i="4" s="1"/>
  <c r="O165" i="4" s="1"/>
  <c r="AD165" i="4"/>
  <c r="AF165" i="4" s="1"/>
  <c r="P165" i="4" s="1"/>
  <c r="AD296" i="4"/>
  <c r="AF296" i="4" s="1"/>
  <c r="P296" i="4" s="1"/>
  <c r="AE296" i="4"/>
  <c r="AG296" i="4" s="1"/>
  <c r="O296" i="4" s="1"/>
  <c r="AE329" i="4"/>
  <c r="AG329" i="4" s="1"/>
  <c r="O329" i="4" s="1"/>
  <c r="AD329" i="4"/>
  <c r="AF329" i="4" s="1"/>
  <c r="P329" i="4" s="1"/>
  <c r="AE26" i="4"/>
  <c r="AG26" i="4" s="1"/>
  <c r="O26" i="4" s="1"/>
  <c r="AD26" i="4"/>
  <c r="AF26" i="4" s="1"/>
  <c r="P26" i="4" s="1"/>
  <c r="AD234" i="4"/>
  <c r="AF234" i="4" s="1"/>
  <c r="P234" i="4" s="1"/>
  <c r="AE234" i="4"/>
  <c r="AG234" i="4" s="1"/>
  <c r="O234" i="4" s="1"/>
  <c r="AE43" i="4"/>
  <c r="AG43" i="4" s="1"/>
  <c r="O43" i="4" s="1"/>
  <c r="AD43" i="4"/>
  <c r="AF43" i="4" s="1"/>
  <c r="P43" i="4" s="1"/>
  <c r="AD75" i="4"/>
  <c r="AF75" i="4" s="1"/>
  <c r="P75" i="4" s="1"/>
  <c r="AE75" i="4"/>
  <c r="AG75" i="4" s="1"/>
  <c r="O75" i="4" s="1"/>
  <c r="AE371" i="4"/>
  <c r="AG371" i="4" s="1"/>
  <c r="O371" i="4" s="1"/>
  <c r="AD371" i="4"/>
  <c r="AF371" i="4" s="1"/>
  <c r="P371" i="4" s="1"/>
  <c r="AD476" i="4"/>
  <c r="AF476" i="4" s="1"/>
  <c r="P476" i="4" s="1"/>
  <c r="AE476" i="4"/>
  <c r="AG476" i="4" s="1"/>
  <c r="O476" i="4" s="1"/>
  <c r="AD336" i="4"/>
  <c r="AF336" i="4" s="1"/>
  <c r="P336" i="4" s="1"/>
  <c r="AE336" i="4"/>
  <c r="AG336" i="4" s="1"/>
  <c r="O336" i="4" s="1"/>
  <c r="AE349" i="4"/>
  <c r="AG349" i="4" s="1"/>
  <c r="O349" i="4" s="1"/>
  <c r="AD349" i="4"/>
  <c r="AF349" i="4" s="1"/>
  <c r="P349" i="4" s="1"/>
  <c r="AE14" i="4"/>
  <c r="AG14" i="4" s="1"/>
  <c r="O14" i="4" s="1"/>
  <c r="AD14" i="4"/>
  <c r="AF14" i="4" s="1"/>
  <c r="P14" i="4" s="1"/>
  <c r="AE202" i="4"/>
  <c r="AG202" i="4" s="1"/>
  <c r="O202" i="4" s="1"/>
  <c r="AD202" i="4"/>
  <c r="AF202" i="4" s="1"/>
  <c r="P202" i="4" s="1"/>
  <c r="AE210" i="4"/>
  <c r="AG210" i="4" s="1"/>
  <c r="O210" i="4" s="1"/>
  <c r="AD210" i="4"/>
  <c r="AF210" i="4" s="1"/>
  <c r="P210" i="4" s="1"/>
  <c r="AD407" i="4"/>
  <c r="AF407" i="4" s="1"/>
  <c r="P407" i="4" s="1"/>
  <c r="AE407" i="4"/>
  <c r="AG407" i="4" s="1"/>
  <c r="O407" i="4" s="1"/>
  <c r="AE493" i="4"/>
  <c r="AG493" i="4" s="1"/>
  <c r="O493" i="4" s="1"/>
  <c r="AD493" i="4"/>
  <c r="AF493" i="4" s="1"/>
  <c r="P493" i="4" s="1"/>
  <c r="AD467" i="4"/>
  <c r="AF467" i="4" s="1"/>
  <c r="P467" i="4" s="1"/>
  <c r="AE467" i="4"/>
  <c r="AG467" i="4" s="1"/>
  <c r="O467" i="4" s="1"/>
  <c r="AE92" i="4"/>
  <c r="AG92" i="4" s="1"/>
  <c r="O92" i="4" s="1"/>
  <c r="AD92" i="4"/>
  <c r="AF92" i="4" s="1"/>
  <c r="P92" i="4" s="1"/>
  <c r="AE169" i="4"/>
  <c r="AG169" i="4" s="1"/>
  <c r="O169" i="4" s="1"/>
  <c r="AD169" i="4"/>
  <c r="AF169" i="4" s="1"/>
  <c r="P169" i="4" s="1"/>
  <c r="AE268" i="4"/>
  <c r="AG268" i="4" s="1"/>
  <c r="O268" i="4" s="1"/>
  <c r="AD268" i="4"/>
  <c r="AF268" i="4" s="1"/>
  <c r="P268" i="4" s="1"/>
  <c r="AE214" i="4"/>
  <c r="AG214" i="4" s="1"/>
  <c r="O214" i="4" s="1"/>
  <c r="AD214" i="4"/>
  <c r="AF214" i="4" s="1"/>
  <c r="P214" i="4" s="1"/>
  <c r="AE177" i="4"/>
  <c r="AG177" i="4" s="1"/>
  <c r="O177" i="4" s="1"/>
  <c r="AD177" i="4"/>
  <c r="AF177" i="4" s="1"/>
  <c r="P177" i="4" s="1"/>
  <c r="AD74" i="4"/>
  <c r="AF74" i="4" s="1"/>
  <c r="P74" i="4" s="1"/>
  <c r="AE74" i="4"/>
  <c r="AG74" i="4" s="1"/>
  <c r="O74" i="4" s="1"/>
  <c r="AD424" i="4"/>
  <c r="AF424" i="4" s="1"/>
  <c r="P424" i="4" s="1"/>
  <c r="AE424" i="4"/>
  <c r="AG424" i="4" s="1"/>
  <c r="O424" i="4" s="1"/>
  <c r="AE242" i="4"/>
  <c r="AG242" i="4" s="1"/>
  <c r="O242" i="4" s="1"/>
  <c r="AD242" i="4"/>
  <c r="AF242" i="4" s="1"/>
  <c r="P242" i="4" s="1"/>
  <c r="AE50" i="4"/>
  <c r="AG50" i="4" s="1"/>
  <c r="O50" i="4" s="1"/>
  <c r="AD50" i="4"/>
  <c r="AF50" i="4" s="1"/>
  <c r="P50" i="4" s="1"/>
  <c r="AD315" i="4"/>
  <c r="AF315" i="4" s="1"/>
  <c r="P315" i="4" s="1"/>
  <c r="AE315" i="4"/>
  <c r="AG315" i="4" s="1"/>
  <c r="O315" i="4" s="1"/>
  <c r="AD431" i="4"/>
  <c r="AF431" i="4" s="1"/>
  <c r="P431" i="4" s="1"/>
  <c r="AE431" i="4"/>
  <c r="AG431" i="4" s="1"/>
  <c r="O431" i="4" s="1"/>
  <c r="AE368" i="4"/>
  <c r="AG368" i="4" s="1"/>
  <c r="O368" i="4" s="1"/>
  <c r="AD368" i="4"/>
  <c r="AF368" i="4" s="1"/>
  <c r="P368" i="4" s="1"/>
  <c r="AE6" i="4"/>
  <c r="AG6" i="4" s="1"/>
  <c r="O6" i="4" s="1"/>
  <c r="AD6" i="4"/>
  <c r="AF6" i="4" s="1"/>
  <c r="P6" i="4" s="1"/>
  <c r="AE53" i="4"/>
  <c r="AG53" i="4" s="1"/>
  <c r="O53" i="4" s="1"/>
  <c r="AD53" i="4"/>
  <c r="AF53" i="4" s="1"/>
  <c r="P53" i="4" s="1"/>
  <c r="AE45" i="4"/>
  <c r="AG45" i="4" s="1"/>
  <c r="O45" i="4" s="1"/>
  <c r="AD45" i="4"/>
  <c r="AF45" i="4" s="1"/>
  <c r="P45" i="4" s="1"/>
  <c r="AE290" i="4"/>
  <c r="AG290" i="4" s="1"/>
  <c r="O290" i="4" s="1"/>
  <c r="AD290" i="4"/>
  <c r="AF290" i="4" s="1"/>
  <c r="P290" i="4" s="1"/>
  <c r="AD445" i="4"/>
  <c r="AF445" i="4" s="1"/>
  <c r="P445" i="4" s="1"/>
  <c r="AE445" i="4"/>
  <c r="AG445" i="4" s="1"/>
  <c r="O445" i="4" s="1"/>
  <c r="AE124" i="4"/>
  <c r="AG124" i="4" s="1"/>
  <c r="O124" i="4" s="1"/>
  <c r="AD124" i="4"/>
  <c r="AF124" i="4" s="1"/>
  <c r="P124" i="4" s="1"/>
  <c r="AD345" i="4"/>
  <c r="AF345" i="4" s="1"/>
  <c r="P345" i="4" s="1"/>
  <c r="AE345" i="4"/>
  <c r="AG345" i="4" s="1"/>
  <c r="O345" i="4" s="1"/>
  <c r="AE427" i="4"/>
  <c r="AG427" i="4" s="1"/>
  <c r="O427" i="4" s="1"/>
  <c r="AD427" i="4"/>
  <c r="AF427" i="4" s="1"/>
  <c r="P427" i="4" s="1"/>
  <c r="AE460" i="4"/>
  <c r="AG460" i="4" s="1"/>
  <c r="O460" i="4" s="1"/>
  <c r="AD460" i="4"/>
  <c r="AF460" i="4" s="1"/>
  <c r="P460" i="4" s="1"/>
  <c r="AE61" i="4"/>
  <c r="AG61" i="4" s="1"/>
  <c r="O61" i="4" s="1"/>
  <c r="AD61" i="4"/>
  <c r="AF61" i="4" s="1"/>
  <c r="P61" i="4" s="1"/>
  <c r="AD377" i="4"/>
  <c r="AF377" i="4" s="1"/>
  <c r="P377" i="4" s="1"/>
  <c r="AE377" i="4"/>
  <c r="AG377" i="4" s="1"/>
  <c r="O377" i="4" s="1"/>
  <c r="AE482" i="4"/>
  <c r="AG482" i="4" s="1"/>
  <c r="O482" i="4" s="1"/>
  <c r="AD482" i="4"/>
  <c r="AF482" i="4" s="1"/>
  <c r="P482" i="4" s="1"/>
  <c r="AE174" i="4"/>
  <c r="AG174" i="4" s="1"/>
  <c r="O174" i="4" s="1"/>
  <c r="AD174" i="4"/>
  <c r="AF174" i="4" s="1"/>
  <c r="P174" i="4" s="1"/>
  <c r="AD266" i="4"/>
  <c r="AF266" i="4" s="1"/>
  <c r="P266" i="4" s="1"/>
  <c r="AE266" i="4"/>
  <c r="AG266" i="4" s="1"/>
  <c r="O266" i="4" s="1"/>
  <c r="AD429" i="4"/>
  <c r="AF429" i="4" s="1"/>
  <c r="P429" i="4" s="1"/>
  <c r="AE429" i="4"/>
  <c r="AG429" i="4" s="1"/>
  <c r="O429" i="4" s="1"/>
  <c r="AE331" i="4"/>
  <c r="AG331" i="4" s="1"/>
  <c r="O331" i="4" s="1"/>
  <c r="AD331" i="4"/>
  <c r="AF331" i="4" s="1"/>
  <c r="P331" i="4" s="1"/>
  <c r="AE325" i="4"/>
  <c r="AG325" i="4" s="1"/>
  <c r="O325" i="4" s="1"/>
  <c r="AD325" i="4"/>
  <c r="AF325" i="4" s="1"/>
  <c r="P325" i="4" s="1"/>
  <c r="AD305" i="4"/>
  <c r="AF305" i="4" s="1"/>
  <c r="P305" i="4" s="1"/>
  <c r="AE305" i="4"/>
  <c r="AG305" i="4" s="1"/>
  <c r="O305" i="4" s="1"/>
  <c r="AE436" i="4"/>
  <c r="AG436" i="4" s="1"/>
  <c r="O436" i="4" s="1"/>
  <c r="AD436" i="4"/>
  <c r="AF436" i="4" s="1"/>
  <c r="P436" i="4" s="1"/>
  <c r="AE141" i="4"/>
  <c r="AG141" i="4" s="1"/>
  <c r="O141" i="4" s="1"/>
  <c r="AD141" i="4"/>
  <c r="AF141" i="4" s="1"/>
  <c r="P141" i="4" s="1"/>
  <c r="AD374" i="4"/>
  <c r="AF374" i="4" s="1"/>
  <c r="P374" i="4" s="1"/>
  <c r="AE374" i="4"/>
  <c r="AG374" i="4" s="1"/>
  <c r="O374" i="4" s="1"/>
  <c r="AE452" i="4"/>
  <c r="AG452" i="4" s="1"/>
  <c r="O452" i="4" s="1"/>
  <c r="AD452" i="4"/>
  <c r="AF452" i="4" s="1"/>
  <c r="P452" i="4" s="1"/>
  <c r="AD167" i="4"/>
  <c r="AF167" i="4" s="1"/>
  <c r="P167" i="4" s="1"/>
  <c r="AE167" i="4"/>
  <c r="AG167" i="4" s="1"/>
  <c r="O167" i="4" s="1"/>
  <c r="AE318" i="4"/>
  <c r="AG318" i="4" s="1"/>
  <c r="O318" i="4" s="1"/>
  <c r="AD318" i="4"/>
  <c r="AF318" i="4" s="1"/>
  <c r="P318" i="4" s="1"/>
  <c r="AE146" i="4"/>
  <c r="AG146" i="4" s="1"/>
  <c r="O146" i="4" s="1"/>
  <c r="AD146" i="4"/>
  <c r="AF146" i="4" s="1"/>
  <c r="P146" i="4" s="1"/>
  <c r="AD24" i="4"/>
  <c r="AF24" i="4" s="1"/>
  <c r="P24" i="4" s="1"/>
  <c r="AE24" i="4"/>
  <c r="AG24" i="4" s="1"/>
  <c r="O24" i="4" s="1"/>
  <c r="AD110" i="4"/>
  <c r="AF110" i="4" s="1"/>
  <c r="P110" i="4" s="1"/>
  <c r="AE110" i="4"/>
  <c r="AG110" i="4" s="1"/>
  <c r="O110" i="4" s="1"/>
  <c r="AD131" i="4"/>
  <c r="AF131" i="4" s="1"/>
  <c r="P131" i="4" s="1"/>
  <c r="AE131" i="4"/>
  <c r="AG131" i="4" s="1"/>
  <c r="O131" i="4" s="1"/>
  <c r="AE249" i="4"/>
  <c r="AG249" i="4" s="1"/>
  <c r="O249" i="4" s="1"/>
  <c r="AD249" i="4"/>
  <c r="AF249" i="4" s="1"/>
  <c r="P249" i="4" s="1"/>
  <c r="AE90" i="4"/>
  <c r="AG90" i="4" s="1"/>
  <c r="O90" i="4" s="1"/>
  <c r="AD90" i="4"/>
  <c r="AF90" i="4" s="1"/>
  <c r="P90" i="4" s="1"/>
  <c r="AD178" i="4"/>
  <c r="AF178" i="4" s="1"/>
  <c r="P178" i="4" s="1"/>
  <c r="AE178" i="4"/>
  <c r="AG178" i="4" s="1"/>
  <c r="O178" i="4" s="1"/>
  <c r="AD295" i="4"/>
  <c r="AF295" i="4" s="1"/>
  <c r="P295" i="4" s="1"/>
  <c r="AE295" i="4"/>
  <c r="AG295" i="4" s="1"/>
  <c r="O295" i="4" s="1"/>
  <c r="AD465" i="4"/>
  <c r="AF465" i="4" s="1"/>
  <c r="P465" i="4" s="1"/>
  <c r="AE465" i="4"/>
  <c r="AG465" i="4" s="1"/>
  <c r="O465" i="4" s="1"/>
  <c r="AD176" i="4"/>
  <c r="AF176" i="4" s="1"/>
  <c r="P176" i="4" s="1"/>
  <c r="AE176" i="4"/>
  <c r="AG176" i="4" s="1"/>
  <c r="O176" i="4" s="1"/>
  <c r="AD489" i="4"/>
  <c r="AF489" i="4" s="1"/>
  <c r="P489" i="4" s="1"/>
  <c r="AE489" i="4"/>
  <c r="AG489" i="4" s="1"/>
  <c r="O489" i="4" s="1"/>
  <c r="AE311" i="4"/>
  <c r="AG311" i="4" s="1"/>
  <c r="O311" i="4" s="1"/>
  <c r="AD311" i="4"/>
  <c r="AF311" i="4" s="1"/>
  <c r="P311" i="4" s="1"/>
  <c r="AE298" i="4"/>
  <c r="AG298" i="4" s="1"/>
  <c r="O298" i="4" s="1"/>
  <c r="AD298" i="4"/>
  <c r="AF298" i="4" s="1"/>
  <c r="P298" i="4" s="1"/>
  <c r="AD316" i="4"/>
  <c r="AF316" i="4" s="1"/>
  <c r="P316" i="4" s="1"/>
  <c r="AE316" i="4"/>
  <c r="AG316" i="4" s="1"/>
  <c r="O316" i="4" s="1"/>
  <c r="AD463" i="4"/>
  <c r="AF463" i="4" s="1"/>
  <c r="P463" i="4" s="1"/>
  <c r="AE463" i="4"/>
  <c r="AG463" i="4" s="1"/>
  <c r="O463" i="4" s="1"/>
  <c r="AD450" i="4"/>
  <c r="AF450" i="4" s="1"/>
  <c r="P450" i="4" s="1"/>
  <c r="AE450" i="4"/>
  <c r="AG450" i="4" s="1"/>
  <c r="O450" i="4" s="1"/>
  <c r="AD208" i="4"/>
  <c r="AF208" i="4" s="1"/>
  <c r="P208" i="4" s="1"/>
  <c r="AE208" i="4"/>
  <c r="AG208" i="4" s="1"/>
  <c r="O208" i="4" s="1"/>
  <c r="AE327" i="4"/>
  <c r="AG327" i="4" s="1"/>
  <c r="O327" i="4" s="1"/>
  <c r="AD327" i="4"/>
  <c r="AF327" i="4" s="1"/>
  <c r="P327" i="4" s="1"/>
  <c r="AE85" i="4"/>
  <c r="AG85" i="4" s="1"/>
  <c r="O85" i="4" s="1"/>
  <c r="AD85" i="4"/>
  <c r="AF85" i="4" s="1"/>
  <c r="P85" i="4" s="1"/>
  <c r="AE401" i="4"/>
  <c r="AG401" i="4" s="1"/>
  <c r="O401" i="4" s="1"/>
  <c r="AD401" i="4"/>
  <c r="AF401" i="4" s="1"/>
  <c r="P401" i="4" s="1"/>
  <c r="AE168" i="4"/>
  <c r="AG168" i="4" s="1"/>
  <c r="O168" i="4" s="1"/>
  <c r="AD168" i="4"/>
  <c r="AF168" i="4" s="1"/>
  <c r="P168" i="4" s="1"/>
  <c r="AD36" i="4"/>
  <c r="AF36" i="4" s="1"/>
  <c r="P36" i="4" s="1"/>
  <c r="AE36" i="4"/>
  <c r="AG36" i="4" s="1"/>
  <c r="O36" i="4" s="1"/>
  <c r="AD498" i="4"/>
  <c r="AF498" i="4" s="1"/>
  <c r="P498" i="4" s="1"/>
  <c r="AE498" i="4"/>
  <c r="AG498" i="4" s="1"/>
  <c r="O498" i="4" s="1"/>
  <c r="AE403" i="4"/>
  <c r="AG403" i="4" s="1"/>
  <c r="O403" i="4" s="1"/>
  <c r="AD403" i="4"/>
  <c r="AF403" i="4" s="1"/>
  <c r="P403" i="4" s="1"/>
  <c r="AD286" i="4"/>
  <c r="AF286" i="4" s="1"/>
  <c r="P286" i="4" s="1"/>
  <c r="AE286" i="4"/>
  <c r="AG286" i="4" s="1"/>
  <c r="O286" i="4" s="1"/>
  <c r="AE301" i="4"/>
  <c r="AG301" i="4" s="1"/>
  <c r="O301" i="4" s="1"/>
  <c r="AD301" i="4"/>
  <c r="AF301" i="4" s="1"/>
  <c r="P301" i="4" s="1"/>
  <c r="AD317" i="4"/>
  <c r="AF317" i="4" s="1"/>
  <c r="P317" i="4" s="1"/>
  <c r="AE317" i="4"/>
  <c r="AG317" i="4" s="1"/>
  <c r="O317" i="4" s="1"/>
  <c r="AE49" i="4"/>
  <c r="AG49" i="4" s="1"/>
  <c r="O49" i="4" s="1"/>
  <c r="AD49" i="4"/>
  <c r="AF49" i="4" s="1"/>
  <c r="P49" i="4" s="1"/>
  <c r="AE223" i="4"/>
  <c r="AG223" i="4" s="1"/>
  <c r="O223" i="4" s="1"/>
  <c r="AD223" i="4"/>
  <c r="AF223" i="4" s="1"/>
  <c r="P223" i="4" s="1"/>
  <c r="AD303" i="4"/>
  <c r="AF303" i="4" s="1"/>
  <c r="P303" i="4" s="1"/>
  <c r="AE303" i="4"/>
  <c r="AG303" i="4" s="1"/>
  <c r="O303" i="4" s="1"/>
  <c r="AD265" i="4"/>
  <c r="AF265" i="4" s="1"/>
  <c r="P265" i="4" s="1"/>
  <c r="AE265" i="4"/>
  <c r="AG265" i="4" s="1"/>
  <c r="O265" i="4" s="1"/>
  <c r="AD494" i="4"/>
  <c r="AF494" i="4" s="1"/>
  <c r="P494" i="4" s="1"/>
  <c r="AE494" i="4"/>
  <c r="AG494" i="4" s="1"/>
  <c r="O494" i="4" s="1"/>
  <c r="AD292" i="4"/>
  <c r="AF292" i="4" s="1"/>
  <c r="P292" i="4" s="1"/>
  <c r="AE292" i="4"/>
  <c r="AG292" i="4" s="1"/>
  <c r="O292" i="4" s="1"/>
  <c r="AD321" i="4"/>
  <c r="AF321" i="4" s="1"/>
  <c r="P321" i="4" s="1"/>
  <c r="AE321" i="4"/>
  <c r="AG321" i="4" s="1"/>
  <c r="O321" i="4" s="1"/>
  <c r="AE408" i="4"/>
  <c r="AG408" i="4" s="1"/>
  <c r="O408" i="4" s="1"/>
  <c r="AD408" i="4"/>
  <c r="AF408" i="4" s="1"/>
  <c r="P408" i="4" s="1"/>
  <c r="AD335" i="4"/>
  <c r="AF335" i="4" s="1"/>
  <c r="P335" i="4" s="1"/>
  <c r="AE335" i="4"/>
  <c r="AG335" i="4" s="1"/>
  <c r="O335" i="4" s="1"/>
  <c r="AD94" i="4"/>
  <c r="AF94" i="4" s="1"/>
  <c r="P94" i="4" s="1"/>
  <c r="AE94" i="4"/>
  <c r="AG94" i="4" s="1"/>
  <c r="O94" i="4" s="1"/>
  <c r="AE326" i="4"/>
  <c r="AG326" i="4" s="1"/>
  <c r="O326" i="4" s="1"/>
  <c r="AD326" i="4"/>
  <c r="AF326" i="4" s="1"/>
  <c r="P326" i="4" s="1"/>
  <c r="AD481" i="4"/>
  <c r="AF481" i="4" s="1"/>
  <c r="P481" i="4" s="1"/>
  <c r="AE481" i="4"/>
  <c r="AG481" i="4" s="1"/>
  <c r="O481" i="4" s="1"/>
  <c r="AE307" i="4"/>
  <c r="AG307" i="4" s="1"/>
  <c r="O307" i="4" s="1"/>
  <c r="AD307" i="4"/>
  <c r="AF307" i="4" s="1"/>
  <c r="P307" i="4" s="1"/>
  <c r="AE304" i="4"/>
  <c r="AG304" i="4" s="1"/>
  <c r="O304" i="4" s="1"/>
  <c r="AD304" i="4"/>
  <c r="AF304" i="4" s="1"/>
  <c r="P304" i="4" s="1"/>
  <c r="AD212" i="4"/>
  <c r="AF212" i="4" s="1"/>
  <c r="P212" i="4" s="1"/>
  <c r="AE212" i="4"/>
  <c r="AG212" i="4" s="1"/>
  <c r="O212" i="4" s="1"/>
  <c r="AD65" i="4"/>
  <c r="AF65" i="4" s="1"/>
  <c r="P65" i="4" s="1"/>
  <c r="AE65" i="4"/>
  <c r="AG65" i="4" s="1"/>
  <c r="O65" i="4" s="1"/>
  <c r="AD393" i="4"/>
  <c r="AF393" i="4" s="1"/>
  <c r="P393" i="4" s="1"/>
  <c r="AE393" i="4"/>
  <c r="AG393" i="4" s="1"/>
  <c r="O393" i="4" s="1"/>
  <c r="AD483" i="4"/>
  <c r="AF483" i="4" s="1"/>
  <c r="P483" i="4" s="1"/>
  <c r="AE483" i="4"/>
  <c r="AG483" i="4" s="1"/>
  <c r="O483" i="4" s="1"/>
  <c r="AE22" i="4"/>
  <c r="AG22" i="4" s="1"/>
  <c r="O22" i="4" s="1"/>
  <c r="AD22" i="4"/>
  <c r="AF22" i="4" s="1"/>
  <c r="P22" i="4" s="1"/>
  <c r="AD205" i="4"/>
  <c r="AF205" i="4" s="1"/>
  <c r="P205" i="4" s="1"/>
  <c r="AE205" i="4"/>
  <c r="AG205" i="4" s="1"/>
  <c r="O205" i="4" s="1"/>
  <c r="AD155" i="4"/>
  <c r="AF155" i="4" s="1"/>
  <c r="P155" i="4" s="1"/>
  <c r="AE155" i="4"/>
  <c r="AG155" i="4" s="1"/>
  <c r="O155" i="4" s="1"/>
  <c r="AE281" i="4"/>
  <c r="AG281" i="4" s="1"/>
  <c r="O281" i="4" s="1"/>
  <c r="AD281" i="4"/>
  <c r="AF281" i="4" s="1"/>
  <c r="P281" i="4" s="1"/>
  <c r="AD27" i="4"/>
  <c r="AF27" i="4" s="1"/>
  <c r="P27" i="4" s="1"/>
  <c r="AE27" i="4"/>
  <c r="AG27" i="4" s="1"/>
  <c r="O27" i="4" s="1"/>
  <c r="AE151" i="4"/>
  <c r="AG151" i="4" s="1"/>
  <c r="O151" i="4" s="1"/>
  <c r="AD151" i="4"/>
  <c r="AF151" i="4" s="1"/>
  <c r="P151" i="4" s="1"/>
  <c r="AD130" i="4"/>
  <c r="AF130" i="4" s="1"/>
  <c r="P130" i="4" s="1"/>
  <c r="AE130" i="4"/>
  <c r="AG130" i="4" s="1"/>
  <c r="O130" i="4" s="1"/>
  <c r="AE417" i="4"/>
  <c r="AG417" i="4" s="1"/>
  <c r="O417" i="4" s="1"/>
  <c r="AD417" i="4"/>
  <c r="AF417" i="4" s="1"/>
  <c r="P417" i="4" s="1"/>
  <c r="AE116" i="4"/>
  <c r="AG116" i="4" s="1"/>
  <c r="O116" i="4" s="1"/>
  <c r="AD116" i="4"/>
  <c r="AF116" i="4" s="1"/>
  <c r="P116" i="4" s="1"/>
  <c r="AD416" i="4"/>
  <c r="AF416" i="4" s="1"/>
  <c r="P416" i="4" s="1"/>
  <c r="AE416" i="4"/>
  <c r="AG416" i="4" s="1"/>
  <c r="O416" i="4" s="1"/>
  <c r="AE245" i="4"/>
  <c r="AG245" i="4" s="1"/>
  <c r="O245" i="4" s="1"/>
  <c r="AD245" i="4"/>
  <c r="AF245" i="4" s="1"/>
  <c r="P245" i="4" s="1"/>
  <c r="AE118" i="4"/>
  <c r="AG118" i="4" s="1"/>
  <c r="O118" i="4" s="1"/>
  <c r="AD118" i="4"/>
  <c r="AF118" i="4" s="1"/>
  <c r="P118" i="4" s="1"/>
  <c r="AD455" i="4"/>
  <c r="AF455" i="4" s="1"/>
  <c r="P455" i="4" s="1"/>
  <c r="AE455" i="4"/>
  <c r="AG455" i="4" s="1"/>
  <c r="O455" i="4" s="1"/>
  <c r="AD187" i="4"/>
  <c r="AF187" i="4" s="1"/>
  <c r="P187" i="4" s="1"/>
  <c r="AE187" i="4"/>
  <c r="AG187" i="4" s="1"/>
  <c r="O187" i="4" s="1"/>
  <c r="AE269" i="4"/>
  <c r="AG269" i="4" s="1"/>
  <c r="O269" i="4" s="1"/>
  <c r="AD269" i="4"/>
  <c r="AF269" i="4" s="1"/>
  <c r="P269" i="4" s="1"/>
  <c r="AD399" i="4"/>
  <c r="AF399" i="4" s="1"/>
  <c r="P399" i="4" s="1"/>
  <c r="AE399" i="4"/>
  <c r="AG399" i="4" s="1"/>
  <c r="O399" i="4" s="1"/>
  <c r="AE182" i="4"/>
  <c r="AG182" i="4" s="1"/>
  <c r="O182" i="4" s="1"/>
  <c r="AD182" i="4"/>
  <c r="AF182" i="4" s="1"/>
  <c r="P182" i="4" s="1"/>
  <c r="AE270" i="4"/>
  <c r="AG270" i="4" s="1"/>
  <c r="O270" i="4" s="1"/>
  <c r="AD270" i="4"/>
  <c r="AF270" i="4" s="1"/>
  <c r="P270" i="4" s="1"/>
  <c r="AD282" i="4"/>
  <c r="AF282" i="4" s="1"/>
  <c r="P282" i="4" s="1"/>
  <c r="AE282" i="4"/>
  <c r="AG282" i="4" s="1"/>
  <c r="O282" i="4" s="1"/>
  <c r="AE344" i="4"/>
  <c r="AG344" i="4" s="1"/>
  <c r="O344" i="4" s="1"/>
  <c r="AD344" i="4"/>
  <c r="AF344" i="4" s="1"/>
  <c r="P344" i="4" s="1"/>
  <c r="AD490" i="4"/>
  <c r="AF490" i="4" s="1"/>
  <c r="P490" i="4" s="1"/>
  <c r="AE490" i="4"/>
  <c r="AG490" i="4" s="1"/>
  <c r="O490" i="4" s="1"/>
  <c r="AE33" i="4"/>
  <c r="AG33" i="4" s="1"/>
  <c r="O33" i="4" s="1"/>
  <c r="AD33" i="4"/>
  <c r="AF33" i="4" s="1"/>
  <c r="P33" i="4" s="1"/>
  <c r="AD458" i="4"/>
  <c r="AF458" i="4" s="1"/>
  <c r="P458" i="4" s="1"/>
  <c r="AE458" i="4"/>
  <c r="AG458" i="4" s="1"/>
  <c r="O458" i="4" s="1"/>
  <c r="AE134" i="4"/>
  <c r="AG134" i="4" s="1"/>
  <c r="O134" i="4" s="1"/>
  <c r="AD134" i="4"/>
  <c r="AF134" i="4" s="1"/>
  <c r="P134" i="4" s="1"/>
  <c r="AE275" i="4"/>
  <c r="AG275" i="4" s="1"/>
  <c r="O275" i="4" s="1"/>
  <c r="AD275" i="4"/>
  <c r="AF275" i="4" s="1"/>
  <c r="P275" i="4" s="1"/>
  <c r="AD453" i="4"/>
  <c r="AF453" i="4" s="1"/>
  <c r="P453" i="4" s="1"/>
  <c r="AE453" i="4"/>
  <c r="AG453" i="4" s="1"/>
  <c r="O453" i="4" s="1"/>
  <c r="AE366" i="4"/>
  <c r="AG366" i="4" s="1"/>
  <c r="O366" i="4" s="1"/>
  <c r="AD366" i="4"/>
  <c r="AF366" i="4" s="1"/>
  <c r="P366" i="4" s="1"/>
  <c r="AD397" i="4"/>
  <c r="AF397" i="4" s="1"/>
  <c r="P397" i="4" s="1"/>
  <c r="AE397" i="4"/>
  <c r="AG397" i="4" s="1"/>
  <c r="O397" i="4" s="1"/>
  <c r="AE138" i="4"/>
  <c r="AG138" i="4" s="1"/>
  <c r="O138" i="4" s="1"/>
  <c r="AD138" i="4"/>
  <c r="AF138" i="4" s="1"/>
  <c r="P138" i="4" s="1"/>
  <c r="AE13" i="4"/>
  <c r="AG13" i="4" s="1"/>
  <c r="O13" i="4" s="1"/>
  <c r="AD13" i="4"/>
  <c r="AF13" i="4" s="1"/>
  <c r="P13" i="4" s="1"/>
  <c r="AE262" i="4"/>
  <c r="AG262" i="4" s="1"/>
  <c r="O262" i="4" s="1"/>
  <c r="AD262" i="4"/>
  <c r="AF262" i="4" s="1"/>
  <c r="P262" i="4" s="1"/>
  <c r="AE101" i="4"/>
  <c r="AG101" i="4" s="1"/>
  <c r="O101" i="4" s="1"/>
  <c r="AD101" i="4"/>
  <c r="AF101" i="4" s="1"/>
  <c r="P101" i="4" s="1"/>
  <c r="AE39" i="4"/>
  <c r="AG39" i="4" s="1"/>
  <c r="O39" i="4" s="1"/>
  <c r="AD39" i="4"/>
  <c r="AF39" i="4" s="1"/>
  <c r="P39" i="4" s="1"/>
  <c r="AD383" i="4"/>
  <c r="AF383" i="4" s="1"/>
  <c r="P383" i="4" s="1"/>
  <c r="AE383" i="4"/>
  <c r="AG383" i="4" s="1"/>
  <c r="O383" i="4" s="1"/>
  <c r="AD109" i="4"/>
  <c r="AF109" i="4" s="1"/>
  <c r="P109" i="4" s="1"/>
  <c r="AE109" i="4"/>
  <c r="AG109" i="4" s="1"/>
  <c r="O109" i="4" s="1"/>
  <c r="AD209" i="4"/>
  <c r="AF209" i="4" s="1"/>
  <c r="P209" i="4" s="1"/>
  <c r="AE209" i="4"/>
  <c r="AG209" i="4" s="1"/>
  <c r="O209" i="4" s="1"/>
  <c r="AE139" i="4"/>
  <c r="AG139" i="4" s="1"/>
  <c r="O139" i="4" s="1"/>
  <c r="AD139" i="4"/>
  <c r="AF139" i="4" s="1"/>
  <c r="P139" i="4" s="1"/>
  <c r="AE343" i="4"/>
  <c r="AG343" i="4" s="1"/>
  <c r="O343" i="4" s="1"/>
  <c r="AD343" i="4"/>
  <c r="AF343" i="4" s="1"/>
  <c r="P343" i="4" s="1"/>
  <c r="AD204" i="4"/>
  <c r="AF204" i="4" s="1"/>
  <c r="P204" i="4" s="1"/>
  <c r="AE204" i="4"/>
  <c r="AG204" i="4" s="1"/>
  <c r="O204" i="4" s="1"/>
  <c r="AE334" i="4"/>
  <c r="AG334" i="4" s="1"/>
  <c r="O334" i="4" s="1"/>
  <c r="AD334" i="4"/>
  <c r="AF334" i="4" s="1"/>
  <c r="P334" i="4" s="1"/>
  <c r="AD478" i="4"/>
  <c r="AF478" i="4" s="1"/>
  <c r="P478" i="4" s="1"/>
  <c r="AE478" i="4"/>
  <c r="AG478" i="4" s="1"/>
  <c r="O478" i="4" s="1"/>
  <c r="AD70" i="4"/>
  <c r="AF70" i="4" s="1"/>
  <c r="P70" i="4" s="1"/>
  <c r="AE70" i="4"/>
  <c r="AG70" i="4" s="1"/>
  <c r="O70" i="4" s="1"/>
  <c r="AD456" i="4"/>
  <c r="AF456" i="4" s="1"/>
  <c r="P456" i="4" s="1"/>
  <c r="AE456" i="4"/>
  <c r="AG456" i="4" s="1"/>
  <c r="O456" i="4" s="1"/>
  <c r="AD364" i="4"/>
  <c r="AF364" i="4" s="1"/>
  <c r="P364" i="4" s="1"/>
  <c r="AE364" i="4"/>
  <c r="AG364" i="4" s="1"/>
  <c r="O364" i="4" s="1"/>
  <c r="AD162" i="4"/>
  <c r="AF162" i="4" s="1"/>
  <c r="P162" i="4" s="1"/>
  <c r="AE162" i="4"/>
  <c r="AG162" i="4" s="1"/>
  <c r="O162" i="4" s="1"/>
  <c r="AD246" i="4"/>
  <c r="AF246" i="4" s="1"/>
  <c r="P246" i="4" s="1"/>
  <c r="AE246" i="4"/>
  <c r="AG246" i="4" s="1"/>
  <c r="O246" i="4" s="1"/>
  <c r="AE288" i="4"/>
  <c r="AG288" i="4" s="1"/>
  <c r="O288" i="4" s="1"/>
  <c r="AD288" i="4"/>
  <c r="AF288" i="4" s="1"/>
  <c r="P288" i="4" s="1"/>
  <c r="AE247" i="4"/>
  <c r="AG247" i="4" s="1"/>
  <c r="O247" i="4" s="1"/>
  <c r="AD247" i="4"/>
  <c r="AF247" i="4" s="1"/>
  <c r="P247" i="4" s="1"/>
  <c r="AD126" i="4"/>
  <c r="AF126" i="4" s="1"/>
  <c r="P126" i="4" s="1"/>
  <c r="AE126" i="4"/>
  <c r="AG126" i="4" s="1"/>
  <c r="O126" i="4" s="1"/>
  <c r="AD157" i="4"/>
  <c r="AF157" i="4" s="1"/>
  <c r="P157" i="4" s="1"/>
  <c r="AE157" i="4"/>
  <c r="AG157" i="4" s="1"/>
  <c r="O157" i="4" s="1"/>
  <c r="AE127" i="4"/>
  <c r="AG127" i="4" s="1"/>
  <c r="O127" i="4" s="1"/>
  <c r="AD127" i="4"/>
  <c r="AF127" i="4" s="1"/>
  <c r="P127" i="4" s="1"/>
  <c r="AE237" i="4"/>
  <c r="AG237" i="4" s="1"/>
  <c r="O237" i="4" s="1"/>
  <c r="AD237" i="4"/>
  <c r="AF237" i="4" s="1"/>
  <c r="P237" i="4" s="1"/>
  <c r="AE370" i="4"/>
  <c r="AG370" i="4" s="1"/>
  <c r="O370" i="4" s="1"/>
  <c r="AD370" i="4"/>
  <c r="AF370" i="4" s="1"/>
  <c r="P370" i="4" s="1"/>
  <c r="AD413" i="4"/>
  <c r="AF413" i="4" s="1"/>
  <c r="P413" i="4" s="1"/>
  <c r="AE413" i="4"/>
  <c r="AG413" i="4" s="1"/>
  <c r="O413" i="4" s="1"/>
  <c r="AE495" i="4"/>
  <c r="AG495" i="4" s="1"/>
  <c r="O495" i="4" s="1"/>
  <c r="AD495" i="4"/>
  <c r="AF495" i="4" s="1"/>
  <c r="P495" i="4" s="1"/>
  <c r="AE250" i="4"/>
  <c r="AG250" i="4" s="1"/>
  <c r="O250" i="4" s="1"/>
  <c r="AD250" i="4"/>
  <c r="AF250" i="4" s="1"/>
  <c r="P250" i="4" s="1"/>
  <c r="AD448" i="4"/>
  <c r="AF448" i="4" s="1"/>
  <c r="P448" i="4" s="1"/>
  <c r="AE448" i="4"/>
  <c r="AG448" i="4" s="1"/>
  <c r="O448" i="4" s="1"/>
  <c r="AE230" i="4"/>
  <c r="AG230" i="4" s="1"/>
  <c r="O230" i="4" s="1"/>
  <c r="AD230" i="4"/>
  <c r="AF230" i="4" s="1"/>
  <c r="P230" i="4" s="1"/>
  <c r="AD285" i="4"/>
  <c r="AF285" i="4" s="1"/>
  <c r="P285" i="4" s="1"/>
  <c r="AE285" i="4"/>
  <c r="AG285" i="4" s="1"/>
  <c r="O285" i="4" s="1"/>
  <c r="AD330" i="4"/>
  <c r="AF330" i="4" s="1"/>
  <c r="P330" i="4" s="1"/>
  <c r="AE330" i="4"/>
  <c r="AG330" i="4" s="1"/>
  <c r="O330" i="4" s="1"/>
  <c r="AE385" i="4"/>
  <c r="AG385" i="4" s="1"/>
  <c r="O385" i="4" s="1"/>
  <c r="AD385" i="4"/>
  <c r="AF385" i="4" s="1"/>
  <c r="P385" i="4" s="1"/>
  <c r="AE379" i="4"/>
  <c r="AG379" i="4" s="1"/>
  <c r="O379" i="4" s="1"/>
  <c r="AD379" i="4"/>
  <c r="AF379" i="4" s="1"/>
  <c r="P379" i="4" s="1"/>
  <c r="AD504" i="4"/>
  <c r="AF504" i="4" s="1"/>
  <c r="P504" i="4" s="1"/>
  <c r="AE504" i="4"/>
  <c r="AG504" i="4" s="1"/>
  <c r="O504" i="4" s="1"/>
  <c r="AE16" i="4"/>
  <c r="AG16" i="4" s="1"/>
  <c r="O16" i="4" s="1"/>
  <c r="AD16" i="4"/>
  <c r="AF16" i="4" s="1"/>
  <c r="P16" i="4" s="1"/>
  <c r="AE439" i="4"/>
  <c r="AG439" i="4" s="1"/>
  <c r="O439" i="4" s="1"/>
  <c r="AD439" i="4"/>
  <c r="AF439" i="4" s="1"/>
  <c r="P439" i="4" s="1"/>
  <c r="AE102" i="4"/>
  <c r="AG102" i="4" s="1"/>
  <c r="O102" i="4" s="1"/>
  <c r="AD102" i="4"/>
  <c r="AF102" i="4" s="1"/>
  <c r="P102" i="4" s="1"/>
  <c r="AD313" i="4"/>
  <c r="AF313" i="4" s="1"/>
  <c r="P313" i="4" s="1"/>
  <c r="AE313" i="4"/>
  <c r="AG313" i="4" s="1"/>
  <c r="O313" i="4" s="1"/>
  <c r="AD119" i="4"/>
  <c r="AF119" i="4" s="1"/>
  <c r="P119" i="4" s="1"/>
  <c r="AE119" i="4"/>
  <c r="AG119" i="4" s="1"/>
  <c r="O119" i="4" s="1"/>
  <c r="AE488" i="4"/>
  <c r="AG488" i="4" s="1"/>
  <c r="O488" i="4" s="1"/>
  <c r="AD488" i="4"/>
  <c r="AF488" i="4" s="1"/>
  <c r="P488" i="4" s="1"/>
  <c r="AD173" i="4"/>
  <c r="AF173" i="4" s="1"/>
  <c r="P173" i="4" s="1"/>
  <c r="AE173" i="4"/>
  <c r="AG173" i="4" s="1"/>
  <c r="O173" i="4" s="1"/>
  <c r="AE221" i="4"/>
  <c r="AG221" i="4" s="1"/>
  <c r="O221" i="4" s="1"/>
  <c r="AD221" i="4"/>
  <c r="AF221" i="4" s="1"/>
  <c r="P221" i="4" s="1"/>
  <c r="AE4" i="4"/>
  <c r="AG4" i="4" s="1"/>
  <c r="O4" i="4" s="1"/>
  <c r="AD4" i="4"/>
  <c r="AF4" i="4" s="1"/>
  <c r="P4" i="4" s="1"/>
  <c r="AD353" i="4"/>
  <c r="AF353" i="4" s="1"/>
  <c r="P353" i="4" s="1"/>
  <c r="AE353" i="4"/>
  <c r="AG353" i="4" s="1"/>
  <c r="O353" i="4" s="1"/>
  <c r="AE337" i="4"/>
  <c r="AG337" i="4" s="1"/>
  <c r="O337" i="4" s="1"/>
  <c r="AD337" i="4"/>
  <c r="AF337" i="4" s="1"/>
  <c r="P337" i="4" s="1"/>
  <c r="AE475" i="4"/>
  <c r="AG475" i="4" s="1"/>
  <c r="O475" i="4" s="1"/>
  <c r="AD475" i="4"/>
  <c r="AF475" i="4" s="1"/>
  <c r="P475" i="4" s="1"/>
  <c r="AE367" i="4"/>
  <c r="AG367" i="4" s="1"/>
  <c r="O367" i="4" s="1"/>
  <c r="AD367" i="4"/>
  <c r="AF367" i="4" s="1"/>
  <c r="P367" i="4" s="1"/>
  <c r="AD443" i="4"/>
  <c r="AF443" i="4" s="1"/>
  <c r="P443" i="4" s="1"/>
  <c r="AE443" i="4"/>
  <c r="AG443" i="4" s="1"/>
  <c r="O443" i="4" s="1"/>
  <c r="AE120" i="4"/>
  <c r="AG120" i="4" s="1"/>
  <c r="O120" i="4" s="1"/>
  <c r="AD120" i="4"/>
  <c r="AF120" i="4" s="1"/>
  <c r="P120" i="4" s="1"/>
  <c r="AE83" i="4"/>
  <c r="AG83" i="4" s="1"/>
  <c r="O83" i="4" s="1"/>
  <c r="AD83" i="4"/>
  <c r="AF83" i="4" s="1"/>
  <c r="P83" i="4" s="1"/>
  <c r="AD64" i="4"/>
  <c r="AF64" i="4" s="1"/>
  <c r="P64" i="4" s="1"/>
  <c r="AE64" i="4"/>
  <c r="AG64" i="4" s="1"/>
  <c r="O64" i="4" s="1"/>
  <c r="AD172" i="4"/>
  <c r="AF172" i="4" s="1"/>
  <c r="P172" i="4" s="1"/>
  <c r="AE172" i="4"/>
  <c r="AG172" i="4" s="1"/>
  <c r="O172" i="4" s="1"/>
  <c r="AE487" i="4"/>
  <c r="AG487" i="4" s="1"/>
  <c r="O487" i="4" s="1"/>
  <c r="AD487" i="4"/>
  <c r="AF487" i="4" s="1"/>
  <c r="P487" i="4" s="1"/>
  <c r="AD38" i="4"/>
  <c r="AF38" i="4" s="1"/>
  <c r="P38" i="4" s="1"/>
  <c r="AE38" i="4"/>
  <c r="AG38" i="4" s="1"/>
  <c r="O38" i="4" s="1"/>
  <c r="AE472" i="4"/>
  <c r="AG472" i="4" s="1"/>
  <c r="O472" i="4" s="1"/>
  <c r="AD472" i="4"/>
  <c r="AF472" i="4" s="1"/>
  <c r="P472" i="4" s="1"/>
  <c r="AD480" i="4"/>
  <c r="AF480" i="4" s="1"/>
  <c r="P480" i="4" s="1"/>
  <c r="AE480" i="4"/>
  <c r="AG480" i="4" s="1"/>
  <c r="O480" i="4" s="1"/>
  <c r="AE357" i="4"/>
  <c r="AG357" i="4" s="1"/>
  <c r="O357" i="4" s="1"/>
  <c r="AD357" i="4"/>
  <c r="AF357" i="4" s="1"/>
  <c r="P357" i="4" s="1"/>
  <c r="AD59" i="4"/>
  <c r="AF59" i="4" s="1"/>
  <c r="P59" i="4" s="1"/>
  <c r="AE59" i="4"/>
  <c r="AG59" i="4" s="1"/>
  <c r="O59" i="4" s="1"/>
  <c r="AE468" i="4"/>
  <c r="AG468" i="4" s="1"/>
  <c r="O468" i="4" s="1"/>
  <c r="AD468" i="4"/>
  <c r="AF468" i="4" s="1"/>
  <c r="P468" i="4" s="1"/>
  <c r="AE293" i="4"/>
  <c r="AG293" i="4" s="1"/>
  <c r="O293" i="4" s="1"/>
  <c r="AD293" i="4"/>
  <c r="AF293" i="4" s="1"/>
  <c r="P293" i="4" s="1"/>
  <c r="AD11" i="4"/>
  <c r="AF11" i="4" s="1"/>
  <c r="P11" i="4" s="1"/>
  <c r="AE11" i="4"/>
  <c r="AG11" i="4" s="1"/>
  <c r="O11" i="4" s="1"/>
  <c r="AE294" i="4"/>
  <c r="AG294" i="4" s="1"/>
  <c r="O294" i="4" s="1"/>
  <c r="AD294" i="4"/>
  <c r="AF294" i="4" s="1"/>
  <c r="P294" i="4" s="1"/>
  <c r="AD31" i="4"/>
  <c r="AF31" i="4" s="1"/>
  <c r="P31" i="4" s="1"/>
  <c r="AE31" i="4"/>
  <c r="AG31" i="4" s="1"/>
  <c r="O31" i="4" s="1"/>
  <c r="AD232" i="4"/>
  <c r="AF232" i="4" s="1"/>
  <c r="P232" i="4" s="1"/>
  <c r="AE232" i="4"/>
  <c r="AG232" i="4" s="1"/>
  <c r="O232" i="4" s="1"/>
  <c r="AD133" i="4"/>
  <c r="AF133" i="4" s="1"/>
  <c r="P133" i="4" s="1"/>
  <c r="AE133" i="4"/>
  <c r="AG133" i="4" s="1"/>
  <c r="O133" i="4" s="1"/>
  <c r="AD69" i="4"/>
  <c r="AF69" i="4" s="1"/>
  <c r="P69" i="4" s="1"/>
  <c r="AE69" i="4"/>
  <c r="AG69" i="4" s="1"/>
  <c r="O69" i="4" s="1"/>
  <c r="AD338" i="4"/>
  <c r="AF338" i="4" s="1"/>
  <c r="P338" i="4" s="1"/>
  <c r="AE338" i="4"/>
  <c r="AG338" i="4" s="1"/>
  <c r="O338" i="4" s="1"/>
  <c r="AD121" i="4"/>
  <c r="AF121" i="4" s="1"/>
  <c r="P121" i="4" s="1"/>
  <c r="AE121" i="4"/>
  <c r="AG121" i="4" s="1"/>
  <c r="O121" i="4" s="1"/>
  <c r="AD308" i="4"/>
  <c r="AF308" i="4" s="1"/>
  <c r="P308" i="4" s="1"/>
  <c r="AE308" i="4"/>
  <c r="AG308" i="4" s="1"/>
  <c r="O308" i="4" s="1"/>
  <c r="AD462" i="4"/>
  <c r="AF462" i="4" s="1"/>
  <c r="P462" i="4" s="1"/>
  <c r="AE462" i="4"/>
  <c r="AG462" i="4" s="1"/>
  <c r="O462" i="4" s="1"/>
  <c r="AE446" i="4"/>
  <c r="AG446" i="4" s="1"/>
  <c r="O446" i="4" s="1"/>
  <c r="AD446" i="4"/>
  <c r="AF446" i="4" s="1"/>
  <c r="P446" i="4" s="1"/>
  <c r="AE188" i="4"/>
  <c r="AG188" i="4" s="1"/>
  <c r="O188" i="4" s="1"/>
  <c r="AD188" i="4"/>
  <c r="AF188" i="4" s="1"/>
  <c r="P188" i="4" s="1"/>
  <c r="AE320" i="4"/>
  <c r="AG320" i="4" s="1"/>
  <c r="O320" i="4" s="1"/>
  <c r="AD320" i="4"/>
  <c r="AF320" i="4" s="1"/>
  <c r="P320" i="4" s="1"/>
  <c r="AE461" i="4"/>
  <c r="AG461" i="4" s="1"/>
  <c r="O461" i="4" s="1"/>
  <c r="AD461" i="4"/>
  <c r="AF461" i="4" s="1"/>
  <c r="P461" i="4" s="1"/>
  <c r="AD198" i="4"/>
  <c r="AF198" i="4" s="1"/>
  <c r="P198" i="4" s="1"/>
  <c r="AE198" i="4"/>
  <c r="AG198" i="4" s="1"/>
  <c r="O198" i="4" s="1"/>
  <c r="AD414" i="4"/>
  <c r="AF414" i="4" s="1"/>
  <c r="P414" i="4" s="1"/>
  <c r="AE414" i="4"/>
  <c r="AG414" i="4" s="1"/>
  <c r="O414" i="4" s="1"/>
  <c r="AE261" i="4"/>
  <c r="AG261" i="4" s="1"/>
  <c r="O261" i="4" s="1"/>
  <c r="AD261" i="4"/>
  <c r="AF261" i="4" s="1"/>
  <c r="P261" i="4" s="1"/>
  <c r="AD201" i="4"/>
  <c r="AF201" i="4" s="1"/>
  <c r="P201" i="4" s="1"/>
  <c r="AE201" i="4"/>
  <c r="AG201" i="4" s="1"/>
  <c r="O201" i="4" s="1"/>
  <c r="AD404" i="4"/>
  <c r="AF404" i="4" s="1"/>
  <c r="P404" i="4" s="1"/>
  <c r="AE404" i="4"/>
  <c r="AG404" i="4" s="1"/>
  <c r="O404" i="4" s="1"/>
  <c r="AD240" i="4"/>
  <c r="AF240" i="4" s="1"/>
  <c r="P240" i="4" s="1"/>
  <c r="AE240" i="4"/>
  <c r="AG240" i="4" s="1"/>
  <c r="O240" i="4" s="1"/>
  <c r="AE163" i="4"/>
  <c r="AG163" i="4" s="1"/>
  <c r="O163" i="4" s="1"/>
  <c r="AD163" i="4"/>
  <c r="AF163" i="4" s="1"/>
  <c r="P163" i="4" s="1"/>
  <c r="AD106" i="4"/>
  <c r="AF106" i="4" s="1"/>
  <c r="P106" i="4" s="1"/>
  <c r="AE106" i="4"/>
  <c r="AG106" i="4" s="1"/>
  <c r="O106" i="4" s="1"/>
  <c r="AD98" i="4"/>
  <c r="AF98" i="4" s="1"/>
  <c r="P98" i="4" s="1"/>
  <c r="AE98" i="4"/>
  <c r="AG98" i="4" s="1"/>
  <c r="O98" i="4" s="1"/>
  <c r="AE147" i="4"/>
  <c r="AG147" i="4" s="1"/>
  <c r="O147" i="4" s="1"/>
  <c r="AD147" i="4"/>
  <c r="AF147" i="4" s="1"/>
  <c r="P147" i="4" s="1"/>
  <c r="AE58" i="4"/>
  <c r="AG58" i="4" s="1"/>
  <c r="O58" i="4" s="1"/>
  <c r="AD58" i="4"/>
  <c r="AF58" i="4" s="1"/>
  <c r="P58" i="4" s="1"/>
  <c r="AE239" i="4"/>
  <c r="AG239" i="4" s="1"/>
  <c r="O239" i="4" s="1"/>
  <c r="AD239" i="4"/>
  <c r="AF239" i="4" s="1"/>
  <c r="P239" i="4" s="1"/>
  <c r="AD479" i="4"/>
  <c r="AF479" i="4" s="1"/>
  <c r="P479" i="4" s="1"/>
  <c r="AE479" i="4"/>
  <c r="AG479" i="4" s="1"/>
  <c r="O479" i="4" s="1"/>
  <c r="AD244" i="4"/>
  <c r="AF244" i="4" s="1"/>
  <c r="P244" i="4" s="1"/>
  <c r="AE244" i="4"/>
  <c r="AG244" i="4" s="1"/>
  <c r="O244" i="4" s="1"/>
  <c r="AE251" i="4"/>
  <c r="AG251" i="4" s="1"/>
  <c r="O251" i="4" s="1"/>
  <c r="AD251" i="4"/>
  <c r="AF251" i="4" s="1"/>
  <c r="P251" i="4" s="1"/>
  <c r="AD47" i="4"/>
  <c r="AF47" i="4" s="1"/>
  <c r="P47" i="4" s="1"/>
  <c r="AE47" i="4"/>
  <c r="AG47" i="4" s="1"/>
  <c r="O47" i="4" s="1"/>
  <c r="AE51" i="4"/>
  <c r="AG51" i="4" s="1"/>
  <c r="O51" i="4" s="1"/>
  <c r="AD51" i="4"/>
  <c r="AF51" i="4" s="1"/>
  <c r="P51" i="4" s="1"/>
  <c r="AE150" i="4"/>
  <c r="AG150" i="4" s="1"/>
  <c r="O150" i="4" s="1"/>
  <c r="AD150" i="4"/>
  <c r="AF150" i="4" s="1"/>
  <c r="P150" i="4" s="1"/>
  <c r="AE164" i="4"/>
  <c r="AG164" i="4" s="1"/>
  <c r="O164" i="4" s="1"/>
  <c r="AD164" i="4"/>
  <c r="AF164" i="4" s="1"/>
  <c r="P164" i="4" s="1"/>
  <c r="AE241" i="4"/>
  <c r="AG241" i="4" s="1"/>
  <c r="O241" i="4" s="1"/>
  <c r="AD241" i="4"/>
  <c r="AF241" i="4" s="1"/>
  <c r="P241" i="4" s="1"/>
  <c r="AD474" i="4"/>
  <c r="AF474" i="4" s="1"/>
  <c r="P474" i="4" s="1"/>
  <c r="AE474" i="4"/>
  <c r="AG474" i="4" s="1"/>
  <c r="O474" i="4" s="1"/>
  <c r="AE103" i="4"/>
  <c r="AG103" i="4" s="1"/>
  <c r="O103" i="4" s="1"/>
  <c r="AD103" i="4"/>
  <c r="AF103" i="4" s="1"/>
  <c r="P103" i="4" s="1"/>
  <c r="AD229" i="4"/>
  <c r="AF229" i="4" s="1"/>
  <c r="P229" i="4" s="1"/>
  <c r="AE229" i="4"/>
  <c r="AG229" i="4" s="1"/>
  <c r="O229" i="4" s="1"/>
  <c r="AE228" i="4"/>
  <c r="AG228" i="4" s="1"/>
  <c r="O228" i="4" s="1"/>
  <c r="AD228" i="4"/>
  <c r="AF228" i="4" s="1"/>
  <c r="P228" i="4" s="1"/>
  <c r="AE82" i="4"/>
  <c r="AG82" i="4" s="1"/>
  <c r="O82" i="4" s="1"/>
  <c r="AD82" i="4"/>
  <c r="AF82" i="4" s="1"/>
  <c r="P82" i="4" s="1"/>
  <c r="AE459" i="4"/>
  <c r="AG459" i="4" s="1"/>
  <c r="O459" i="4" s="1"/>
  <c r="AD459" i="4"/>
  <c r="AF459" i="4" s="1"/>
  <c r="P459" i="4" s="1"/>
  <c r="AD348" i="4"/>
  <c r="AF348" i="4" s="1"/>
  <c r="P348" i="4" s="1"/>
  <c r="AE348" i="4"/>
  <c r="AG348" i="4" s="1"/>
  <c r="O348" i="4" s="1"/>
  <c r="AD78" i="4"/>
  <c r="AF78" i="4" s="1"/>
  <c r="P78" i="4" s="1"/>
  <c r="AE78" i="4"/>
  <c r="AG78" i="4" s="1"/>
  <c r="O78" i="4" s="1"/>
  <c r="AE254" i="4"/>
  <c r="AG254" i="4" s="1"/>
  <c r="O254" i="4" s="1"/>
  <c r="AD254" i="4"/>
  <c r="AF254" i="4" s="1"/>
  <c r="P254" i="4" s="1"/>
  <c r="AD219" i="4"/>
  <c r="AF219" i="4" s="1"/>
  <c r="P219" i="4" s="1"/>
  <c r="AE219" i="4"/>
  <c r="AG219" i="4" s="1"/>
  <c r="O219" i="4" s="1"/>
  <c r="AD5" i="4"/>
  <c r="AF5" i="4" s="1"/>
  <c r="P5" i="4" s="1"/>
  <c r="AE5" i="4"/>
  <c r="AG5" i="4" s="1"/>
  <c r="O5" i="4" s="1"/>
  <c r="AD415" i="4"/>
  <c r="AF415" i="4" s="1"/>
  <c r="P415" i="4" s="1"/>
  <c r="AE415" i="4"/>
  <c r="AG415" i="4" s="1"/>
  <c r="O415" i="4" s="1"/>
  <c r="AD152" i="4"/>
  <c r="AF152" i="4" s="1"/>
  <c r="P152" i="4" s="1"/>
  <c r="AE152" i="4"/>
  <c r="AG152" i="4" s="1"/>
  <c r="O152" i="4" s="1"/>
  <c r="AE411" i="4"/>
  <c r="AG411" i="4" s="1"/>
  <c r="O411" i="4" s="1"/>
  <c r="AD411" i="4"/>
  <c r="AF411" i="4" s="1"/>
  <c r="P411" i="4" s="1"/>
  <c r="AD194" i="4"/>
  <c r="AF194" i="4" s="1"/>
  <c r="P194" i="4" s="1"/>
  <c r="AE194" i="4"/>
  <c r="AG194" i="4" s="1"/>
  <c r="O194" i="4" s="1"/>
  <c r="AE297" i="4"/>
  <c r="AG297" i="4" s="1"/>
  <c r="O297" i="4" s="1"/>
  <c r="AD297" i="4"/>
  <c r="AF297" i="4" s="1"/>
  <c r="P297" i="4" s="1"/>
  <c r="AE271" i="4"/>
  <c r="AG271" i="4" s="1"/>
  <c r="O271" i="4" s="1"/>
  <c r="AD271" i="4"/>
  <c r="AF271" i="4" s="1"/>
  <c r="P271" i="4" s="1"/>
  <c r="AD15" i="4"/>
  <c r="AF15" i="4" s="1"/>
  <c r="P15" i="4" s="1"/>
  <c r="AE15" i="4"/>
  <c r="AG15" i="4" s="1"/>
  <c r="O15" i="4" s="1"/>
  <c r="AD34" i="4"/>
  <c r="AF34" i="4" s="1"/>
  <c r="P34" i="4" s="1"/>
  <c r="AE34" i="4"/>
  <c r="AG34" i="4" s="1"/>
  <c r="O34" i="4" s="1"/>
  <c r="F23" i="4" l="1"/>
  <c r="F22" i="4"/>
  <c r="F2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Anthony Fagnani</author>
  </authors>
  <commentList>
    <comment ref="C20" authorId="0" shapeId="0" xr:uid="{FD6FF304-82E1-456B-96DC-586C962400C6}">
      <text>
        <r>
          <rPr>
            <sz val="9"/>
            <color indexed="81"/>
            <rFont val="Tahoma"/>
            <family val="2"/>
          </rPr>
          <t xml:space="preserve">Reference designators taken from TPS43061EVM-198. Reference designator in parenthesis signifies a difference on TPS43060EVM-199.
</t>
        </r>
      </text>
    </comment>
  </commentList>
</comments>
</file>

<file path=xl/sharedStrings.xml><?xml version="1.0" encoding="utf-8"?>
<sst xmlns="http://schemas.openxmlformats.org/spreadsheetml/2006/main" count="688" uniqueCount="464">
  <si>
    <t>Output Voltage</t>
  </si>
  <si>
    <t>A/V</t>
  </si>
  <si>
    <t>A</t>
  </si>
  <si>
    <t>V</t>
  </si>
  <si>
    <t>Kind</t>
  </si>
  <si>
    <t>Hz</t>
  </si>
  <si>
    <t>H</t>
  </si>
  <si>
    <t>F</t>
  </si>
  <si>
    <t>Units</t>
  </si>
  <si>
    <t>Value</t>
  </si>
  <si>
    <t>Ro</t>
  </si>
  <si>
    <t>dB</t>
  </si>
  <si>
    <t>W</t>
  </si>
  <si>
    <t>Sn</t>
  </si>
  <si>
    <t>Se</t>
  </si>
  <si>
    <t>Frequency</t>
  </si>
  <si>
    <t>Transconductance of error amplifier</t>
  </si>
  <si>
    <t>Output resistance of error amplifier</t>
  </si>
  <si>
    <t>Reference voltage</t>
  </si>
  <si>
    <t>Fco_target</t>
  </si>
  <si>
    <t>frhpz_mod</t>
  </si>
  <si>
    <t>fp_mod</t>
  </si>
  <si>
    <t>PM</t>
  </si>
  <si>
    <t>Vout</t>
  </si>
  <si>
    <t>Power Stage Design</t>
  </si>
  <si>
    <t>ABS(Total Gain)</t>
  </si>
  <si>
    <t>GM</t>
  </si>
  <si>
    <t>DCR</t>
  </si>
  <si>
    <t>Fco</t>
  </si>
  <si>
    <t>Ω</t>
  </si>
  <si>
    <t>Icrit</t>
  </si>
  <si>
    <t>Compensation Design</t>
  </si>
  <si>
    <t>Minimum on time</t>
  </si>
  <si>
    <t>Fm</t>
  </si>
  <si>
    <t>Iout</t>
  </si>
  <si>
    <t>fsw</t>
  </si>
  <si>
    <t>Duty Cycle</t>
  </si>
  <si>
    <t>Power Stage</t>
  </si>
  <si>
    <t>FP</t>
  </si>
  <si>
    <t>FZ</t>
  </si>
  <si>
    <t>FP2</t>
  </si>
  <si>
    <t>Output voltage</t>
  </si>
  <si>
    <t>sec</t>
  </si>
  <si>
    <t>MIN</t>
  </si>
  <si>
    <t>TYP</t>
  </si>
  <si>
    <t>MAX</t>
  </si>
  <si>
    <t>Input voltage</t>
  </si>
  <si>
    <t>Switching frequency</t>
  </si>
  <si>
    <t>Device Constants</t>
  </si>
  <si>
    <t>Cell Color Key</t>
  </si>
  <si>
    <t>Calculated</t>
  </si>
  <si>
    <t>User Input</t>
  </si>
  <si>
    <t>Design Specifications</t>
  </si>
  <si>
    <t>Vin</t>
  </si>
  <si>
    <t>Rea</t>
  </si>
  <si>
    <t>Vref</t>
  </si>
  <si>
    <t>Rdson</t>
  </si>
  <si>
    <t>Feature Components</t>
  </si>
  <si>
    <t>KPS_fco</t>
  </si>
  <si>
    <t>L</t>
  </si>
  <si>
    <t>Vripple</t>
  </si>
  <si>
    <t>dItran</t>
  </si>
  <si>
    <t>dVtran</t>
  </si>
  <si>
    <t>Inductor RMS current (Vin_min)</t>
  </si>
  <si>
    <t>Equivalent output resistance</t>
  </si>
  <si>
    <t>Pole of power stage</t>
  </si>
  <si>
    <t>Right half plane zero (RHPZ) of power stage</t>
  </si>
  <si>
    <t>Irms_cin</t>
  </si>
  <si>
    <t>Irms_cout</t>
  </si>
  <si>
    <t>Target crossover frequency</t>
  </si>
  <si>
    <t>Std. Resistors</t>
  </si>
  <si>
    <t>Capacitors</t>
  </si>
  <si>
    <t>Enter resistor value</t>
  </si>
  <si>
    <t>E6</t>
  </si>
  <si>
    <t>E96</t>
  </si>
  <si>
    <t>Cap value</t>
  </si>
  <si>
    <t>Closest E6 Value</t>
  </si>
  <si>
    <t>Closest E12 Value</t>
  </si>
  <si>
    <t>C values up to 10nF</t>
  </si>
  <si>
    <t>Closest E24 Value</t>
  </si>
  <si>
    <t>Closest E48 Value</t>
  </si>
  <si>
    <t>Closest E96 Value</t>
  </si>
  <si>
    <t>E12</t>
  </si>
  <si>
    <t>C values greater than 10nF</t>
  </si>
  <si>
    <t>E24</t>
  </si>
  <si>
    <t>E48</t>
  </si>
  <si>
    <t>Chosen compensation resistor</t>
  </si>
  <si>
    <t>Calculated and nearest STD value compensation capacitor</t>
  </si>
  <si>
    <t>Chosen compensation capacitor</t>
  </si>
  <si>
    <t>Calculated and nearest STD value high frequency roll off cap based on fco_target</t>
  </si>
  <si>
    <t>Calculated and nearest STD value high frequency roll off cap based on ESR zero of output capacitor</t>
  </si>
  <si>
    <t>Input capacitors must be rated to handle RMS current</t>
  </si>
  <si>
    <t>fzesr_mod</t>
  </si>
  <si>
    <t>This worksheet is designed for use with Microsoft Excel 2002 or later.  It is intended to assist circuit designers in their</t>
  </si>
  <si>
    <t>routine, day-to-day calculations.  Additional worksheets may be added as they are completed.</t>
  </si>
  <si>
    <t>Important:  Analysis Toolpak is needed to run small signal worksheet.   Go to Tools&gt;Add-Ins&gt; select Analysis Toolpak</t>
  </si>
  <si>
    <t>Disclaimer:</t>
  </si>
  <si>
    <t>This product is designed as an aid for customers of Texas Instruments.  No warranties, either express</t>
  </si>
  <si>
    <t>or implied, with respect to this software or its fitness for any particular purpose is made by Texas</t>
  </si>
  <si>
    <t>Instruments or the author.  The software is licensed solely on an "as is" basis.  The entire risk as to its</t>
  </si>
  <si>
    <t>quality and performance is with the user.</t>
  </si>
  <si>
    <t>All worksheets contain yellow user-input cells, blue calculated cells, and grey constants cells.</t>
  </si>
  <si>
    <t>Hide Sheet</t>
  </si>
  <si>
    <t>© 2012</t>
  </si>
  <si>
    <t>Schematic and Final Component List</t>
  </si>
  <si>
    <t>Ref. Des.</t>
  </si>
  <si>
    <t>Chosen top resistor in feedback voltage divider</t>
  </si>
  <si>
    <t>Chosen fsw set resistor</t>
  </si>
  <si>
    <t>Load transient output current change (50% Iout default)</t>
  </si>
  <si>
    <t>Load transient output voltage change (4% Vout default)</t>
  </si>
  <si>
    <t>Inductor current ripple fraction (typical values 0.2 to 0.4)</t>
  </si>
  <si>
    <t>Inductor Selection (L)</t>
  </si>
  <si>
    <t>Input Capacitor (CI)</t>
  </si>
  <si>
    <t>Output Capacitor (CO)</t>
  </si>
  <si>
    <t>RCOMP calc</t>
  </si>
  <si>
    <t>CCOMP calc</t>
  </si>
  <si>
    <t>CHF calc</t>
  </si>
  <si>
    <t>CHF calc ESR</t>
  </si>
  <si>
    <t xml:space="preserve">Inductor ripple with selected inductance (Vin_min, Vin_nom, Vin_max) </t>
  </si>
  <si>
    <t>Peak current and +20% for recommended minimum inductor saturation current rating</t>
  </si>
  <si>
    <t>DS Equation #</t>
  </si>
  <si>
    <t>n/a</t>
  </si>
  <si>
    <t>D</t>
  </si>
  <si>
    <t>Values and Minimum Recommended Ratings</t>
  </si>
  <si>
    <t>Minimum Cout for output voltage ripple specification</t>
  </si>
  <si>
    <t>Minimum Cout for load transient output voltage change specification (uses fco_target from compensation section)</t>
  </si>
  <si>
    <t>Output capacitors must be rated to handle RMS current (Vin_min)</t>
  </si>
  <si>
    <t>Pole from Rea and CCOMP</t>
  </si>
  <si>
    <t>Zero from RCOMP and CCOMP</t>
  </si>
  <si>
    <t>Chosen CHF (1E-12 is open)</t>
  </si>
  <si>
    <t>Values from Calculations</t>
  </si>
  <si>
    <t>Calculations for Plotting</t>
  </si>
  <si>
    <r>
      <t>C</t>
    </r>
    <r>
      <rPr>
        <vertAlign val="subscript"/>
        <sz val="12"/>
        <rFont val="Arial"/>
        <family val="2"/>
      </rPr>
      <t>COMP</t>
    </r>
  </si>
  <si>
    <r>
      <t>C</t>
    </r>
    <r>
      <rPr>
        <vertAlign val="subscript"/>
        <sz val="12"/>
        <rFont val="Arial"/>
        <family val="2"/>
      </rPr>
      <t>HF</t>
    </r>
  </si>
  <si>
    <r>
      <t>R</t>
    </r>
    <r>
      <rPr>
        <vertAlign val="subscript"/>
        <sz val="12"/>
        <rFont val="Arial"/>
        <family val="2"/>
      </rPr>
      <t>SH</t>
    </r>
  </si>
  <si>
    <r>
      <t>R</t>
    </r>
    <r>
      <rPr>
        <vertAlign val="subscript"/>
        <sz val="12"/>
        <rFont val="Arial"/>
        <family val="2"/>
      </rPr>
      <t>SL</t>
    </r>
  </si>
  <si>
    <r>
      <t>R</t>
    </r>
    <r>
      <rPr>
        <vertAlign val="subscript"/>
        <sz val="12"/>
        <rFont val="Arial"/>
        <family val="2"/>
      </rPr>
      <t>COMP</t>
    </r>
  </si>
  <si>
    <t>Co</t>
  </si>
  <si>
    <t>kHz</t>
  </si>
  <si>
    <t>Values for Plotting</t>
  </si>
  <si>
    <t>Radians</t>
  </si>
  <si>
    <t>Ccer</t>
  </si>
  <si>
    <t>Rcer</t>
  </si>
  <si>
    <t>M</t>
  </si>
  <si>
    <t>Gain Gvd CCM</t>
  </si>
  <si>
    <t>Phase Gvd CCM</t>
  </si>
  <si>
    <t>Acs</t>
  </si>
  <si>
    <t>Vsl</t>
  </si>
  <si>
    <t>m</t>
  </si>
  <si>
    <t>q0</t>
  </si>
  <si>
    <t>wn</t>
  </si>
  <si>
    <t>Zon(s)</t>
  </si>
  <si>
    <t>Zc(s)</t>
  </si>
  <si>
    <t>Zoff(s)</t>
  </si>
  <si>
    <t>Gvd_CCM(s)</t>
  </si>
  <si>
    <t>He(s)</t>
  </si>
  <si>
    <t>Ti(s)</t>
  </si>
  <si>
    <t>Gid(s)</t>
  </si>
  <si>
    <t>Gvc(s)</t>
  </si>
  <si>
    <t>Gain Gvc CCM</t>
  </si>
  <si>
    <t>Phase Gvc CCM</t>
  </si>
  <si>
    <t>Gea(s)</t>
  </si>
  <si>
    <t>Gain Gea</t>
  </si>
  <si>
    <t>Phase Gea</t>
  </si>
  <si>
    <t>Total Gain</t>
  </si>
  <si>
    <t>Total Phase</t>
  </si>
  <si>
    <t>ABS(Total Phase)</t>
  </si>
  <si>
    <t>ABS(Gvc Phase)</t>
  </si>
  <si>
    <t>Target PM</t>
  </si>
  <si>
    <t>*Data gathered by the Venable 350 System</t>
  </si>
  <si>
    <t>*Frequency (Hz)</t>
  </si>
  <si>
    <t>Gain (dB)</t>
  </si>
  <si>
    <t>Phase (Deg)</t>
  </si>
  <si>
    <t>Gvc</t>
  </si>
  <si>
    <t>Gea</t>
  </si>
  <si>
    <t>Total</t>
  </si>
  <si>
    <t>Type 3</t>
  </si>
  <si>
    <t>Cff</t>
  </si>
  <si>
    <t>Rff</t>
  </si>
  <si>
    <t>Cff calc</t>
  </si>
  <si>
    <t>Rff Calc</t>
  </si>
  <si>
    <t>aol</t>
  </si>
  <si>
    <t>gbw</t>
  </si>
  <si>
    <t>Risense</t>
  </si>
  <si>
    <r>
      <t>C</t>
    </r>
    <r>
      <rPr>
        <vertAlign val="subscript"/>
        <sz val="12"/>
        <color indexed="8"/>
        <rFont val="Arial"/>
        <family val="2"/>
      </rPr>
      <t>I</t>
    </r>
  </si>
  <si>
    <r>
      <t>C</t>
    </r>
    <r>
      <rPr>
        <vertAlign val="subscript"/>
        <sz val="12"/>
        <color indexed="8"/>
        <rFont val="Arial"/>
        <family val="2"/>
      </rPr>
      <t>O</t>
    </r>
  </si>
  <si>
    <r>
      <t>C</t>
    </r>
    <r>
      <rPr>
        <vertAlign val="subscript"/>
        <sz val="12"/>
        <color indexed="8"/>
        <rFont val="Arial"/>
        <family val="2"/>
      </rPr>
      <t>SS</t>
    </r>
  </si>
  <si>
    <r>
      <t>C</t>
    </r>
    <r>
      <rPr>
        <vertAlign val="subscript"/>
        <sz val="12"/>
        <color indexed="8"/>
        <rFont val="Arial"/>
        <family val="2"/>
      </rPr>
      <t>HF</t>
    </r>
  </si>
  <si>
    <r>
      <t>R</t>
    </r>
    <r>
      <rPr>
        <vertAlign val="subscript"/>
        <sz val="12"/>
        <color indexed="8"/>
        <rFont val="Arial"/>
        <family val="2"/>
      </rPr>
      <t>SH</t>
    </r>
  </si>
  <si>
    <r>
      <t>R</t>
    </r>
    <r>
      <rPr>
        <vertAlign val="subscript"/>
        <sz val="12"/>
        <color indexed="8"/>
        <rFont val="Arial"/>
        <family val="2"/>
      </rPr>
      <t>SL</t>
    </r>
  </si>
  <si>
    <t>Vin nom</t>
  </si>
  <si>
    <t>Vin min</t>
  </si>
  <si>
    <t>Vin max</t>
  </si>
  <si>
    <t>Minimum off time</t>
  </si>
  <si>
    <t>Dnom</t>
  </si>
  <si>
    <t>Duty cycle at nominal input voltage</t>
  </si>
  <si>
    <t>Duty cycle at minimum input voltage</t>
  </si>
  <si>
    <t>Duty cycle at maximum input voltage</t>
  </si>
  <si>
    <t>Dmax off time, Dmin on time</t>
  </si>
  <si>
    <t>Vcs min</t>
  </si>
  <si>
    <t>Rsense max</t>
  </si>
  <si>
    <t>P Rsense</t>
  </si>
  <si>
    <t>Iripple</t>
  </si>
  <si>
    <t>IL rms</t>
  </si>
  <si>
    <t>IL peak, Isat</t>
  </si>
  <si>
    <t>PL cond</t>
  </si>
  <si>
    <t>Minimum power rating for current sense resistor in normal operating conditions</t>
  </si>
  <si>
    <t>Selected sense resistor</t>
  </si>
  <si>
    <t>Cout min ripple</t>
  </si>
  <si>
    <t>Cout min transient</t>
  </si>
  <si>
    <t>Cout ESR max</t>
  </si>
  <si>
    <t>Estimated maximum Cout ESR to meet ripple specification</t>
  </si>
  <si>
    <t>Viripple</t>
  </si>
  <si>
    <t>Rdson hs</t>
  </si>
  <si>
    <t>Qg ls</t>
  </si>
  <si>
    <t>Rdson ls</t>
  </si>
  <si>
    <t>Phs cond</t>
  </si>
  <si>
    <t>Pls sw</t>
  </si>
  <si>
    <t>Pls cond</t>
  </si>
  <si>
    <t>Qg hs</t>
  </si>
  <si>
    <t>C</t>
  </si>
  <si>
    <t>Rg ls</t>
  </si>
  <si>
    <t>Rgd ls</t>
  </si>
  <si>
    <t>Idrive</t>
  </si>
  <si>
    <t>Vfboot</t>
  </si>
  <si>
    <t>Rg hs</t>
  </si>
  <si>
    <t>Forward voltage of internal or external boot diode</t>
  </si>
  <si>
    <t>Minimum Cin for input voltage ripple specification</t>
  </si>
  <si>
    <t>Rgd hs</t>
  </si>
  <si>
    <t>Vcc</t>
  </si>
  <si>
    <t>Vf body</t>
  </si>
  <si>
    <t>Phs dt</t>
  </si>
  <si>
    <t>tonmin</t>
  </si>
  <si>
    <t>toffmin</t>
  </si>
  <si>
    <t>PIC Iq</t>
  </si>
  <si>
    <t>Forward voltage of body diode</t>
  </si>
  <si>
    <t>Ven on</t>
  </si>
  <si>
    <t>Ien pup</t>
  </si>
  <si>
    <t>Ien hys</t>
  </si>
  <si>
    <t>Ven dis</t>
  </si>
  <si>
    <t>Iq</t>
  </si>
  <si>
    <t>DC Gain</t>
  </si>
  <si>
    <t>PIC gate drive</t>
  </si>
  <si>
    <t>tss</t>
  </si>
  <si>
    <t>Soft-start time</t>
  </si>
  <si>
    <t>Iss</t>
  </si>
  <si>
    <t>Current sense threshold max duty cycle</t>
  </si>
  <si>
    <t>Current sense threshold 0% to 40% duty cycle</t>
  </si>
  <si>
    <t>Internal regulator voltage</t>
  </si>
  <si>
    <t>Internal boot diode forward voltage</t>
  </si>
  <si>
    <t>EN rising threshold</t>
  </si>
  <si>
    <t>EN falling threshold</t>
  </si>
  <si>
    <t>EN pull up current source</t>
  </si>
  <si>
    <t>EN hysteresis current source</t>
  </si>
  <si>
    <t>Operationg non switching quiescent current</t>
  </si>
  <si>
    <t>Soft-start current source</t>
  </si>
  <si>
    <t>fco1</t>
  </si>
  <si>
    <t>fco2</t>
  </si>
  <si>
    <t>Modelled power stage gain at targeted fco</t>
  </si>
  <si>
    <t>Input power stage gain at targeted fco to calculate compensation components</t>
  </si>
  <si>
    <t>Pole from RCOMP and CHF</t>
  </si>
  <si>
    <t>Css calc</t>
  </si>
  <si>
    <t>Calculated and nearest standard value soft-start capacitor</t>
  </si>
  <si>
    <t>Chosen soft-start capacitor</t>
  </si>
  <si>
    <t>Calculated and nearest 1% STD value fsw set resistor</t>
  </si>
  <si>
    <t>Calculated and nearest 1% STD value top resistor for feedback voltage divider</t>
  </si>
  <si>
    <t>Bottom resistor for feedback voltage divider</t>
  </si>
  <si>
    <t>Calculated and nearest 1% STD value top resistor for UVLO divider</t>
  </si>
  <si>
    <t>Chosen top UVLO resistor</t>
  </si>
  <si>
    <t>Chosen bottom UVLO resistor</t>
  </si>
  <si>
    <t>Calculated and nearest 1% STD value bottom resistor for UVLO divider</t>
  </si>
  <si>
    <t>Co ESR</t>
  </si>
  <si>
    <t>Loop Response Results</t>
  </si>
  <si>
    <t>LDRV pull-up resistance</t>
  </si>
  <si>
    <t>Rldrv pd</t>
  </si>
  <si>
    <t>Rldrv pu</t>
  </si>
  <si>
    <t>Rhdrv pu</t>
  </si>
  <si>
    <t>Rhdrv pd</t>
  </si>
  <si>
    <t>LDRV pull-down resistance</t>
  </si>
  <si>
    <t>HDRV pull-up resistance</t>
  </si>
  <si>
    <t>HDRV pull-down resistance</t>
  </si>
  <si>
    <t>Recommended maximum target crossover frequency (frhpz)</t>
  </si>
  <si>
    <t>RCOMP</t>
  </si>
  <si>
    <t>CCOMP</t>
  </si>
  <si>
    <t>CHF</t>
  </si>
  <si>
    <t>TPS4306x Boost Equation Set from Datasheet</t>
  </si>
  <si>
    <t>Gate charge of selected FET</t>
  </si>
  <si>
    <t>Rdson of selected FET</t>
  </si>
  <si>
    <t>Gate resistance of selected FET</t>
  </si>
  <si>
    <t>Nominal input voltage</t>
  </si>
  <si>
    <t>Minimum input voltage</t>
  </si>
  <si>
    <t>Maximum input voltage</t>
  </si>
  <si>
    <t>LDRV series resistance</t>
  </si>
  <si>
    <t>HDRV series resistance</t>
  </si>
  <si>
    <t>Quiescent current power loss in IC</t>
  </si>
  <si>
    <t>Calculated turn off voltage with selected resistors</t>
  </si>
  <si>
    <t>Calculated turn on voltage with selected resistors</t>
  </si>
  <si>
    <t>DC gain of power stage</t>
  </si>
  <si>
    <t>ESR zero of output capacitor</t>
  </si>
  <si>
    <t>TPS43060</t>
  </si>
  <si>
    <t>TPS43061</t>
  </si>
  <si>
    <t>Part #</t>
  </si>
  <si>
    <t>Dmax</t>
  </si>
  <si>
    <t>Dmin</t>
  </si>
  <si>
    <t>Cboot</t>
  </si>
  <si>
    <t>Minimum bootstrap capacitor</t>
  </si>
  <si>
    <t>L min1</t>
  </si>
  <si>
    <t>L min2</t>
  </si>
  <si>
    <t>L min3</t>
  </si>
  <si>
    <t>Inductor current ripple target based on Kind and average current with minimum input voltage</t>
  </si>
  <si>
    <t>Vth</t>
  </si>
  <si>
    <t>Threshold Voltage</t>
  </si>
  <si>
    <t>Iripple target</t>
  </si>
  <si>
    <t>See Small Signal sheet for gain and phase graphs</t>
  </si>
  <si>
    <t>TPS4306x Boost Design Calculator</t>
  </si>
  <si>
    <t>Estimated gate drive power loss in IC including gate drive series resistance and gate resistance of FETs</t>
  </si>
  <si>
    <t>Estimated total gate drive power loss (not including gate resistance of FETs or external series gate drive resistance)</t>
  </si>
  <si>
    <t>Iin max</t>
  </si>
  <si>
    <t>trise, tfall</t>
  </si>
  <si>
    <t>Coss</t>
  </si>
  <si>
    <t>Qgd</t>
  </si>
  <si>
    <t>Select Device</t>
  </si>
  <si>
    <t>Time delay between DRV signals</t>
  </si>
  <si>
    <t>tnonoverlap</t>
  </si>
  <si>
    <t>Ilim typ</t>
  </si>
  <si>
    <t>Typical current limit with selected sense resistor</t>
  </si>
  <si>
    <t>Iout max</t>
  </si>
  <si>
    <t>*05:53PM Monday, October 01, 2012</t>
  </si>
  <si>
    <t>Ilim min</t>
  </si>
  <si>
    <t>*Data gathered by the 3120 System</t>
  </si>
  <si>
    <t>*09:58PM Tuesday, October 02, 2012</t>
  </si>
  <si>
    <t>*10:55AM Wednesday, October 03, 2012</t>
  </si>
  <si>
    <t>Minimum current limit with selected sense resistor</t>
  </si>
  <si>
    <t>Estimated Efficiency</t>
  </si>
  <si>
    <t>fsw max</t>
  </si>
  <si>
    <t>Ptot ls</t>
  </si>
  <si>
    <t>Ptot hs</t>
  </si>
  <si>
    <t>Vcs typ</t>
  </si>
  <si>
    <t>Ipsm</t>
  </si>
  <si>
    <t>Recommended maximum target crossover frequency (fsw)</t>
  </si>
  <si>
    <t>The calculator provides the small signal gain and phase for the final design. The small signal model currently supports CCM only.</t>
  </si>
  <si>
    <t>Vcsmax (0% duty cycle)</t>
  </si>
  <si>
    <t>Vcsmax (max duty cycle)</t>
  </si>
  <si>
    <t>Maximum average input current (assumes 100% efficiency)</t>
  </si>
  <si>
    <t>12,13</t>
  </si>
  <si>
    <t>Estimated critical output current to remain in CCM (Vin_min, Vin_nom, Vin_max)</t>
  </si>
  <si>
    <t>Estimated output current when pulse skipping begins (Vin_min, Vin_nom, Vin_max)</t>
  </si>
  <si>
    <t>Full load conduction losses in inductor (Vin_min, Vin_nom, Vin_max)</t>
  </si>
  <si>
    <t>This tool supports the TPS4306x datasheet (SLVSBP4)</t>
  </si>
  <si>
    <t>Typical over-current current sense voltage based on Figure 19 in datasheet</t>
  </si>
  <si>
    <t>Minimum over-current current sense voltage (10 mV below typical)</t>
  </si>
  <si>
    <t>Maximum output current with typical over-current sense voltage</t>
  </si>
  <si>
    <t>Maximum output current using minimum over-current sense voltage</t>
  </si>
  <si>
    <t>Maximum current sense resistor using Vcs min and 20% tolerance to account for efficiency and transients</t>
  </si>
  <si>
    <t>Output Capacitance</t>
  </si>
  <si>
    <t>Gate to dran charge</t>
  </si>
  <si>
    <t>Estimated switching losses</t>
  </si>
  <si>
    <t>Selected bootstrap capacitor</t>
  </si>
  <si>
    <t>Estimated full load conduction losses in FET (Vin_min)</t>
  </si>
  <si>
    <t>Estimated losses in low-side FET (Vin_min)</t>
  </si>
  <si>
    <t>Estimated max load conduction losses in FET (Vin_min)</t>
  </si>
  <si>
    <t>Estimated max load dead time losses in FET (Vin_min)</t>
  </si>
  <si>
    <t>Estimated losses in high-side FET (Vin_min)</t>
  </si>
  <si>
    <t>PIC VCC</t>
  </si>
  <si>
    <t>Estimated power loss in internal VCC regulator</t>
  </si>
  <si>
    <t>Selected FET</t>
  </si>
  <si>
    <t>Selected Dboot</t>
  </si>
  <si>
    <t>RHS calc</t>
  </si>
  <si>
    <t>RHS chosen</t>
  </si>
  <si>
    <t>Vstart</t>
  </si>
  <si>
    <t>Vstop</t>
  </si>
  <si>
    <t>fco_target</t>
  </si>
  <si>
    <t>Calculated and nearest 1% STD value compensation resistor based on estimation in data sheet</t>
  </si>
  <si>
    <t>Calculated and nearest 1% STD value compensation resistor based on small signal model in excel</t>
  </si>
  <si>
    <r>
      <t>R</t>
    </r>
    <r>
      <rPr>
        <vertAlign val="subscript"/>
        <sz val="12"/>
        <color indexed="8"/>
        <rFont val="Arial"/>
        <family val="2"/>
      </rPr>
      <t>T</t>
    </r>
  </si>
  <si>
    <r>
      <t>R</t>
    </r>
    <r>
      <rPr>
        <vertAlign val="subscript"/>
        <sz val="12"/>
        <color indexed="8"/>
        <rFont val="Arial"/>
        <family val="2"/>
      </rPr>
      <t>SENSE</t>
    </r>
  </si>
  <si>
    <r>
      <t>C</t>
    </r>
    <r>
      <rPr>
        <vertAlign val="subscript"/>
        <sz val="12"/>
        <color indexed="8"/>
        <rFont val="Arial"/>
        <family val="2"/>
      </rPr>
      <t>C</t>
    </r>
  </si>
  <si>
    <r>
      <t>R</t>
    </r>
    <r>
      <rPr>
        <vertAlign val="subscript"/>
        <sz val="12"/>
        <color indexed="8"/>
        <rFont val="Arial"/>
        <family val="2"/>
      </rPr>
      <t>C</t>
    </r>
  </si>
  <si>
    <t>3.6V</t>
  </si>
  <si>
    <t>CVcc</t>
  </si>
  <si>
    <r>
      <t>C</t>
    </r>
    <r>
      <rPr>
        <vertAlign val="subscript"/>
        <sz val="12"/>
        <color indexed="8"/>
        <rFont val="Arial"/>
        <family val="2"/>
      </rPr>
      <t>BOOT</t>
    </r>
  </si>
  <si>
    <r>
      <t>C</t>
    </r>
    <r>
      <rPr>
        <vertAlign val="subscript"/>
        <sz val="12"/>
        <color indexed="8"/>
        <rFont val="Arial"/>
        <family val="2"/>
      </rPr>
      <t>VCC</t>
    </r>
  </si>
  <si>
    <r>
      <t>Q</t>
    </r>
    <r>
      <rPr>
        <vertAlign val="subscript"/>
        <sz val="12"/>
        <color indexed="8"/>
        <rFont val="Arial"/>
        <family val="2"/>
      </rPr>
      <t>H</t>
    </r>
  </si>
  <si>
    <r>
      <t>Q</t>
    </r>
    <r>
      <rPr>
        <vertAlign val="subscript"/>
        <sz val="12"/>
        <color indexed="8"/>
        <rFont val="Arial"/>
        <family val="2"/>
      </rPr>
      <t>L</t>
    </r>
  </si>
  <si>
    <r>
      <t>D</t>
    </r>
    <r>
      <rPr>
        <vertAlign val="subscript"/>
        <sz val="12"/>
        <color indexed="8"/>
        <rFont val="Arial"/>
        <family val="2"/>
      </rPr>
      <t>BOOT</t>
    </r>
  </si>
  <si>
    <t>Input part number for selected low-side FET</t>
  </si>
  <si>
    <t>Input part number for selected high-side FET</t>
  </si>
  <si>
    <t>Total required gate drive current (must be less than 50mA Vcc minimum current limit)</t>
  </si>
  <si>
    <t>Input part number for selected external boot diode (TPS43060 only)</t>
  </si>
  <si>
    <t>EVM Ref. Des.</t>
  </si>
  <si>
    <t>C9</t>
  </si>
  <si>
    <t>C7</t>
  </si>
  <si>
    <t>C8</t>
  </si>
  <si>
    <t>C1</t>
  </si>
  <si>
    <t>C6</t>
  </si>
  <si>
    <t>D1</t>
  </si>
  <si>
    <t>L1</t>
  </si>
  <si>
    <t>Q1</t>
  </si>
  <si>
    <t>C13-C15 (C16)</t>
  </si>
  <si>
    <t>C2-C5, C16 (C17)</t>
  </si>
  <si>
    <t>Q1 (Q2)</t>
  </si>
  <si>
    <t>R16-R17 (R18)</t>
  </si>
  <si>
    <t>R7</t>
  </si>
  <si>
    <t>R5</t>
  </si>
  <si>
    <t>R8</t>
  </si>
  <si>
    <t>R9</t>
  </si>
  <si>
    <t>Low-side Boost FET (QL)</t>
  </si>
  <si>
    <t>Sense Resistor (RSENSE)</t>
  </si>
  <si>
    <t>High-side Synchronous FET (QH, CBOOT)</t>
  </si>
  <si>
    <t>IC (CVCC, DBOOT)</t>
  </si>
  <si>
    <t>Output Voltage (RSL, RSH)</t>
  </si>
  <si>
    <t>Soft-start (CSS)</t>
  </si>
  <si>
    <t>Adjustable UVLO (RUVLO_H, RUVLO_L)</t>
  </si>
  <si>
    <t>Compensation (RC, CC, CHF)</t>
  </si>
  <si>
    <r>
      <t>R</t>
    </r>
    <r>
      <rPr>
        <vertAlign val="subscript"/>
        <sz val="12"/>
        <color indexed="8"/>
        <rFont val="Arial"/>
        <family val="2"/>
      </rPr>
      <t>UVLOH</t>
    </r>
  </si>
  <si>
    <r>
      <t>R</t>
    </r>
    <r>
      <rPr>
        <vertAlign val="subscript"/>
        <sz val="12"/>
        <color indexed="8"/>
        <rFont val="Arial"/>
        <family val="2"/>
      </rPr>
      <t>UVLOL</t>
    </r>
  </si>
  <si>
    <t>Ruvloh calc</t>
  </si>
  <si>
    <t>Ruvlol calc</t>
  </si>
  <si>
    <t xml:space="preserve">     Value</t>
  </si>
  <si>
    <t>Devices Supported</t>
  </si>
  <si>
    <t>Constants</t>
  </si>
  <si>
    <t>V p-p</t>
  </si>
  <si>
    <t xml:space="preserve">  Description/Comments</t>
  </si>
  <si>
    <t>Output voltage ripple (1% Vout)</t>
  </si>
  <si>
    <t>Effective Cin min</t>
  </si>
  <si>
    <t>Chosen Cin</t>
  </si>
  <si>
    <t>Maximum Average Output current</t>
  </si>
  <si>
    <t>Optional adjustable UVLO turn on voltage</t>
  </si>
  <si>
    <t>Optional adjustable UVLO turn off voltage</t>
  </si>
  <si>
    <t>Input voltage ripple (1% Vin nom)</t>
  </si>
  <si>
    <t>Output capacitance selected (remember to include derating for ceramics)</t>
  </si>
  <si>
    <t>Input capacitance selected (remember to include derating for ceramics)</t>
  </si>
  <si>
    <t>Estimated duty cycle limits based on minimum on time and off time (assumes 100% efficiency)</t>
  </si>
  <si>
    <t>Minimum and maximum switching frequency based on duty cycle estimations</t>
  </si>
  <si>
    <t>RT calc</t>
  </si>
  <si>
    <t>RT chosen</t>
  </si>
  <si>
    <t>L chosen</t>
  </si>
  <si>
    <t>DC resistance (DCR) of selected inductor</t>
  </si>
  <si>
    <t>Selected inductance</t>
  </si>
  <si>
    <t>Rsense chosen</t>
  </si>
  <si>
    <t>Cout chosen</t>
  </si>
  <si>
    <t>ESR chosen</t>
  </si>
  <si>
    <t>ESR selected (if mixed output capacitors are used, use equivalent ESR of the non ceramic capacitors)</t>
  </si>
  <si>
    <t>Average gate drive current required</t>
  </si>
  <si>
    <t>Input selected VCC capacitor (0.47 µF to 10 µF recommended)</t>
  </si>
  <si>
    <t>RLS chosen</t>
  </si>
  <si>
    <t>Css chosen</t>
  </si>
  <si>
    <t>Ruvloh chosen</t>
  </si>
  <si>
    <t>Ruvlol chosen</t>
  </si>
  <si>
    <t>Power Good Resistor (RPG)</t>
  </si>
  <si>
    <t>RPG chosen</t>
  </si>
  <si>
    <t>Input selected value for optional power good pull up resistor (between 10k and 100k recommended)</t>
  </si>
  <si>
    <r>
      <t>R</t>
    </r>
    <r>
      <rPr>
        <vertAlign val="subscript"/>
        <sz val="12"/>
        <color indexed="8"/>
        <rFont val="Arial"/>
        <family val="2"/>
      </rPr>
      <t>PG</t>
    </r>
  </si>
  <si>
    <t>R1</t>
  </si>
  <si>
    <t xml:space="preserve">Minimum inductance calculated based on Iripple target (Vin_max) </t>
  </si>
  <si>
    <t xml:space="preserve">Minimum inductance calculated based on Iripple target (Vin_min) </t>
  </si>
  <si>
    <t xml:space="preserve">Minimum inductance calculated based on Iripple target (50% duty cycle) </t>
  </si>
  <si>
    <t>The calculator includes boost power stage design in CCM using the TPS43061EVM-198 design requirements as the original input.</t>
  </si>
  <si>
    <t>Leave the password blank to unlock the individual sheets or workbook.</t>
  </si>
  <si>
    <t>TPS4306x Boost Design Calculator Tool - Rev. B</t>
  </si>
  <si>
    <t>Rev. B</t>
  </si>
  <si>
    <t>Revision notes</t>
  </si>
  <si>
    <t>fixed typos in equations on the Boost Calculations tab in row 68, 69 and 74</t>
  </si>
  <si>
    <t>BSC059N04LS6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</si>
</sst>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##0.00E+0"/>
    <numFmt numFmtId="169" formatCode="0.000000"/>
    <numFmt numFmtId="170" formatCode="##0E+0"/>
  </numFmts>
  <fonts count="4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4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10"/>
      <color indexed="10"/>
      <name val="Arial"/>
      <family val="2"/>
    </font>
    <font>
      <sz val="10"/>
      <color indexed="22"/>
      <name val="Arial"/>
      <family val="2"/>
    </font>
    <font>
      <b/>
      <sz val="24"/>
      <name val="Arial"/>
      <family val="2"/>
    </font>
    <font>
      <sz val="16"/>
      <name val="Arial"/>
      <family val="2"/>
    </font>
    <font>
      <sz val="11"/>
      <color indexed="8"/>
      <name val="Calibri"/>
      <family val="2"/>
    </font>
    <font>
      <vertAlign val="subscript"/>
      <sz val="12"/>
      <name val="Arial"/>
      <family val="2"/>
    </font>
    <font>
      <vertAlign val="subscript"/>
      <sz val="12"/>
      <color indexed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u/>
      <sz val="10"/>
      <name val="Arial"/>
      <family val="2"/>
    </font>
    <font>
      <sz val="10"/>
      <color indexed="8"/>
      <name val="Calibri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sz val="11"/>
      <color theme="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medium">
        <color indexed="9"/>
      </left>
      <right style="medium">
        <color indexed="9"/>
      </right>
      <top/>
      <bottom style="medium">
        <color indexed="9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9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9"/>
      </left>
      <right/>
      <top/>
      <bottom/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 style="medium">
        <color indexed="9"/>
      </right>
      <top style="medium">
        <color indexed="9"/>
      </top>
      <bottom/>
      <diagonal/>
    </border>
  </borders>
  <cellStyleXfs count="9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30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</cellStyleXfs>
  <cellXfs count="302">
    <xf numFmtId="0" fontId="0" fillId="0" borderId="0" xfId="0"/>
    <xf numFmtId="0" fontId="0" fillId="2" borderId="0" xfId="0" applyFill="1"/>
    <xf numFmtId="0" fontId="6" fillId="2" borderId="0" xfId="3" applyFont="1" applyFill="1" applyProtection="1">
      <protection hidden="1"/>
    </xf>
    <xf numFmtId="0" fontId="1" fillId="2" borderId="0" xfId="3" applyFont="1" applyFill="1" applyProtection="1">
      <protection hidden="1"/>
    </xf>
    <xf numFmtId="0" fontId="7" fillId="2" borderId="0" xfId="3" applyFont="1" applyFill="1" applyBorder="1" applyProtection="1">
      <protection hidden="1"/>
    </xf>
    <xf numFmtId="0" fontId="1" fillId="2" borderId="0" xfId="3" applyFont="1" applyFill="1" applyBorder="1" applyProtection="1">
      <protection hidden="1"/>
    </xf>
    <xf numFmtId="49" fontId="1" fillId="2" borderId="0" xfId="3" applyNumberFormat="1" applyFont="1" applyFill="1" applyBorder="1" applyProtection="1">
      <protection hidden="1"/>
    </xf>
    <xf numFmtId="0" fontId="1" fillId="2" borderId="0" xfId="3" applyFill="1" applyProtection="1">
      <protection hidden="1"/>
    </xf>
    <xf numFmtId="0" fontId="1" fillId="2" borderId="1" xfId="3" applyFont="1" applyFill="1" applyBorder="1" applyProtection="1">
      <protection hidden="1"/>
    </xf>
    <xf numFmtId="0" fontId="9" fillId="3" borderId="2" xfId="3" applyFont="1" applyFill="1" applyBorder="1" applyProtection="1">
      <protection hidden="1"/>
    </xf>
    <xf numFmtId="1" fontId="8" fillId="2" borderId="0" xfId="3" applyNumberFormat="1" applyFont="1" applyFill="1" applyBorder="1" applyProtection="1">
      <protection hidden="1"/>
    </xf>
    <xf numFmtId="0" fontId="11" fillId="4" borderId="3" xfId="3" applyFont="1" applyFill="1" applyBorder="1" applyProtection="1">
      <protection hidden="1"/>
    </xf>
    <xf numFmtId="0" fontId="8" fillId="2" borderId="0" xfId="3" applyFont="1" applyFill="1" applyProtection="1">
      <protection hidden="1"/>
    </xf>
    <xf numFmtId="0" fontId="10" fillId="5" borderId="4" xfId="3" applyFont="1" applyFill="1" applyBorder="1" applyAlignment="1">
      <alignment horizontal="center" wrapText="1"/>
    </xf>
    <xf numFmtId="0" fontId="10" fillId="5" borderId="5" xfId="3" applyFont="1" applyFill="1" applyBorder="1" applyAlignment="1">
      <alignment horizontal="center" wrapText="1"/>
    </xf>
    <xf numFmtId="0" fontId="10" fillId="6" borderId="4" xfId="3" applyFont="1" applyFill="1" applyBorder="1" applyAlignment="1">
      <alignment horizontal="center" wrapText="1"/>
    </xf>
    <xf numFmtId="0" fontId="10" fillId="6" borderId="6" xfId="3" applyFont="1" applyFill="1" applyBorder="1" applyAlignment="1">
      <alignment horizontal="center" wrapText="1"/>
    </xf>
    <xf numFmtId="0" fontId="9" fillId="3" borderId="7" xfId="3" applyFont="1" applyFill="1" applyBorder="1" applyProtection="1">
      <protection hidden="1"/>
    </xf>
    <xf numFmtId="0" fontId="1" fillId="2" borderId="8" xfId="3" applyFont="1" applyFill="1" applyBorder="1" applyProtection="1">
      <protection hidden="1"/>
    </xf>
    <xf numFmtId="0" fontId="11" fillId="4" borderId="9" xfId="3" applyFont="1" applyFill="1" applyBorder="1" applyProtection="1">
      <protection hidden="1"/>
    </xf>
    <xf numFmtId="1" fontId="12" fillId="2" borderId="0" xfId="3" applyNumberFormat="1" applyFont="1" applyFill="1" applyBorder="1" applyProtection="1">
      <protection hidden="1"/>
    </xf>
    <xf numFmtId="165" fontId="13" fillId="2" borderId="0" xfId="3" applyNumberFormat="1" applyFont="1" applyFill="1" applyBorder="1" applyAlignment="1" applyProtection="1">
      <alignment horizontal="center"/>
      <protection hidden="1"/>
    </xf>
    <xf numFmtId="2" fontId="12" fillId="2" borderId="0" xfId="3" applyNumberFormat="1" applyFont="1" applyFill="1" applyBorder="1" applyAlignment="1" applyProtection="1">
      <alignment horizontal="center"/>
      <protection hidden="1"/>
    </xf>
    <xf numFmtId="0" fontId="1" fillId="2" borderId="10" xfId="3" applyFont="1" applyFill="1" applyBorder="1" applyProtection="1">
      <protection hidden="1"/>
    </xf>
    <xf numFmtId="0" fontId="11" fillId="4" borderId="11" xfId="3" applyFont="1" applyFill="1" applyBorder="1" applyProtection="1">
      <protection hidden="1"/>
    </xf>
    <xf numFmtId="0" fontId="14" fillId="2" borderId="0" xfId="3" applyFont="1" applyFill="1" applyBorder="1" applyProtection="1">
      <protection hidden="1"/>
    </xf>
    <xf numFmtId="0" fontId="15" fillId="2" borderId="0" xfId="3" applyFont="1" applyFill="1" applyBorder="1" applyAlignment="1" applyProtection="1">
      <alignment horizontal="center" wrapText="1"/>
      <protection hidden="1"/>
    </xf>
    <xf numFmtId="2" fontId="1" fillId="2" borderId="0" xfId="3" applyNumberFormat="1" applyFont="1" applyFill="1" applyBorder="1" applyAlignment="1" applyProtection="1">
      <alignment horizontal="center"/>
      <protection hidden="1"/>
    </xf>
    <xf numFmtId="0" fontId="8" fillId="2" borderId="0" xfId="3" applyFont="1" applyFill="1" applyBorder="1" applyProtection="1">
      <protection hidden="1"/>
    </xf>
    <xf numFmtId="1" fontId="1" fillId="2" borderId="0" xfId="3" applyNumberFormat="1" applyFont="1" applyFill="1" applyBorder="1" applyProtection="1"/>
    <xf numFmtId="0" fontId="1" fillId="2" borderId="12" xfId="3" applyFont="1" applyFill="1" applyBorder="1" applyProtection="1">
      <protection hidden="1"/>
    </xf>
    <xf numFmtId="0" fontId="11" fillId="4" borderId="13" xfId="3" applyFont="1" applyFill="1" applyBorder="1" applyProtection="1">
      <protection hidden="1"/>
    </xf>
    <xf numFmtId="0" fontId="10" fillId="7" borderId="14" xfId="3" applyFont="1" applyFill="1" applyBorder="1" applyAlignment="1">
      <alignment horizontal="center" wrapText="1"/>
    </xf>
    <xf numFmtId="0" fontId="10" fillId="7" borderId="4" xfId="3" applyFont="1" applyFill="1" applyBorder="1" applyAlignment="1">
      <alignment horizontal="center" wrapText="1"/>
    </xf>
    <xf numFmtId="0" fontId="10" fillId="7" borderId="5" xfId="3" applyFont="1" applyFill="1" applyBorder="1" applyAlignment="1">
      <alignment horizontal="center" wrapText="1"/>
    </xf>
    <xf numFmtId="0" fontId="1" fillId="2" borderId="0" xfId="3" applyFont="1" applyFill="1" applyBorder="1" applyAlignment="1" applyProtection="1">
      <alignment horizontal="center"/>
      <protection hidden="1"/>
    </xf>
    <xf numFmtId="0" fontId="1" fillId="2" borderId="0" xfId="3" applyFill="1" applyBorder="1" applyAlignment="1">
      <alignment wrapText="1"/>
    </xf>
    <xf numFmtId="0" fontId="1" fillId="2" borderId="0" xfId="3" applyFill="1" applyBorder="1" applyAlignment="1">
      <alignment horizontal="center"/>
    </xf>
    <xf numFmtId="0" fontId="11" fillId="2" borderId="0" xfId="3" applyFont="1" applyFill="1" applyBorder="1" applyProtection="1">
      <protection hidden="1"/>
    </xf>
    <xf numFmtId="0" fontId="1" fillId="2" borderId="0" xfId="3" applyFont="1" applyFill="1"/>
    <xf numFmtId="49" fontId="16" fillId="4" borderId="4" xfId="3" applyNumberFormat="1" applyFont="1" applyFill="1" applyBorder="1" applyAlignment="1">
      <alignment horizontal="center" wrapText="1"/>
    </xf>
    <xf numFmtId="49" fontId="16" fillId="4" borderId="5" xfId="3" applyNumberFormat="1" applyFont="1" applyFill="1" applyBorder="1" applyAlignment="1">
      <alignment horizontal="center" wrapText="1"/>
    </xf>
    <xf numFmtId="0" fontId="17" fillId="2" borderId="0" xfId="3" applyFont="1" applyFill="1"/>
    <xf numFmtId="49" fontId="1" fillId="2" borderId="0" xfId="3" applyNumberFormat="1" applyFill="1" applyBorder="1" applyProtection="1"/>
    <xf numFmtId="49" fontId="16" fillId="4" borderId="6" xfId="3" applyNumberFormat="1" applyFont="1" applyFill="1" applyBorder="1" applyAlignment="1">
      <alignment horizontal="center" wrapText="1"/>
    </xf>
    <xf numFmtId="49" fontId="12" fillId="2" borderId="0" xfId="3" applyNumberFormat="1" applyFont="1" applyFill="1" applyBorder="1" applyProtection="1">
      <protection hidden="1"/>
    </xf>
    <xf numFmtId="0" fontId="12" fillId="2" borderId="0" xfId="3" applyFont="1" applyFill="1" applyProtection="1">
      <protection hidden="1"/>
    </xf>
    <xf numFmtId="0" fontId="12" fillId="2" borderId="0" xfId="3" applyFont="1" applyFill="1" applyBorder="1" applyProtection="1">
      <protection hidden="1"/>
    </xf>
    <xf numFmtId="0" fontId="16" fillId="2" borderId="0" xfId="3" applyFont="1" applyFill="1" applyBorder="1" applyAlignment="1" applyProtection="1">
      <alignment horizontal="center" wrapText="1"/>
      <protection hidden="1"/>
    </xf>
    <xf numFmtId="0" fontId="12" fillId="2" borderId="0" xfId="3" applyFont="1" applyFill="1"/>
    <xf numFmtId="48" fontId="9" fillId="3" borderId="15" xfId="3" applyNumberFormat="1" applyFont="1" applyFill="1" applyBorder="1" applyAlignment="1" applyProtection="1">
      <alignment horizontal="center"/>
      <protection hidden="1"/>
    </xf>
    <xf numFmtId="48" fontId="11" fillId="4" borderId="16" xfId="3" applyNumberFormat="1" applyFont="1" applyFill="1" applyBorder="1" applyAlignment="1" applyProtection="1">
      <alignment horizontal="center"/>
      <protection hidden="1"/>
    </xf>
    <xf numFmtId="0" fontId="0" fillId="8" borderId="17" xfId="0" applyFill="1" applyBorder="1"/>
    <xf numFmtId="0" fontId="0" fillId="8" borderId="18" xfId="0" applyFill="1" applyBorder="1"/>
    <xf numFmtId="0" fontId="0" fillId="8" borderId="19" xfId="0" applyFill="1" applyBorder="1"/>
    <xf numFmtId="0" fontId="0" fillId="8" borderId="20" xfId="0" applyFill="1" applyBorder="1"/>
    <xf numFmtId="0" fontId="0" fillId="8" borderId="0" xfId="0" applyFill="1"/>
    <xf numFmtId="0" fontId="0" fillId="8" borderId="21" xfId="0" applyFill="1" applyBorder="1"/>
    <xf numFmtId="0" fontId="18" fillId="8" borderId="20" xfId="0" applyFont="1" applyFill="1" applyBorder="1"/>
    <xf numFmtId="0" fontId="18" fillId="8" borderId="0" xfId="0" applyFont="1" applyFill="1"/>
    <xf numFmtId="0" fontId="18" fillId="8" borderId="21" xfId="0" applyFont="1" applyFill="1" applyBorder="1"/>
    <xf numFmtId="0" fontId="19" fillId="8" borderId="20" xfId="0" applyFont="1" applyFill="1" applyBorder="1"/>
    <xf numFmtId="0" fontId="19" fillId="8" borderId="0" xfId="0" applyFont="1" applyFill="1"/>
    <xf numFmtId="0" fontId="19" fillId="8" borderId="21" xfId="0" applyFont="1" applyFill="1" applyBorder="1"/>
    <xf numFmtId="0" fontId="1" fillId="8" borderId="0" xfId="0" applyFont="1" applyFill="1"/>
    <xf numFmtId="0" fontId="0" fillId="9" borderId="0" xfId="0" applyFill="1"/>
    <xf numFmtId="0" fontId="0" fillId="8" borderId="22" xfId="0" applyFill="1" applyBorder="1"/>
    <xf numFmtId="0" fontId="0" fillId="8" borderId="23" xfId="0" applyFill="1" applyBorder="1"/>
    <xf numFmtId="0" fontId="0" fillId="8" borderId="24" xfId="0" applyFill="1" applyBorder="1"/>
    <xf numFmtId="0" fontId="0" fillId="8" borderId="25" xfId="0" applyFill="1" applyBorder="1"/>
    <xf numFmtId="0" fontId="5" fillId="8" borderId="0" xfId="0" applyFont="1" applyFill="1"/>
    <xf numFmtId="0" fontId="0" fillId="8" borderId="26" xfId="0" applyFill="1" applyBorder="1"/>
    <xf numFmtId="0" fontId="0" fillId="8" borderId="15" xfId="0" applyFill="1" applyBorder="1"/>
    <xf numFmtId="0" fontId="0" fillId="8" borderId="27" xfId="0" applyFill="1" applyBorder="1"/>
    <xf numFmtId="0" fontId="0" fillId="8" borderId="7" xfId="0" applyFill="1" applyBorder="1"/>
    <xf numFmtId="0" fontId="0" fillId="8" borderId="28" xfId="0" applyFill="1" applyBorder="1"/>
    <xf numFmtId="0" fontId="0" fillId="8" borderId="29" xfId="0" applyFill="1" applyBorder="1"/>
    <xf numFmtId="0" fontId="0" fillId="8" borderId="30" xfId="0" applyFill="1" applyBorder="1"/>
    <xf numFmtId="0" fontId="7" fillId="2" borderId="0" xfId="3" applyFont="1" applyFill="1" applyProtection="1">
      <protection hidden="1"/>
    </xf>
    <xf numFmtId="0" fontId="1" fillId="2" borderId="0" xfId="3" applyFont="1" applyFill="1" applyBorder="1"/>
    <xf numFmtId="0" fontId="31" fillId="0" borderId="0" xfId="0" applyFont="1" applyFill="1" applyBorder="1" applyProtection="1"/>
    <xf numFmtId="0" fontId="32" fillId="0" borderId="0" xfId="0" applyFont="1" applyFill="1" applyBorder="1" applyAlignment="1" applyProtection="1">
      <alignment horizontal="center"/>
    </xf>
    <xf numFmtId="0" fontId="31" fillId="0" borderId="0" xfId="0" applyFont="1" applyFill="1" applyBorder="1" applyAlignment="1" applyProtection="1">
      <alignment horizontal="center"/>
    </xf>
    <xf numFmtId="49" fontId="31" fillId="0" borderId="0" xfId="0" applyNumberFormat="1" applyFont="1" applyFill="1" applyBorder="1" applyProtection="1"/>
    <xf numFmtId="0" fontId="31" fillId="0" borderId="0" xfId="0" applyFont="1" applyFill="1" applyBorder="1" applyAlignment="1" applyProtection="1">
      <alignment horizontal="right"/>
    </xf>
    <xf numFmtId="0" fontId="33" fillId="0" borderId="0" xfId="0" applyFont="1" applyFill="1" applyProtection="1"/>
    <xf numFmtId="0" fontId="31" fillId="0" borderId="0" xfId="0" applyFont="1" applyFill="1" applyProtection="1"/>
    <xf numFmtId="166" fontId="31" fillId="10" borderId="31" xfId="0" applyNumberFormat="1" applyFont="1" applyFill="1" applyBorder="1" applyProtection="1"/>
    <xf numFmtId="166" fontId="31" fillId="11" borderId="31" xfId="0" applyNumberFormat="1" applyFont="1" applyFill="1" applyBorder="1" applyProtection="1"/>
    <xf numFmtId="48" fontId="31" fillId="11" borderId="31" xfId="0" applyNumberFormat="1" applyFont="1" applyFill="1" applyBorder="1" applyProtection="1"/>
    <xf numFmtId="165" fontId="31" fillId="11" borderId="31" xfId="0" applyNumberFormat="1" applyFont="1" applyFill="1" applyBorder="1" applyProtection="1"/>
    <xf numFmtId="0" fontId="31" fillId="10" borderId="31" xfId="0" applyFont="1" applyFill="1" applyBorder="1" applyProtection="1">
      <protection locked="0"/>
    </xf>
    <xf numFmtId="164" fontId="31" fillId="10" borderId="31" xfId="0" applyNumberFormat="1" applyFont="1" applyFill="1" applyBorder="1" applyProtection="1">
      <protection locked="0"/>
    </xf>
    <xf numFmtId="1" fontId="31" fillId="10" borderId="31" xfId="0" applyNumberFormat="1" applyFont="1" applyFill="1" applyBorder="1" applyProtection="1">
      <protection locked="0"/>
    </xf>
    <xf numFmtId="165" fontId="31" fillId="10" borderId="31" xfId="0" applyNumberFormat="1" applyFont="1" applyFill="1" applyBorder="1" applyProtection="1">
      <protection locked="0"/>
    </xf>
    <xf numFmtId="0" fontId="32" fillId="12" borderId="31" xfId="0" applyFont="1" applyFill="1" applyBorder="1" applyProtection="1"/>
    <xf numFmtId="48" fontId="32" fillId="12" borderId="31" xfId="0" applyNumberFormat="1" applyFont="1" applyFill="1" applyBorder="1" applyProtection="1"/>
    <xf numFmtId="170" fontId="32" fillId="12" borderId="31" xfId="0" applyNumberFormat="1" applyFont="1" applyFill="1" applyBorder="1" applyProtection="1"/>
    <xf numFmtId="165" fontId="32" fillId="12" borderId="31" xfId="0" applyNumberFormat="1" applyFont="1" applyFill="1" applyBorder="1" applyProtection="1"/>
    <xf numFmtId="9" fontId="31" fillId="11" borderId="31" xfId="5" applyFont="1" applyFill="1" applyBorder="1" applyProtection="1"/>
    <xf numFmtId="48" fontId="31" fillId="10" borderId="31" xfId="0" applyNumberFormat="1" applyFont="1" applyFill="1" applyBorder="1" applyProtection="1">
      <protection locked="0"/>
    </xf>
    <xf numFmtId="0" fontId="31" fillId="11" borderId="31" xfId="3" applyFont="1" applyFill="1" applyBorder="1" applyProtection="1"/>
    <xf numFmtId="48" fontId="31" fillId="11" borderId="31" xfId="0" applyNumberFormat="1" applyFont="1" applyFill="1" applyBorder="1" applyAlignment="1" applyProtection="1">
      <alignment horizontal="right" readingOrder="1"/>
    </xf>
    <xf numFmtId="2" fontId="32" fillId="12" borderId="31" xfId="0" applyNumberFormat="1" applyFont="1" applyFill="1" applyBorder="1" applyProtection="1"/>
    <xf numFmtId="48" fontId="31" fillId="11" borderId="31" xfId="3" applyNumberFormat="1" applyFont="1" applyFill="1" applyBorder="1" applyAlignment="1" applyProtection="1">
      <alignment horizontal="center"/>
    </xf>
    <xf numFmtId="164" fontId="31" fillId="11" borderId="31" xfId="0" applyNumberFormat="1" applyFont="1" applyFill="1" applyBorder="1" applyProtection="1"/>
    <xf numFmtId="2" fontId="31" fillId="11" borderId="31" xfId="0" applyNumberFormat="1" applyFont="1" applyFill="1" applyBorder="1" applyProtection="1"/>
    <xf numFmtId="166" fontId="31" fillId="10" borderId="31" xfId="0" applyNumberFormat="1" applyFont="1" applyFill="1" applyBorder="1" applyProtection="1">
      <protection locked="0"/>
    </xf>
    <xf numFmtId="2" fontId="31" fillId="10" borderId="31" xfId="0" applyNumberFormat="1" applyFont="1" applyFill="1" applyBorder="1" applyProtection="1">
      <protection locked="0"/>
    </xf>
    <xf numFmtId="0" fontId="1" fillId="11" borderId="31" xfId="0" applyFont="1" applyFill="1" applyBorder="1" applyProtection="1">
      <protection hidden="1"/>
    </xf>
    <xf numFmtId="48" fontId="1" fillId="11" borderId="31" xfId="0" applyNumberFormat="1" applyFont="1" applyFill="1" applyBorder="1" applyProtection="1">
      <protection hidden="1"/>
    </xf>
    <xf numFmtId="165" fontId="1" fillId="11" borderId="31" xfId="0" applyNumberFormat="1" applyFont="1" applyFill="1" applyBorder="1" applyProtection="1">
      <protection hidden="1"/>
    </xf>
    <xf numFmtId="2" fontId="1" fillId="11" borderId="31" xfId="0" applyNumberFormat="1" applyFont="1" applyFill="1" applyBorder="1" applyProtection="1">
      <protection hidden="1"/>
    </xf>
    <xf numFmtId="164" fontId="32" fillId="12" borderId="31" xfId="0" applyNumberFormat="1" applyFont="1" applyFill="1" applyBorder="1" applyProtection="1"/>
    <xf numFmtId="0" fontId="1" fillId="0" borderId="0" xfId="2"/>
    <xf numFmtId="0" fontId="1" fillId="0" borderId="0" xfId="2" applyFill="1" applyProtection="1"/>
    <xf numFmtId="0" fontId="1" fillId="0" borderId="0" xfId="2" applyFill="1" applyAlignment="1" applyProtection="1">
      <alignment horizontal="right"/>
    </xf>
    <xf numFmtId="0" fontId="23" fillId="0" borderId="0" xfId="2" applyFont="1" applyFill="1" applyAlignment="1" applyProtection="1">
      <alignment horizontal="left"/>
    </xf>
    <xf numFmtId="0" fontId="1" fillId="0" borderId="0" xfId="2" applyFont="1" applyFill="1" applyAlignment="1" applyProtection="1">
      <alignment horizontal="left"/>
    </xf>
    <xf numFmtId="0" fontId="25" fillId="0" borderId="0" xfId="2" applyFont="1" applyFill="1" applyAlignment="1" applyProtection="1">
      <alignment horizontal="center"/>
    </xf>
    <xf numFmtId="165" fontId="25" fillId="0" borderId="0" xfId="2" applyNumberFormat="1" applyFont="1" applyFill="1" applyAlignment="1" applyProtection="1">
      <alignment horizontal="center"/>
    </xf>
    <xf numFmtId="0" fontId="1" fillId="0" borderId="0" xfId="2" applyFill="1" applyAlignment="1" applyProtection="1">
      <alignment horizontal="left"/>
    </xf>
    <xf numFmtId="11" fontId="1" fillId="0" borderId="0" xfId="2" applyNumberFormat="1" applyFill="1" applyAlignment="1" applyProtection="1">
      <alignment horizontal="left"/>
    </xf>
    <xf numFmtId="2" fontId="1" fillId="0" borderId="0" xfId="2" applyNumberFormat="1" applyFill="1" applyAlignment="1" applyProtection="1">
      <alignment horizontal="left"/>
    </xf>
    <xf numFmtId="0" fontId="31" fillId="11" borderId="31" xfId="0" applyFont="1" applyFill="1" applyBorder="1" applyProtection="1"/>
    <xf numFmtId="48" fontId="31" fillId="11" borderId="31" xfId="5" applyNumberFormat="1" applyFont="1" applyFill="1" applyBorder="1" applyProtection="1"/>
    <xf numFmtId="0" fontId="24" fillId="8" borderId="0" xfId="1" applyFill="1" applyAlignment="1" applyProtection="1"/>
    <xf numFmtId="0" fontId="34" fillId="13" borderId="31" xfId="0" applyFont="1" applyFill="1" applyBorder="1" applyAlignment="1" applyProtection="1">
      <alignment horizontal="center"/>
    </xf>
    <xf numFmtId="0" fontId="34" fillId="13" borderId="32" xfId="0" applyFont="1" applyFill="1" applyBorder="1" applyAlignment="1" applyProtection="1">
      <alignment horizontal="center"/>
    </xf>
    <xf numFmtId="9" fontId="31" fillId="10" borderId="31" xfId="5" applyFont="1" applyFill="1" applyBorder="1" applyProtection="1">
      <protection locked="0"/>
    </xf>
    <xf numFmtId="48" fontId="31" fillId="10" borderId="31" xfId="0" applyNumberFormat="1" applyFont="1" applyFill="1" applyBorder="1" applyAlignment="1" applyProtection="1">
      <alignment horizontal="right"/>
      <protection locked="0"/>
    </xf>
    <xf numFmtId="48" fontId="31" fillId="11" borderId="31" xfId="0" applyNumberFormat="1" applyFont="1" applyFill="1" applyBorder="1" applyAlignment="1" applyProtection="1">
      <alignment horizontal="right"/>
    </xf>
    <xf numFmtId="0" fontId="31" fillId="11" borderId="31" xfId="0" applyFont="1" applyFill="1" applyBorder="1" applyAlignment="1" applyProtection="1">
      <alignment horizontal="right"/>
    </xf>
    <xf numFmtId="165" fontId="31" fillId="11" borderId="31" xfId="0" applyNumberFormat="1" applyFont="1" applyFill="1" applyBorder="1" applyAlignment="1" applyProtection="1">
      <alignment horizontal="right"/>
    </xf>
    <xf numFmtId="0" fontId="34" fillId="13" borderId="33" xfId="0" applyFont="1" applyFill="1" applyBorder="1" applyAlignment="1" applyProtection="1"/>
    <xf numFmtId="11" fontId="34" fillId="13" borderId="33" xfId="0" applyNumberFormat="1" applyFont="1" applyFill="1" applyBorder="1" applyAlignment="1" applyProtection="1">
      <alignment horizontal="left"/>
    </xf>
    <xf numFmtId="0" fontId="32" fillId="10" borderId="31" xfId="0" applyFont="1" applyFill="1" applyBorder="1" applyAlignment="1" applyProtection="1">
      <alignment horizontal="center"/>
    </xf>
    <xf numFmtId="0" fontId="32" fillId="12" borderId="31" xfId="0" applyFont="1" applyFill="1" applyBorder="1" applyAlignment="1" applyProtection="1">
      <alignment horizontal="center"/>
    </xf>
    <xf numFmtId="0" fontId="32" fillId="11" borderId="31" xfId="0" applyFont="1" applyFill="1" applyBorder="1" applyAlignment="1" applyProtection="1">
      <alignment horizontal="center"/>
    </xf>
    <xf numFmtId="0" fontId="31" fillId="0" borderId="0" xfId="0" applyFont="1" applyFill="1" applyAlignment="1" applyProtection="1"/>
    <xf numFmtId="0" fontId="32" fillId="0" borderId="31" xfId="0" applyFont="1" applyFill="1" applyBorder="1" applyAlignment="1" applyProtection="1">
      <alignment horizontal="center"/>
    </xf>
    <xf numFmtId="0" fontId="31" fillId="0" borderId="31" xfId="0" applyFont="1" applyFill="1" applyBorder="1" applyAlignment="1" applyProtection="1">
      <alignment horizontal="right"/>
    </xf>
    <xf numFmtId="48" fontId="31" fillId="0" borderId="31" xfId="0" applyNumberFormat="1" applyFont="1" applyFill="1" applyBorder="1" applyAlignment="1" applyProtection="1">
      <alignment horizontal="right" readingOrder="1"/>
    </xf>
    <xf numFmtId="0" fontId="31" fillId="0" borderId="31" xfId="0" applyFont="1" applyFill="1" applyBorder="1" applyProtection="1"/>
    <xf numFmtId="166" fontId="31" fillId="0" borderId="31" xfId="0" applyNumberFormat="1" applyFont="1" applyFill="1" applyBorder="1" applyProtection="1"/>
    <xf numFmtId="165" fontId="31" fillId="0" borderId="31" xfId="0" applyNumberFormat="1" applyFont="1" applyFill="1" applyBorder="1" applyProtection="1"/>
    <xf numFmtId="48" fontId="31" fillId="0" borderId="31" xfId="0" applyNumberFormat="1" applyFont="1" applyFill="1" applyBorder="1" applyProtection="1"/>
    <xf numFmtId="2" fontId="31" fillId="0" borderId="31" xfId="0" applyNumberFormat="1" applyFont="1" applyFill="1" applyBorder="1" applyProtection="1"/>
    <xf numFmtId="0" fontId="32" fillId="0" borderId="31" xfId="0" applyFont="1" applyFill="1" applyBorder="1" applyProtection="1"/>
    <xf numFmtId="48" fontId="32" fillId="0" borderId="31" xfId="0" applyNumberFormat="1" applyFont="1" applyFill="1" applyBorder="1" applyProtection="1"/>
    <xf numFmtId="0" fontId="35" fillId="14" borderId="0" xfId="0" applyFont="1" applyFill="1" applyBorder="1" applyProtection="1"/>
    <xf numFmtId="0" fontId="31" fillId="14" borderId="0" xfId="0" applyFont="1" applyFill="1" applyBorder="1" applyProtection="1"/>
    <xf numFmtId="0" fontId="34" fillId="14" borderId="0" xfId="0" applyFont="1" applyFill="1" applyBorder="1" applyProtection="1"/>
    <xf numFmtId="0" fontId="33" fillId="14" borderId="0" xfId="0" applyFont="1" applyFill="1" applyBorder="1" applyAlignment="1" applyProtection="1">
      <alignment horizontal="right"/>
    </xf>
    <xf numFmtId="0" fontId="34" fillId="14" borderId="0" xfId="0" applyFont="1" applyFill="1" applyBorder="1" applyAlignment="1" applyProtection="1">
      <alignment horizontal="right"/>
    </xf>
    <xf numFmtId="0" fontId="31" fillId="14" borderId="0" xfId="0" applyFont="1" applyFill="1" applyBorder="1" applyAlignment="1" applyProtection="1">
      <alignment horizontal="center"/>
    </xf>
    <xf numFmtId="49" fontId="31" fillId="14" borderId="0" xfId="0" applyNumberFormat="1" applyFont="1" applyFill="1" applyBorder="1" applyProtection="1"/>
    <xf numFmtId="11" fontId="31" fillId="14" borderId="0" xfId="0" applyNumberFormat="1" applyFont="1" applyFill="1" applyBorder="1" applyProtection="1"/>
    <xf numFmtId="0" fontId="32" fillId="14" borderId="0" xfId="0" applyFont="1" applyFill="1" applyBorder="1" applyAlignment="1" applyProtection="1">
      <alignment horizontal="right"/>
    </xf>
    <xf numFmtId="0" fontId="31" fillId="14" borderId="0" xfId="0" applyFont="1" applyFill="1" applyBorder="1" applyAlignment="1" applyProtection="1">
      <alignment horizontal="right"/>
    </xf>
    <xf numFmtId="0" fontId="33" fillId="14" borderId="0" xfId="0" applyFont="1" applyFill="1" applyProtection="1"/>
    <xf numFmtId="49" fontId="33" fillId="14" borderId="0" xfId="0" applyNumberFormat="1" applyFont="1" applyFill="1" applyProtection="1"/>
    <xf numFmtId="0" fontId="36" fillId="14" borderId="34" xfId="0" applyFont="1" applyFill="1" applyBorder="1" applyAlignment="1" applyProtection="1">
      <alignment horizontal="right"/>
    </xf>
    <xf numFmtId="49" fontId="31" fillId="14" borderId="0" xfId="0" applyNumberFormat="1" applyFont="1" applyFill="1" applyAlignment="1" applyProtection="1"/>
    <xf numFmtId="0" fontId="31" fillId="14" borderId="0" xfId="0" applyFont="1" applyFill="1" applyAlignment="1" applyProtection="1"/>
    <xf numFmtId="0" fontId="31" fillId="14" borderId="31" xfId="0" applyFont="1" applyFill="1" applyBorder="1" applyAlignment="1" applyProtection="1">
      <alignment horizontal="right"/>
    </xf>
    <xf numFmtId="49" fontId="31" fillId="14" borderId="0" xfId="0" applyNumberFormat="1" applyFont="1" applyFill="1" applyProtection="1"/>
    <xf numFmtId="0" fontId="31" fillId="14" borderId="0" xfId="0" applyFont="1" applyFill="1" applyProtection="1"/>
    <xf numFmtId="165" fontId="31" fillId="14" borderId="0" xfId="0" applyNumberFormat="1" applyFont="1" applyFill="1" applyBorder="1" applyAlignment="1" applyProtection="1">
      <alignment horizontal="right"/>
    </xf>
    <xf numFmtId="11" fontId="32" fillId="14" borderId="0" xfId="0" applyNumberFormat="1" applyFont="1" applyFill="1" applyBorder="1" applyProtection="1"/>
    <xf numFmtId="0" fontId="32" fillId="14" borderId="0" xfId="0" applyFont="1" applyFill="1" applyBorder="1" applyAlignment="1" applyProtection="1">
      <alignment horizontal="center"/>
    </xf>
    <xf numFmtId="0" fontId="32" fillId="14" borderId="0" xfId="0" applyFont="1" applyFill="1" applyBorder="1" applyProtection="1"/>
    <xf numFmtId="0" fontId="32" fillId="14" borderId="34" xfId="0" applyFont="1" applyFill="1" applyBorder="1" applyProtection="1"/>
    <xf numFmtId="0" fontId="31" fillId="14" borderId="34" xfId="0" applyFont="1" applyFill="1" applyBorder="1" applyProtection="1"/>
    <xf numFmtId="0" fontId="32" fillId="14" borderId="34" xfId="0" applyFont="1" applyFill="1" applyBorder="1" applyAlignment="1" applyProtection="1">
      <alignment horizontal="center"/>
    </xf>
    <xf numFmtId="11" fontId="32" fillId="14" borderId="34" xfId="0" applyNumberFormat="1" applyFont="1" applyFill="1" applyBorder="1" applyProtection="1"/>
    <xf numFmtId="165" fontId="31" fillId="14" borderId="0" xfId="0" applyNumberFormat="1" applyFont="1" applyFill="1" applyBorder="1" applyProtection="1"/>
    <xf numFmtId="48" fontId="31" fillId="14" borderId="0" xfId="0" applyNumberFormat="1" applyFont="1" applyFill="1" applyBorder="1" applyProtection="1"/>
    <xf numFmtId="0" fontId="31" fillId="14" borderId="34" xfId="0" applyFont="1" applyFill="1" applyBorder="1" applyAlignment="1" applyProtection="1">
      <alignment horizontal="center"/>
    </xf>
    <xf numFmtId="169" fontId="31" fillId="14" borderId="0" xfId="0" applyNumberFormat="1" applyFont="1" applyFill="1" applyBorder="1" applyProtection="1"/>
    <xf numFmtId="11" fontId="31" fillId="14" borderId="34" xfId="0" applyNumberFormat="1" applyFont="1" applyFill="1" applyBorder="1" applyProtection="1"/>
    <xf numFmtId="48" fontId="31" fillId="14" borderId="34" xfId="0" applyNumberFormat="1" applyFont="1" applyFill="1" applyBorder="1" applyProtection="1"/>
    <xf numFmtId="49" fontId="32" fillId="14" borderId="0" xfId="0" applyNumberFormat="1" applyFont="1" applyFill="1" applyBorder="1" applyProtection="1"/>
    <xf numFmtId="0" fontId="34" fillId="14" borderId="0" xfId="0" applyFont="1" applyFill="1" applyBorder="1" applyAlignment="1" applyProtection="1">
      <alignment horizontal="left"/>
    </xf>
    <xf numFmtId="0" fontId="34" fillId="14" borderId="0" xfId="0" applyFont="1" applyFill="1" applyBorder="1" applyAlignment="1" applyProtection="1">
      <alignment horizontal="center"/>
    </xf>
    <xf numFmtId="0" fontId="34" fillId="14" borderId="35" xfId="0" applyFont="1" applyFill="1" applyBorder="1" applyProtection="1"/>
    <xf numFmtId="0" fontId="34" fillId="14" borderId="36" xfId="0" applyFont="1" applyFill="1" applyBorder="1" applyAlignment="1" applyProtection="1">
      <alignment horizontal="center"/>
    </xf>
    <xf numFmtId="11" fontId="34" fillId="14" borderId="0" xfId="0" applyNumberFormat="1" applyFont="1" applyFill="1" applyBorder="1" applyProtection="1"/>
    <xf numFmtId="0" fontId="31" fillId="14" borderId="31" xfId="0" applyFont="1" applyFill="1" applyBorder="1" applyAlignment="1" applyProtection="1">
      <alignment horizontal="center"/>
    </xf>
    <xf numFmtId="0" fontId="36" fillId="0" borderId="31" xfId="0" applyFont="1" applyFill="1" applyBorder="1" applyAlignment="1" applyProtection="1">
      <alignment horizontal="center"/>
    </xf>
    <xf numFmtId="11" fontId="31" fillId="0" borderId="31" xfId="0" applyNumberFormat="1" applyFont="1" applyFill="1" applyBorder="1" applyProtection="1"/>
    <xf numFmtId="0" fontId="32" fillId="0" borderId="31" xfId="0" applyFont="1" applyFill="1" applyBorder="1" applyAlignment="1" applyProtection="1">
      <alignment horizontal="right"/>
    </xf>
    <xf numFmtId="0" fontId="31" fillId="0" borderId="31" xfId="0" applyFont="1" applyFill="1" applyBorder="1" applyAlignment="1" applyProtection="1">
      <alignment horizontal="center"/>
    </xf>
    <xf numFmtId="0" fontId="31" fillId="0" borderId="31" xfId="2" applyFont="1" applyFill="1" applyBorder="1" applyAlignment="1" applyProtection="1">
      <alignment horizontal="right"/>
    </xf>
    <xf numFmtId="166" fontId="32" fillId="0" borderId="31" xfId="0" applyNumberFormat="1" applyFont="1" applyFill="1" applyBorder="1" applyProtection="1"/>
    <xf numFmtId="0" fontId="31" fillId="0" borderId="31" xfId="2" applyFont="1" applyFill="1" applyBorder="1" applyProtection="1"/>
    <xf numFmtId="166" fontId="31" fillId="0" borderId="31" xfId="0" applyNumberFormat="1" applyFont="1" applyFill="1" applyBorder="1" applyAlignment="1" applyProtection="1">
      <alignment horizontal="center"/>
    </xf>
    <xf numFmtId="0" fontId="31" fillId="0" borderId="31" xfId="0" applyFont="1" applyFill="1" applyBorder="1" applyAlignment="1" applyProtection="1">
      <alignment wrapText="1"/>
    </xf>
    <xf numFmtId="0" fontId="34" fillId="12" borderId="37" xfId="0" applyFont="1" applyFill="1" applyBorder="1" applyAlignment="1" applyProtection="1">
      <alignment horizontal="center"/>
    </xf>
    <xf numFmtId="0" fontId="34" fillId="12" borderId="38" xfId="0" applyFont="1" applyFill="1" applyBorder="1" applyAlignment="1" applyProtection="1">
      <alignment horizontal="center"/>
    </xf>
    <xf numFmtId="0" fontId="34" fillId="12" borderId="39" xfId="0" applyFont="1" applyFill="1" applyBorder="1" applyAlignment="1" applyProtection="1">
      <alignment horizontal="center"/>
    </xf>
    <xf numFmtId="0" fontId="32" fillId="12" borderId="31" xfId="0" applyFont="1" applyFill="1" applyBorder="1" applyAlignment="1" applyProtection="1">
      <alignment horizontal="right"/>
    </xf>
    <xf numFmtId="0" fontId="31" fillId="12" borderId="31" xfId="0" applyFont="1" applyFill="1" applyBorder="1" applyProtection="1"/>
    <xf numFmtId="0" fontId="31" fillId="15" borderId="39" xfId="0" applyFont="1" applyFill="1" applyBorder="1" applyProtection="1"/>
    <xf numFmtId="0" fontId="32" fillId="15" borderId="40" xfId="0" applyFont="1" applyFill="1" applyBorder="1" applyAlignment="1" applyProtection="1">
      <alignment horizontal="center"/>
    </xf>
    <xf numFmtId="0" fontId="31" fillId="15" borderId="40" xfId="0" applyFont="1" applyFill="1" applyBorder="1" applyProtection="1"/>
    <xf numFmtId="0" fontId="31" fillId="15" borderId="40" xfId="0" applyFont="1" applyFill="1" applyBorder="1" applyAlignment="1" applyProtection="1">
      <alignment horizontal="center"/>
    </xf>
    <xf numFmtId="0" fontId="31" fillId="15" borderId="41" xfId="0" applyFont="1" applyFill="1" applyBorder="1" applyProtection="1"/>
    <xf numFmtId="49" fontId="31" fillId="15" borderId="37" xfId="0" applyNumberFormat="1" applyFont="1" applyFill="1" applyBorder="1" applyProtection="1"/>
    <xf numFmtId="0" fontId="31" fillId="15" borderId="42" xfId="0" applyFont="1" applyFill="1" applyBorder="1" applyProtection="1"/>
    <xf numFmtId="0" fontId="33" fillId="15" borderId="36" xfId="0" applyFont="1" applyFill="1" applyBorder="1" applyProtection="1"/>
    <xf numFmtId="0" fontId="33" fillId="15" borderId="42" xfId="0" applyFont="1" applyFill="1" applyBorder="1" applyProtection="1"/>
    <xf numFmtId="0" fontId="31" fillId="15" borderId="42" xfId="0" applyFont="1" applyFill="1" applyBorder="1" applyAlignment="1" applyProtection="1"/>
    <xf numFmtId="0" fontId="31" fillId="15" borderId="36" xfId="0" applyFont="1" applyFill="1" applyBorder="1" applyProtection="1"/>
    <xf numFmtId="0" fontId="32" fillId="15" borderId="41" xfId="0" applyFont="1" applyFill="1" applyBorder="1" applyAlignment="1" applyProtection="1">
      <alignment horizontal="center"/>
    </xf>
    <xf numFmtId="0" fontId="31" fillId="15" borderId="41" xfId="0" applyFont="1" applyFill="1" applyBorder="1" applyAlignment="1" applyProtection="1">
      <alignment horizontal="center"/>
    </xf>
    <xf numFmtId="0" fontId="31" fillId="15" borderId="0" xfId="0" applyFont="1" applyFill="1" applyBorder="1" applyProtection="1"/>
    <xf numFmtId="49" fontId="31" fillId="15" borderId="35" xfId="0" applyNumberFormat="1" applyFont="1" applyFill="1" applyBorder="1" applyProtection="1"/>
    <xf numFmtId="0" fontId="32" fillId="15" borderId="34" xfId="0" applyFont="1" applyFill="1" applyBorder="1" applyAlignment="1" applyProtection="1">
      <alignment horizontal="center"/>
    </xf>
    <xf numFmtId="0" fontId="31" fillId="15" borderId="34" xfId="0" applyFont="1" applyFill="1" applyBorder="1" applyProtection="1"/>
    <xf numFmtId="0" fontId="31" fillId="15" borderId="34" xfId="0" applyFont="1" applyFill="1" applyBorder="1" applyAlignment="1" applyProtection="1">
      <alignment horizontal="center"/>
    </xf>
    <xf numFmtId="49" fontId="34" fillId="15" borderId="0" xfId="0" applyNumberFormat="1" applyFont="1" applyFill="1" applyBorder="1" applyProtection="1"/>
    <xf numFmtId="49" fontId="33" fillId="15" borderId="35" xfId="0" applyNumberFormat="1" applyFont="1" applyFill="1" applyBorder="1" applyProtection="1"/>
    <xf numFmtId="49" fontId="31" fillId="15" borderId="36" xfId="0" applyNumberFormat="1" applyFont="1" applyFill="1" applyBorder="1" applyAlignment="1" applyProtection="1"/>
    <xf numFmtId="0" fontId="31" fillId="15" borderId="35" xfId="0" applyFont="1" applyFill="1" applyBorder="1" applyAlignment="1" applyProtection="1"/>
    <xf numFmtId="49" fontId="31" fillId="15" borderId="36" xfId="0" applyNumberFormat="1" applyFont="1" applyFill="1" applyBorder="1" applyProtection="1"/>
    <xf numFmtId="0" fontId="31" fillId="15" borderId="35" xfId="0" applyFont="1" applyFill="1" applyBorder="1" applyProtection="1"/>
    <xf numFmtId="11" fontId="32" fillId="15" borderId="0" xfId="0" applyNumberFormat="1" applyFont="1" applyFill="1" applyBorder="1" applyProtection="1"/>
    <xf numFmtId="11" fontId="32" fillId="15" borderId="36" xfId="0" applyNumberFormat="1" applyFont="1" applyFill="1" applyBorder="1" applyProtection="1"/>
    <xf numFmtId="0" fontId="32" fillId="15" borderId="36" xfId="0" applyFont="1" applyFill="1" applyBorder="1" applyProtection="1"/>
    <xf numFmtId="49" fontId="32" fillId="15" borderId="35" xfId="0" applyNumberFormat="1" applyFont="1" applyFill="1" applyBorder="1" applyProtection="1"/>
    <xf numFmtId="11" fontId="31" fillId="15" borderId="36" xfId="0" applyNumberFormat="1" applyFont="1" applyFill="1" applyBorder="1" applyProtection="1"/>
    <xf numFmtId="165" fontId="31" fillId="15" borderId="36" xfId="0" applyNumberFormat="1" applyFont="1" applyFill="1" applyBorder="1" applyProtection="1"/>
    <xf numFmtId="0" fontId="32" fillId="15" borderId="0" xfId="0" applyFont="1" applyFill="1" applyBorder="1" applyProtection="1"/>
    <xf numFmtId="0" fontId="34" fillId="15" borderId="0" xfId="0" applyFont="1" applyFill="1" applyBorder="1" applyProtection="1"/>
    <xf numFmtId="0" fontId="34" fillId="15" borderId="36" xfId="0" applyFont="1" applyFill="1" applyBorder="1" applyProtection="1"/>
    <xf numFmtId="9" fontId="31" fillId="0" borderId="31" xfId="5" applyFont="1" applyFill="1" applyBorder="1" applyAlignment="1" applyProtection="1">
      <alignment horizontal="right" readingOrder="1"/>
    </xf>
    <xf numFmtId="0" fontId="1" fillId="14" borderId="0" xfId="0" applyFont="1" applyFill="1" applyProtection="1">
      <protection hidden="1"/>
    </xf>
    <xf numFmtId="0" fontId="1" fillId="14" borderId="0" xfId="0" applyFont="1" applyFill="1" applyBorder="1" applyAlignment="1" applyProtection="1">
      <alignment horizontal="right"/>
      <protection hidden="1"/>
    </xf>
    <xf numFmtId="0" fontId="1" fillId="14" borderId="0" xfId="0" applyFont="1" applyFill="1" applyAlignment="1" applyProtection="1">
      <alignment horizontal="right"/>
      <protection hidden="1"/>
    </xf>
    <xf numFmtId="48" fontId="1" fillId="14" borderId="0" xfId="0" applyNumberFormat="1" applyFont="1" applyFill="1" applyBorder="1" applyProtection="1">
      <protection hidden="1"/>
    </xf>
    <xf numFmtId="0" fontId="1" fillId="14" borderId="0" xfId="0" applyFont="1" applyFill="1" applyBorder="1" applyProtection="1">
      <protection hidden="1"/>
    </xf>
    <xf numFmtId="0" fontId="1" fillId="14" borderId="0" xfId="0" applyFont="1" applyFill="1" applyBorder="1" applyAlignment="1" applyProtection="1">
      <alignment horizontal="right"/>
    </xf>
    <xf numFmtId="0" fontId="4" fillId="14" borderId="0" xfId="0" applyFont="1" applyFill="1" applyBorder="1" applyAlignment="1" applyProtection="1">
      <alignment horizontal="center"/>
      <protection hidden="1"/>
    </xf>
    <xf numFmtId="165" fontId="1" fillId="14" borderId="0" xfId="0" applyNumberFormat="1" applyFont="1" applyFill="1" applyBorder="1" applyProtection="1">
      <protection hidden="1"/>
    </xf>
    <xf numFmtId="11" fontId="1" fillId="11" borderId="31" xfId="0" applyNumberFormat="1" applyFont="1" applyFill="1" applyBorder="1" applyProtection="1">
      <protection hidden="1"/>
    </xf>
    <xf numFmtId="0" fontId="37" fillId="14" borderId="0" xfId="0" applyFont="1" applyFill="1" applyProtection="1">
      <protection hidden="1"/>
    </xf>
    <xf numFmtId="0" fontId="38" fillId="14" borderId="0" xfId="0" applyFont="1" applyFill="1" applyProtection="1">
      <protection hidden="1"/>
    </xf>
    <xf numFmtId="48" fontId="37" fillId="14" borderId="0" xfId="0" applyNumberFormat="1" applyFont="1" applyFill="1" applyProtection="1">
      <protection hidden="1"/>
    </xf>
    <xf numFmtId="48" fontId="37" fillId="14" borderId="0" xfId="0" applyNumberFormat="1" applyFont="1" applyFill="1" applyBorder="1" applyProtection="1">
      <protection hidden="1"/>
    </xf>
    <xf numFmtId="166" fontId="37" fillId="14" borderId="0" xfId="0" applyNumberFormat="1" applyFont="1" applyFill="1" applyBorder="1" applyProtection="1">
      <protection hidden="1"/>
    </xf>
    <xf numFmtId="0" fontId="37" fillId="14" borderId="0" xfId="0" quotePrefix="1" applyFont="1" applyFill="1" applyProtection="1">
      <protection hidden="1"/>
    </xf>
    <xf numFmtId="0" fontId="39" fillId="14" borderId="0" xfId="4" applyFont="1" applyFill="1" applyProtection="1">
      <protection hidden="1"/>
    </xf>
    <xf numFmtId="11" fontId="37" fillId="14" borderId="0" xfId="0" applyNumberFormat="1" applyFont="1" applyFill="1" applyProtection="1">
      <protection hidden="1"/>
    </xf>
    <xf numFmtId="11" fontId="39" fillId="14" borderId="0" xfId="4" applyNumberFormat="1" applyFont="1" applyFill="1" applyProtection="1">
      <protection hidden="1"/>
    </xf>
    <xf numFmtId="0" fontId="37" fillId="14" borderId="0" xfId="0" applyFont="1" applyFill="1" applyAlignment="1" applyProtection="1">
      <alignment horizontal="right"/>
      <protection hidden="1"/>
    </xf>
    <xf numFmtId="0" fontId="37" fillId="14" borderId="0" xfId="0" applyFont="1" applyFill="1" applyBorder="1" applyAlignment="1" applyProtection="1">
      <alignment horizontal="right"/>
      <protection hidden="1"/>
    </xf>
    <xf numFmtId="0" fontId="37" fillId="14" borderId="0" xfId="0" applyFont="1" applyFill="1" applyBorder="1" applyProtection="1">
      <protection hidden="1"/>
    </xf>
    <xf numFmtId="1" fontId="37" fillId="14" borderId="0" xfId="0" applyNumberFormat="1" applyFont="1" applyFill="1" applyBorder="1" applyProtection="1">
      <protection hidden="1"/>
    </xf>
    <xf numFmtId="48" fontId="37" fillId="14" borderId="0" xfId="3" applyNumberFormat="1" applyFont="1" applyFill="1" applyBorder="1" applyAlignment="1" applyProtection="1">
      <alignment horizontal="center"/>
    </xf>
    <xf numFmtId="0" fontId="37" fillId="14" borderId="0" xfId="3" applyFont="1" applyFill="1" applyBorder="1" applyProtection="1"/>
    <xf numFmtId="165" fontId="37" fillId="14" borderId="0" xfId="0" applyNumberFormat="1" applyFont="1" applyFill="1" applyBorder="1" applyProtection="1">
      <protection hidden="1"/>
    </xf>
    <xf numFmtId="0" fontId="37" fillId="14" borderId="0" xfId="0" applyFont="1" applyFill="1" applyBorder="1" applyAlignment="1" applyProtection="1">
      <alignment horizontal="right"/>
    </xf>
    <xf numFmtId="1" fontId="37" fillId="14" borderId="0" xfId="0" applyNumberFormat="1" applyFont="1" applyFill="1" applyBorder="1" applyProtection="1"/>
    <xf numFmtId="166" fontId="37" fillId="14" borderId="0" xfId="0" applyNumberFormat="1" applyFont="1" applyFill="1" applyBorder="1" applyProtection="1"/>
    <xf numFmtId="0" fontId="27" fillId="2" borderId="0" xfId="0" applyFont="1" applyFill="1"/>
    <xf numFmtId="0" fontId="1" fillId="2" borderId="0" xfId="0" applyFont="1" applyFill="1"/>
    <xf numFmtId="0" fontId="28" fillId="2" borderId="0" xfId="0" applyFont="1" applyFill="1"/>
    <xf numFmtId="0" fontId="32" fillId="10" borderId="31" xfId="0" applyFont="1" applyFill="1" applyBorder="1" applyAlignment="1" applyProtection="1">
      <alignment horizontal="center"/>
      <protection locked="0"/>
    </xf>
    <xf numFmtId="0" fontId="1" fillId="10" borderId="31" xfId="0" applyFont="1" applyFill="1" applyBorder="1" applyProtection="1">
      <protection locked="0"/>
    </xf>
    <xf numFmtId="11" fontId="1" fillId="10" borderId="31" xfId="0" applyNumberFormat="1" applyFont="1" applyFill="1" applyBorder="1" applyProtection="1">
      <protection locked="0"/>
    </xf>
    <xf numFmtId="48" fontId="1" fillId="10" borderId="31" xfId="0" applyNumberFormat="1" applyFont="1" applyFill="1" applyBorder="1" applyProtection="1">
      <protection locked="0"/>
    </xf>
    <xf numFmtId="165" fontId="1" fillId="10" borderId="31" xfId="0" applyNumberFormat="1" applyFont="1" applyFill="1" applyBorder="1" applyProtection="1">
      <protection locked="0"/>
    </xf>
    <xf numFmtId="166" fontId="1" fillId="11" borderId="31" xfId="0" applyNumberFormat="1" applyFont="1" applyFill="1" applyBorder="1" applyProtection="1">
      <protection hidden="1"/>
    </xf>
    <xf numFmtId="164" fontId="1" fillId="11" borderId="31" xfId="0" applyNumberFormat="1" applyFont="1" applyFill="1" applyBorder="1" applyProtection="1">
      <protection hidden="1"/>
    </xf>
    <xf numFmtId="48" fontId="1" fillId="11" borderId="38" xfId="0" applyNumberFormat="1" applyFont="1" applyFill="1" applyBorder="1" applyProtection="1">
      <protection hidden="1"/>
    </xf>
    <xf numFmtId="48" fontId="0" fillId="10" borderId="31" xfId="0" applyNumberFormat="1" applyFont="1" applyFill="1" applyBorder="1" applyAlignment="1" applyProtection="1">
      <alignment horizontal="right"/>
      <protection locked="0"/>
    </xf>
    <xf numFmtId="0" fontId="36" fillId="14" borderId="41" xfId="0" applyFont="1" applyFill="1" applyBorder="1" applyAlignment="1" applyProtection="1">
      <alignment horizontal="left"/>
    </xf>
    <xf numFmtId="0" fontId="36" fillId="14" borderId="37" xfId="0" applyFont="1" applyFill="1" applyBorder="1" applyAlignment="1" applyProtection="1">
      <alignment horizontal="left"/>
    </xf>
    <xf numFmtId="11" fontId="34" fillId="13" borderId="33" xfId="0" applyNumberFormat="1" applyFont="1" applyFill="1" applyBorder="1" applyAlignment="1" applyProtection="1">
      <alignment horizontal="left"/>
    </xf>
    <xf numFmtId="11" fontId="34" fillId="13" borderId="40" xfId="0" applyNumberFormat="1" applyFont="1" applyFill="1" applyBorder="1" applyAlignment="1" applyProtection="1">
      <alignment horizontal="left"/>
    </xf>
    <xf numFmtId="0" fontId="36" fillId="14" borderId="34" xfId="0" applyFont="1" applyFill="1" applyBorder="1" applyAlignment="1" applyProtection="1">
      <alignment horizontal="center"/>
    </xf>
    <xf numFmtId="0" fontId="31" fillId="14" borderId="33" xfId="0" applyFont="1" applyFill="1" applyBorder="1" applyAlignment="1" applyProtection="1">
      <alignment horizontal="left"/>
    </xf>
    <xf numFmtId="0" fontId="31" fillId="14" borderId="40" xfId="0" applyFont="1" applyFill="1" applyBorder="1" applyAlignment="1" applyProtection="1">
      <alignment horizontal="left"/>
    </xf>
    <xf numFmtId="0" fontId="31" fillId="14" borderId="32" xfId="0" applyFont="1" applyFill="1" applyBorder="1" applyAlignment="1" applyProtection="1">
      <alignment horizontal="left"/>
    </xf>
    <xf numFmtId="0" fontId="34" fillId="13" borderId="40" xfId="0" applyFont="1" applyFill="1" applyBorder="1" applyAlignment="1" applyProtection="1">
      <alignment horizontal="left"/>
    </xf>
    <xf numFmtId="0" fontId="34" fillId="13" borderId="33" xfId="0" applyFont="1" applyFill="1" applyBorder="1" applyAlignment="1" applyProtection="1">
      <alignment horizontal="center"/>
    </xf>
    <xf numFmtId="0" fontId="34" fillId="13" borderId="40" xfId="0" applyFont="1" applyFill="1" applyBorder="1" applyAlignment="1" applyProtection="1">
      <alignment horizontal="center"/>
    </xf>
    <xf numFmtId="0" fontId="34" fillId="13" borderId="32" xfId="0" applyFont="1" applyFill="1" applyBorder="1" applyAlignment="1" applyProtection="1">
      <alignment horizontal="center"/>
    </xf>
    <xf numFmtId="0" fontId="4" fillId="14" borderId="0" xfId="0" applyFont="1" applyFill="1" applyBorder="1" applyAlignment="1" applyProtection="1">
      <alignment horizontal="left"/>
      <protection hidden="1"/>
    </xf>
    <xf numFmtId="0" fontId="4" fillId="14" borderId="0" xfId="0" applyFont="1" applyFill="1" applyAlignment="1" applyProtection="1">
      <alignment horizontal="center" wrapText="1"/>
      <protection hidden="1"/>
    </xf>
    <xf numFmtId="0" fontId="4" fillId="14" borderId="0" xfId="0" applyFont="1" applyFill="1" applyBorder="1" applyAlignment="1" applyProtection="1">
      <alignment horizontal="center" wrapText="1"/>
      <protection hidden="1"/>
    </xf>
    <xf numFmtId="0" fontId="4" fillId="14" borderId="0" xfId="0" applyFont="1" applyFill="1" applyAlignment="1" applyProtection="1">
      <alignment horizontal="center"/>
      <protection hidden="1"/>
    </xf>
    <xf numFmtId="0" fontId="16" fillId="2" borderId="0" xfId="3" applyFont="1" applyFill="1" applyBorder="1" applyAlignment="1" applyProtection="1">
      <alignment horizontal="center" wrapText="1"/>
      <protection hidden="1"/>
    </xf>
    <xf numFmtId="0" fontId="10" fillId="5" borderId="43" xfId="3" applyFont="1" applyFill="1" applyBorder="1" applyAlignment="1">
      <alignment horizontal="center" wrapText="1"/>
    </xf>
    <xf numFmtId="0" fontId="10" fillId="5" borderId="14" xfId="3" applyFont="1" applyFill="1" applyBorder="1" applyAlignment="1">
      <alignment horizontal="center" wrapText="1"/>
    </xf>
    <xf numFmtId="0" fontId="10" fillId="6" borderId="44" xfId="3" applyFont="1" applyFill="1" applyBorder="1" applyAlignment="1">
      <alignment horizontal="center" wrapText="1"/>
    </xf>
    <xf numFmtId="0" fontId="10" fillId="6" borderId="45" xfId="3" applyFont="1" applyFill="1" applyBorder="1" applyAlignment="1">
      <alignment horizontal="center" wrapText="1"/>
    </xf>
    <xf numFmtId="0" fontId="10" fillId="7" borderId="43" xfId="3" applyFont="1" applyFill="1" applyBorder="1" applyAlignment="1">
      <alignment horizontal="center" wrapText="1"/>
    </xf>
    <xf numFmtId="0" fontId="10" fillId="7" borderId="14" xfId="3" applyFont="1" applyFill="1" applyBorder="1" applyAlignment="1">
      <alignment horizontal="center" wrapText="1"/>
    </xf>
    <xf numFmtId="49" fontId="16" fillId="4" borderId="43" xfId="3" applyNumberFormat="1" applyFont="1" applyFill="1" applyBorder="1" applyAlignment="1">
      <alignment horizontal="center" wrapText="1"/>
    </xf>
    <xf numFmtId="49" fontId="16" fillId="4" borderId="0" xfId="3" applyNumberFormat="1" applyFont="1" applyFill="1" applyBorder="1" applyAlignment="1">
      <alignment horizontal="center" wrapText="1"/>
    </xf>
  </cellXfs>
  <cellStyles count="9">
    <cellStyle name="Hyperlink" xfId="1" builtinId="8"/>
    <cellStyle name="Normal" xfId="0" builtinId="0"/>
    <cellStyle name="Normal 2" xfId="2" xr:uid="{D200BB36-5171-46C9-B4B7-82691AD91247}"/>
    <cellStyle name="Normal 3" xfId="3" xr:uid="{A233A991-EB55-4A28-875E-F46ED4381263}"/>
    <cellStyle name="Normal 4" xfId="4" xr:uid="{8666F8F2-8FCB-41CC-AA8C-C8F96EF5C951}"/>
    <cellStyle name="Percent" xfId="5" builtinId="5"/>
    <cellStyle name="Percent 2" xfId="6" xr:uid="{FB8BB9EA-9DC2-40A9-9C3E-17DC19BA32C1}"/>
    <cellStyle name="Percent 3" xfId="7" xr:uid="{7107731C-9CCA-4A0F-97CC-B58794DDCE00}"/>
    <cellStyle name="Percent 4" xfId="8" xr:uid="{65A707E2-B8F1-4D74-8B21-AA86610B6A86}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CCM Small Signal Response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890149102601483E-2"/>
          <c:y val="6.7741019379933418E-2"/>
          <c:w val="0.86378579098067365"/>
          <c:h val="0.71958369787109944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'Small Signal'!$AB$3</c:f>
              <c:strCache>
                <c:ptCount val="1"/>
                <c:pt idx="0">
                  <c:v>Gain Gvc CCM</c:v>
                </c:pt>
              </c:strCache>
            </c:strRef>
          </c:tx>
          <c:spPr>
            <a:ln w="38100"/>
          </c:spPr>
          <c:marker>
            <c:symbol val="none"/>
          </c:marker>
          <c:xVal>
            <c:numRef>
              <c:f>'Small Signal'!$K$4:$K$504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Signal'!$AB$4:$AB$504</c:f>
              <c:numCache>
                <c:formatCode>General</c:formatCode>
                <c:ptCount val="501"/>
                <c:pt idx="0">
                  <c:v>23.658026266542738</c:v>
                </c:pt>
                <c:pt idx="1">
                  <c:v>23.658016814604391</c:v>
                </c:pt>
                <c:pt idx="2">
                  <c:v>23.658006928614842</c:v>
                </c:pt>
                <c:pt idx="3">
                  <c:v>23.657996588642341</c:v>
                </c:pt>
                <c:pt idx="4">
                  <c:v>23.657985773840643</c:v>
                </c:pt>
                <c:pt idx="5">
                  <c:v>23.657974462405953</c:v>
                </c:pt>
                <c:pt idx="6">
                  <c:v>23.657962631533287</c:v>
                </c:pt>
                <c:pt idx="7">
                  <c:v>23.657950257371052</c:v>
                </c:pt>
                <c:pt idx="8">
                  <c:v>23.657937314972099</c:v>
                </c:pt>
                <c:pt idx="9">
                  <c:v>23.657923778244438</c:v>
                </c:pt>
                <c:pt idx="10">
                  <c:v>23.657909619897566</c:v>
                </c:pt>
                <c:pt idx="11">
                  <c:v>23.657894811388431</c:v>
                </c:pt>
                <c:pt idx="12">
                  <c:v>23.65787932286343</c:v>
                </c:pt>
                <c:pt idx="13">
                  <c:v>23.657863123098409</c:v>
                </c:pt>
                <c:pt idx="14">
                  <c:v>23.657846179435886</c:v>
                </c:pt>
                <c:pt idx="15">
                  <c:v>23.657828457718871</c:v>
                </c:pt>
                <c:pt idx="16">
                  <c:v>23.657809922222526</c:v>
                </c:pt>
                <c:pt idx="17">
                  <c:v>23.657790535581945</c:v>
                </c:pt>
                <c:pt idx="18">
                  <c:v>23.657770258716688</c:v>
                </c:pt>
                <c:pt idx="19">
                  <c:v>23.657749050752884</c:v>
                </c:pt>
                <c:pt idx="20">
                  <c:v>23.657726868939946</c:v>
                </c:pt>
                <c:pt idx="21">
                  <c:v>23.657703668565073</c:v>
                </c:pt>
                <c:pt idx="22">
                  <c:v>23.657679402862794</c:v>
                </c:pt>
                <c:pt idx="23">
                  <c:v>23.657654022921385</c:v>
                </c:pt>
                <c:pt idx="24">
                  <c:v>23.657627477583809</c:v>
                </c:pt>
                <c:pt idx="25">
                  <c:v>23.65759971334526</c:v>
                </c:pt>
                <c:pt idx="26">
                  <c:v>23.657570674244827</c:v>
                </c:pt>
                <c:pt idx="27">
                  <c:v>23.657540301753293</c:v>
                </c:pt>
                <c:pt idx="28">
                  <c:v>23.657508534655371</c:v>
                </c:pt>
                <c:pt idx="29">
                  <c:v>23.657475308926049</c:v>
                </c:pt>
                <c:pt idx="30">
                  <c:v>23.657440557602428</c:v>
                </c:pt>
                <c:pt idx="31">
                  <c:v>23.657404210648</c:v>
                </c:pt>
                <c:pt idx="32">
                  <c:v>23.657366194813008</c:v>
                </c:pt>
                <c:pt idx="33">
                  <c:v>23.657326433485917</c:v>
                </c:pt>
                <c:pt idx="34">
                  <c:v>23.657284846539788</c:v>
                </c:pt>
                <c:pt idx="35">
                  <c:v>23.657241350171255</c:v>
                </c:pt>
                <c:pt idx="36">
                  <c:v>23.657195856731498</c:v>
                </c:pt>
                <c:pt idx="37">
                  <c:v>23.657148274550721</c:v>
                </c:pt>
                <c:pt idx="38">
                  <c:v>23.657098507752934</c:v>
                </c:pt>
                <c:pt idx="39">
                  <c:v>23.657046456063785</c:v>
                </c:pt>
                <c:pt idx="40">
                  <c:v>23.656992014609088</c:v>
                </c:pt>
                <c:pt idx="41">
                  <c:v>23.656935073703316</c:v>
                </c:pt>
                <c:pt idx="42">
                  <c:v>23.656875518630098</c:v>
                </c:pt>
                <c:pt idx="43">
                  <c:v>23.656813229410858</c:v>
                </c:pt>
                <c:pt idx="44">
                  <c:v>23.656748080564583</c:v>
                </c:pt>
                <c:pt idx="45">
                  <c:v>23.656679940855074</c:v>
                </c:pt>
                <c:pt idx="46">
                  <c:v>23.65660867302779</c:v>
                </c:pt>
                <c:pt idx="47">
                  <c:v>23.656534133534052</c:v>
                </c:pt>
                <c:pt idx="48">
                  <c:v>23.656456172243089</c:v>
                </c:pt>
                <c:pt idx="49">
                  <c:v>23.656374632140466</c:v>
                </c:pt>
                <c:pt idx="50">
                  <c:v>23.656289349013203</c:v>
                </c:pt>
                <c:pt idx="51">
                  <c:v>23.656200151120046</c:v>
                </c:pt>
                <c:pt idx="52">
                  <c:v>23.656106858847444</c:v>
                </c:pt>
                <c:pt idx="53">
                  <c:v>23.656009284348617</c:v>
                </c:pt>
                <c:pt idx="54">
                  <c:v>23.655907231167998</c:v>
                </c:pt>
                <c:pt idx="55">
                  <c:v>23.655800493846556</c:v>
                </c:pt>
                <c:pt idx="56">
                  <c:v>23.6556888575107</c:v>
                </c:pt>
                <c:pt idx="57">
                  <c:v>23.655572097441372</c:v>
                </c:pt>
                <c:pt idx="58">
                  <c:v>23.655449978624681</c:v>
                </c:pt>
                <c:pt idx="59">
                  <c:v>23.655322255280655</c:v>
                </c:pt>
                <c:pt idx="60">
                  <c:v>23.655188670372137</c:v>
                </c:pt>
                <c:pt idx="61">
                  <c:v>23.655048955090201</c:v>
                </c:pt>
                <c:pt idx="62">
                  <c:v>23.654902828316441</c:v>
                </c:pt>
                <c:pt idx="63">
                  <c:v>23.654749996061419</c:v>
                </c:pt>
                <c:pt idx="64">
                  <c:v>23.654590150876984</c:v>
                </c:pt>
                <c:pt idx="65">
                  <c:v>23.654422971242258</c:v>
                </c:pt>
                <c:pt idx="66">
                  <c:v>23.654248120921466</c:v>
                </c:pt>
                <c:pt idx="67">
                  <c:v>23.654065248293364</c:v>
                </c:pt>
                <c:pt idx="68">
                  <c:v>23.653873985649717</c:v>
                </c:pt>
                <c:pt idx="69">
                  <c:v>23.653673948461925</c:v>
                </c:pt>
                <c:pt idx="70">
                  <c:v>23.653464734615312</c:v>
                </c:pt>
                <c:pt idx="71">
                  <c:v>23.653245923608029</c:v>
                </c:pt>
                <c:pt idx="72">
                  <c:v>23.653017075714352</c:v>
                </c:pt>
                <c:pt idx="73">
                  <c:v>23.652777731109488</c:v>
                </c:pt>
                <c:pt idx="74">
                  <c:v>23.652527408956068</c:v>
                </c:pt>
                <c:pt idx="75">
                  <c:v>23.652265606448516</c:v>
                </c:pt>
                <c:pt idx="76">
                  <c:v>23.651991797815327</c:v>
                </c:pt>
                <c:pt idx="77">
                  <c:v>23.651705433275389</c:v>
                </c:pt>
                <c:pt idx="78">
                  <c:v>23.65140593794877</c:v>
                </c:pt>
                <c:pt idx="79">
                  <c:v>23.651092710717691</c:v>
                </c:pt>
                <c:pt idx="80">
                  <c:v>23.650765123036926</c:v>
                </c:pt>
                <c:pt idx="81">
                  <c:v>23.650422517690849</c:v>
                </c:pt>
                <c:pt idx="82">
                  <c:v>23.650064207495465</c:v>
                </c:pt>
                <c:pt idx="83">
                  <c:v>23.64968947394118</c:v>
                </c:pt>
                <c:pt idx="84">
                  <c:v>23.649297565777157</c:v>
                </c:pt>
                <c:pt idx="85">
                  <c:v>23.64888769753081</c:v>
                </c:pt>
                <c:pt idx="86">
                  <c:v>23.648459047962316</c:v>
                </c:pt>
                <c:pt idx="87">
                  <c:v>23.648010758451122</c:v>
                </c:pt>
                <c:pt idx="88">
                  <c:v>23.647541931309831</c:v>
                </c:pt>
                <c:pt idx="89">
                  <c:v>23.647051628024414</c:v>
                </c:pt>
                <c:pt idx="90">
                  <c:v>23.646538867416943</c:v>
                </c:pt>
                <c:pt idx="91">
                  <c:v>23.646002623726243</c:v>
                </c:pt>
                <c:pt idx="92">
                  <c:v>23.645441824605751</c:v>
                </c:pt>
                <c:pt idx="93">
                  <c:v>23.644855349032248</c:v>
                </c:pt>
                <c:pt idx="94">
                  <c:v>23.644242025124257</c:v>
                </c:pt>
                <c:pt idx="95">
                  <c:v>23.64360062786357</c:v>
                </c:pt>
                <c:pt idx="96">
                  <c:v>23.64292987671989</c:v>
                </c:pt>
                <c:pt idx="97">
                  <c:v>23.642228433169755</c:v>
                </c:pt>
                <c:pt idx="98">
                  <c:v>23.641494898109951</c:v>
                </c:pt>
                <c:pt idx="99">
                  <c:v>23.640727809158047</c:v>
                </c:pt>
                <c:pt idx="100">
                  <c:v>23.639925637837202</c:v>
                </c:pt>
                <c:pt idx="101">
                  <c:v>23.639086786639751</c:v>
                </c:pt>
                <c:pt idx="102">
                  <c:v>23.638209585965345</c:v>
                </c:pt>
                <c:pt idx="103">
                  <c:v>23.637292290928336</c:v>
                </c:pt>
                <c:pt idx="104">
                  <c:v>23.636333078029676</c:v>
                </c:pt>
                <c:pt idx="105">
                  <c:v>23.635330041687752</c:v>
                </c:pt>
                <c:pt idx="106">
                  <c:v>23.634281190623074</c:v>
                </c:pt>
                <c:pt idx="107">
                  <c:v>23.63318444409089</c:v>
                </c:pt>
                <c:pt idx="108">
                  <c:v>23.632037627956567</c:v>
                </c:pt>
                <c:pt idx="109">
                  <c:v>23.630838470607877</c:v>
                </c:pt>
                <c:pt idx="110">
                  <c:v>23.629584598697218</c:v>
                </c:pt>
                <c:pt idx="111">
                  <c:v>23.628273532709731</c:v>
                </c:pt>
                <c:pt idx="112">
                  <c:v>23.626902682348636</c:v>
                </c:pt>
                <c:pt idx="113">
                  <c:v>23.62546934173357</c:v>
                </c:pt>
                <c:pt idx="114">
                  <c:v>23.62397068440395</c:v>
                </c:pt>
                <c:pt idx="115">
                  <c:v>23.622403758121912</c:v>
                </c:pt>
                <c:pt idx="116">
                  <c:v>23.620765479467217</c:v>
                </c:pt>
                <c:pt idx="117">
                  <c:v>23.619052628218313</c:v>
                </c:pt>
                <c:pt idx="118">
                  <c:v>23.617261841512157</c:v>
                </c:pt>
                <c:pt idx="119">
                  <c:v>23.615389607775747</c:v>
                </c:pt>
                <c:pt idx="120">
                  <c:v>23.613432260423345</c:v>
                </c:pt>
                <c:pt idx="121">
                  <c:v>23.611385971312004</c:v>
                </c:pt>
                <c:pt idx="122">
                  <c:v>23.609246743948397</c:v>
                </c:pt>
                <c:pt idx="123">
                  <c:v>23.607010406440327</c:v>
                </c:pt>
                <c:pt idx="124">
                  <c:v>23.604672604186661</c:v>
                </c:pt>
                <c:pt idx="125">
                  <c:v>23.602228792298025</c:v>
                </c:pt>
                <c:pt idx="126">
                  <c:v>23.599674227743765</c:v>
                </c:pt>
                <c:pt idx="127">
                  <c:v>23.597003961216103</c:v>
                </c:pt>
                <c:pt idx="128">
                  <c:v>23.594212828708578</c:v>
                </c:pt>
                <c:pt idx="129">
                  <c:v>23.591295442800853</c:v>
                </c:pt>
                <c:pt idx="130">
                  <c:v>23.588246183646383</c:v>
                </c:pt>
                <c:pt idx="131">
                  <c:v>23.58505918965626</c:v>
                </c:pt>
                <c:pt idx="132">
                  <c:v>23.581728347876286</c:v>
                </c:pt>
                <c:pt idx="133">
                  <c:v>23.578247284053703</c:v>
                </c:pt>
                <c:pt idx="134">
                  <c:v>23.574609352388926</c:v>
                </c:pt>
                <c:pt idx="135">
                  <c:v>23.570807624971998</c:v>
                </c:pt>
                <c:pt idx="136">
                  <c:v>23.566834880900707</c:v>
                </c:pt>
                <c:pt idx="137">
                  <c:v>23.562683595080575</c:v>
                </c:pt>
                <c:pt idx="138">
                  <c:v>23.55834592670783</c:v>
                </c:pt>
                <c:pt idx="139">
                  <c:v>23.553813707436177</c:v>
                </c:pt>
                <c:pt idx="140">
                  <c:v>23.549078429230995</c:v>
                </c:pt>
                <c:pt idx="141">
                  <c:v>23.544131231916353</c:v>
                </c:pt>
                <c:pt idx="142">
                  <c:v>23.538962890419842</c:v>
                </c:pt>
                <c:pt idx="143">
                  <c:v>23.533563801724554</c:v>
                </c:pt>
                <c:pt idx="144">
                  <c:v>23.527923971537675</c:v>
                </c:pt>
                <c:pt idx="145">
                  <c:v>23.522033000688388</c:v>
                </c:pt>
                <c:pt idx="146">
                  <c:v>23.515880071269205</c:v>
                </c:pt>
                <c:pt idx="147">
                  <c:v>23.509453932539543</c:v>
                </c:pt>
                <c:pt idx="148">
                  <c:v>23.502742886609127</c:v>
                </c:pt>
                <c:pt idx="149">
                  <c:v>23.49573477392639</c:v>
                </c:pt>
                <c:pt idx="150">
                  <c:v>23.488416958598602</c:v>
                </c:pt>
                <c:pt idx="151">
                  <c:v>23.480776313570317</c:v>
                </c:pt>
                <c:pt idx="152">
                  <c:v>23.472799205698713</c:v>
                </c:pt>
                <c:pt idx="153">
                  <c:v>23.464471480759073</c:v>
                </c:pt>
                <c:pt idx="154">
                  <c:v>23.455778448424894</c:v>
                </c:pt>
                <c:pt idx="155">
                  <c:v>23.446704867269045</c:v>
                </c:pt>
                <c:pt idx="156">
                  <c:v>23.437234929835974</c:v>
                </c:pt>
                <c:pt idx="157">
                  <c:v>23.427352247842514</c:v>
                </c:pt>
                <c:pt idx="158">
                  <c:v>23.417039837570059</c:v>
                </c:pt>
                <c:pt idx="159">
                  <c:v>23.406280105512785</c:v>
                </c:pt>
                <c:pt idx="160">
                  <c:v>23.39505483435866</c:v>
                </c:pt>
                <c:pt idx="161">
                  <c:v>23.383345169380124</c:v>
                </c:pt>
                <c:pt idx="162">
                  <c:v>23.371131605322297</c:v>
                </c:pt>
                <c:pt idx="163">
                  <c:v>23.358393973879142</c:v>
                </c:pt>
                <c:pt idx="164">
                  <c:v>23.345111431858037</c:v>
                </c:pt>
                <c:pt idx="165">
                  <c:v>23.331262450138972</c:v>
                </c:pt>
                <c:pt idx="166">
                  <c:v>23.316824803538996</c:v>
                </c:pt>
                <c:pt idx="167">
                  <c:v>23.301775561704424</c:v>
                </c:pt>
                <c:pt idx="168">
                  <c:v>23.286091081154275</c:v>
                </c:pt>
                <c:pt idx="169">
                  <c:v>23.269746998611733</c:v>
                </c:pt>
                <c:pt idx="170">
                  <c:v>23.252718225760187</c:v>
                </c:pt>
                <c:pt idx="171">
                  <c:v>23.234978945572415</c:v>
                </c:pt>
                <c:pt idx="172">
                  <c:v>23.216502610364</c:v>
                </c:pt>
                <c:pt idx="173">
                  <c:v>23.197261941728922</c:v>
                </c:pt>
                <c:pt idx="174">
                  <c:v>23.177228932520187</c:v>
                </c:pt>
                <c:pt idx="175">
                  <c:v>23.156374851042088</c:v>
                </c:pt>
                <c:pt idx="176">
                  <c:v>23.134670247623767</c:v>
                </c:pt>
                <c:pt idx="177">
                  <c:v>23.112084963747911</c:v>
                </c:pt>
                <c:pt idx="178">
                  <c:v>23.088588143906197</c:v>
                </c:pt>
                <c:pt idx="179">
                  <c:v>23.064148250357128</c:v>
                </c:pt>
                <c:pt idx="180">
                  <c:v>23.038733080956764</c:v>
                </c:pt>
                <c:pt idx="181">
                  <c:v>23.01230979023245</c:v>
                </c:pt>
                <c:pt idx="182">
                  <c:v>22.984844913861746</c:v>
                </c:pt>
                <c:pt idx="183">
                  <c:v>22.956304396714906</c:v>
                </c:pt>
                <c:pt idx="184">
                  <c:v>22.926653624607813</c:v>
                </c:pt>
                <c:pt idx="185">
                  <c:v>22.895857459902142</c:v>
                </c:pt>
                <c:pt idx="186">
                  <c:v>22.863880281074987</c:v>
                </c:pt>
                <c:pt idx="187">
                  <c:v>22.830686026365029</c:v>
                </c:pt>
                <c:pt idx="188">
                  <c:v>22.796238241581786</c:v>
                </c:pt>
                <c:pt idx="189">
                  <c:v>22.760500132144816</c:v>
                </c:pt>
                <c:pt idx="190">
                  <c:v>22.723434619393224</c:v>
                </c:pt>
                <c:pt idx="191">
                  <c:v>22.685004401181637</c:v>
                </c:pt>
                <c:pt idx="192">
                  <c:v>22.645172016745448</c:v>
                </c:pt>
                <c:pt idx="193">
                  <c:v>22.603899915789626</c:v>
                </c:pt>
                <c:pt idx="194">
                  <c:v>22.561150531717207</c:v>
                </c:pt>
                <c:pt idx="195">
                  <c:v>22.516886358879415</c:v>
                </c:pt>
                <c:pt idx="196">
                  <c:v>22.471070033688051</c:v>
                </c:pt>
                <c:pt idx="197">
                  <c:v>22.423664419391798</c:v>
                </c:pt>
                <c:pt idx="198">
                  <c:v>22.374632694274112</c:v>
                </c:pt>
                <c:pt idx="199">
                  <c:v>22.323938442990187</c:v>
                </c:pt>
                <c:pt idx="200">
                  <c:v>22.271545750714662</c:v>
                </c:pt>
                <c:pt idx="201">
                  <c:v>22.217419299728896</c:v>
                </c:pt>
                <c:pt idx="202">
                  <c:v>22.161524468036898</c:v>
                </c:pt>
                <c:pt idx="203">
                  <c:v>22.103827429554606</c:v>
                </c:pt>
                <c:pt idx="204">
                  <c:v>22.044295255379829</c:v>
                </c:pt>
                <c:pt idx="205">
                  <c:v>21.982896015615211</c:v>
                </c:pt>
                <c:pt idx="206">
                  <c:v>21.919598881182804</c:v>
                </c:pt>
                <c:pt idx="207">
                  <c:v>21.854374225038853</c:v>
                </c:pt>
                <c:pt idx="208">
                  <c:v>21.787193722178927</c:v>
                </c:pt>
                <c:pt idx="209">
                  <c:v>21.718030447798942</c:v>
                </c:pt>
                <c:pt idx="210">
                  <c:v>21.646858972971366</c:v>
                </c:pt>
                <c:pt idx="211">
                  <c:v>21.573655457187392</c:v>
                </c:pt>
                <c:pt idx="212">
                  <c:v>21.498397737118605</c:v>
                </c:pt>
                <c:pt idx="213">
                  <c:v>21.421065410960583</c:v>
                </c:pt>
                <c:pt idx="214">
                  <c:v>21.341639917738728</c:v>
                </c:pt>
                <c:pt idx="215">
                  <c:v>21.260104610977663</c:v>
                </c:pt>
                <c:pt idx="216">
                  <c:v>21.176444826172865</c:v>
                </c:pt>
                <c:pt idx="217">
                  <c:v>21.09064794153614</c:v>
                </c:pt>
                <c:pt idx="218">
                  <c:v>21.0027034315385</c:v>
                </c:pt>
                <c:pt idx="219">
                  <c:v>20.912602912824305</c:v>
                </c:pt>
                <c:pt idx="220">
                  <c:v>20.820340182127918</c:v>
                </c:pt>
                <c:pt idx="221">
                  <c:v>20.725911245893712</c:v>
                </c:pt>
                <c:pt idx="222">
                  <c:v>20.629314341361138</c:v>
                </c:pt>
                <c:pt idx="223">
                  <c:v>20.530549948956608</c:v>
                </c:pt>
                <c:pt idx="224">
                  <c:v>20.429620795901737</c:v>
                </c:pt>
                <c:pt idx="225">
                  <c:v>20.326531851026594</c:v>
                </c:pt>
                <c:pt idx="226">
                  <c:v>20.221290310852581</c:v>
                </c:pt>
                <c:pt idx="227">
                  <c:v>20.113905577082779</c:v>
                </c:pt>
                <c:pt idx="228">
                  <c:v>20.004389225712586</c:v>
                </c:pt>
                <c:pt idx="229">
                  <c:v>19.892754968041807</c:v>
                </c:pt>
                <c:pt idx="230">
                  <c:v>19.779018603937576</c:v>
                </c:pt>
                <c:pt idx="231">
                  <c:v>19.663197967756304</c:v>
                </c:pt>
                <c:pt idx="232">
                  <c:v>19.545312867389871</c:v>
                </c:pt>
                <c:pt idx="233">
                  <c:v>19.425385016950386</c:v>
                </c:pt>
                <c:pt idx="234">
                  <c:v>19.303437963649138</c:v>
                </c:pt>
                <c:pt idx="235">
                  <c:v>19.179497009461546</c:v>
                </c:pt>
                <c:pt idx="236">
                  <c:v>19.053589128196936</c:v>
                </c:pt>
                <c:pt idx="237">
                  <c:v>18.925742878610457</c:v>
                </c:pt>
                <c:pt idx="238">
                  <c:v>18.795988314210405</c:v>
                </c:pt>
                <c:pt idx="239">
                  <c:v>18.664356890413934</c:v>
                </c:pt>
                <c:pt idx="240">
                  <c:v>18.530881369706108</c:v>
                </c:pt>
                <c:pt idx="241">
                  <c:v>18.395595725445244</c:v>
                </c:pt>
                <c:pt idx="242">
                  <c:v>18.2585350449442</c:v>
                </c:pt>
                <c:pt idx="243">
                  <c:v>18.119735432432858</c:v>
                </c:pt>
                <c:pt idx="244">
                  <c:v>17.979233912484528</c:v>
                </c:pt>
                <c:pt idx="245">
                  <c:v>17.837068334455552</c:v>
                </c:pt>
                <c:pt idx="246">
                  <c:v>17.693277278452364</c:v>
                </c:pt>
                <c:pt idx="247">
                  <c:v>17.547899963304928</c:v>
                </c:pt>
                <c:pt idx="248">
                  <c:v>17.400976156983656</c:v>
                </c:pt>
                <c:pt idx="249">
                  <c:v>17.25254608985453</c:v>
                </c:pt>
                <c:pt idx="250">
                  <c:v>17.102650371126305</c:v>
                </c:pt>
                <c:pt idx="251">
                  <c:v>16.951329908799199</c:v>
                </c:pt>
                <c:pt idx="252">
                  <c:v>16.798625833380477</c:v>
                </c:pt>
                <c:pt idx="253">
                  <c:v>16.644579425592813</c:v>
                </c:pt>
                <c:pt idx="254">
                  <c:v>16.489232048256234</c:v>
                </c:pt>
                <c:pt idx="255">
                  <c:v>16.332625082487983</c:v>
                </c:pt>
                <c:pt idx="256">
                  <c:v>16.174799868324911</c:v>
                </c:pt>
                <c:pt idx="257">
                  <c:v>16.015797649836991</c:v>
                </c:pt>
                <c:pt idx="258">
                  <c:v>15.855659524768962</c:v>
                </c:pt>
                <c:pt idx="259">
                  <c:v>15.694426398714253</c:v>
                </c:pt>
                <c:pt idx="260">
                  <c:v>15.532138943798033</c:v>
                </c:pt>
                <c:pt idx="261">
                  <c:v>15.368837561819731</c:v>
                </c:pt>
                <c:pt idx="262">
                  <c:v>15.204562351784894</c:v>
                </c:pt>
                <c:pt idx="263">
                  <c:v>15.039353081731413</c:v>
                </c:pt>
                <c:pt idx="264">
                  <c:v>14.873249164743036</c:v>
                </c:pt>
                <c:pt idx="265">
                  <c:v>14.706289639023183</c:v>
                </c:pt>
                <c:pt idx="266">
                  <c:v>14.538513151891983</c:v>
                </c:pt>
                <c:pt idx="267">
                  <c:v>14.36995794755803</c:v>
                </c:pt>
                <c:pt idx="268">
                  <c:v>14.200661858507996</c:v>
                </c:pt>
                <c:pt idx="269">
                  <c:v>14.030662300351121</c:v>
                </c:pt>
                <c:pt idx="270">
                  <c:v>13.859996269950267</c:v>
                </c:pt>
                <c:pt idx="271">
                  <c:v>13.688700346668149</c:v>
                </c:pt>
                <c:pt idx="272">
                  <c:v>13.516810696557043</c:v>
                </c:pt>
                <c:pt idx="273">
                  <c:v>13.344363079317548</c:v>
                </c:pt>
                <c:pt idx="274">
                  <c:v>13.171392857854347</c:v>
                </c:pt>
                <c:pt idx="275">
                  <c:v>12.997935010258209</c:v>
                </c:pt>
                <c:pt idx="276">
                  <c:v>12.824024144044721</c:v>
                </c:pt>
                <c:pt idx="277">
                  <c:v>12.649694512485187</c:v>
                </c:pt>
                <c:pt idx="278">
                  <c:v>12.474980032865744</c:v>
                </c:pt>
                <c:pt idx="279">
                  <c:v>12.29991430651766</c:v>
                </c:pt>
                <c:pt idx="280">
                  <c:v>12.124530640463316</c:v>
                </c:pt>
                <c:pt idx="281">
                  <c:v>11.948862070526792</c:v>
                </c:pt>
                <c:pt idx="282">
                  <c:v>11.772941385763776</c:v>
                </c:pt>
                <c:pt idx="283">
                  <c:v>11.596801154067668</c:v>
                </c:pt>
                <c:pt idx="284">
                  <c:v>11.420473748811919</c:v>
                </c:pt>
                <c:pt idx="285">
                  <c:v>11.243991376396103</c:v>
                </c:pt>
                <c:pt idx="286">
                  <c:v>11.067386104561356</c:v>
                </c:pt>
                <c:pt idx="287">
                  <c:v>10.890689891347012</c:v>
                </c:pt>
                <c:pt idx="288">
                  <c:v>10.713934614563103</c:v>
                </c:pt>
                <c:pt idx="289">
                  <c:v>10.537152101652191</c:v>
                </c:pt>
                <c:pt idx="290">
                  <c:v>10.360374159819287</c:v>
                </c:pt>
                <c:pt idx="291">
                  <c:v>10.183632606307922</c:v>
                </c:pt>
                <c:pt idx="292">
                  <c:v>10.006959298700114</c:v>
                </c:pt>
                <c:pt idx="293">
                  <c:v>9.8303861651207747</c:v>
                </c:pt>
                <c:pt idx="294">
                  <c:v>9.6539452342234675</c:v>
                </c:pt>
                <c:pt idx="295">
                  <c:v>9.4776686648359902</c:v>
                </c:pt>
                <c:pt idx="296">
                  <c:v>9.3015887751410116</c:v>
                </c:pt>
                <c:pt idx="297">
                  <c:v>9.1257380712665874</c:v>
                </c:pt>
                <c:pt idx="298">
                  <c:v>8.9501492751575586</c:v>
                </c:pt>
                <c:pt idx="299">
                  <c:v>8.7748553515964325</c:v>
                </c:pt>
                <c:pt idx="300">
                  <c:v>8.5998895342409334</c:v>
                </c:pt>
                <c:pt idx="301">
                  <c:v>8.4252853505382568</c:v>
                </c:pt>
                <c:pt idx="302">
                  <c:v>8.2510766453766458</c:v>
                </c:pt>
                <c:pt idx="303">
                  <c:v>8.0772976033266151</c:v>
                </c:pt>
                <c:pt idx="304">
                  <c:v>7.9039827693256628</c:v>
                </c:pt>
                <c:pt idx="305">
                  <c:v>7.7311670676492872</c:v>
                </c:pt>
                <c:pt idx="306">
                  <c:v>7.5588858190147779</c:v>
                </c:pt>
                <c:pt idx="307">
                  <c:v>7.3871747556542253</c:v>
                </c:pt>
                <c:pt idx="308">
                  <c:v>7.2160700341943773</c:v>
                </c:pt>
                <c:pt idx="309">
                  <c:v>7.0456082461754042</c:v>
                </c:pt>
                <c:pt idx="310">
                  <c:v>6.8758264260397652</c:v>
                </c:pt>
                <c:pt idx="311">
                  <c:v>6.7067620564203336</c:v>
                </c:pt>
                <c:pt idx="312">
                  <c:v>6.5384530705571855</c:v>
                </c:pt>
                <c:pt idx="313">
                  <c:v>6.3709378516705701</c:v>
                </c:pt>
                <c:pt idx="314">
                  <c:v>6.2042552291234854</c:v>
                </c:pt>
                <c:pt idx="315">
                  <c:v>6.0384444712056933</c:v>
                </c:pt>
                <c:pt idx="316">
                  <c:v>5.8735452743807315</c:v>
                </c:pt>
                <c:pt idx="317">
                  <c:v>5.7095977488380392</c:v>
                </c:pt>
                <c:pt idx="318">
                  <c:v>5.5466424002081274</c:v>
                </c:pt>
                <c:pt idx="319">
                  <c:v>5.3847201073014483</c:v>
                </c:pt>
                <c:pt idx="320">
                  <c:v>5.2238720957524762</c:v>
                </c:pt>
                <c:pt idx="321">
                  <c:v>5.0641399074571858</c:v>
                </c:pt>
                <c:pt idx="322">
                  <c:v>4.905565365717985</c:v>
                </c:pt>
                <c:pt idx="323">
                  <c:v>4.74819053602537</c:v>
                </c:pt>
                <c:pt idx="324">
                  <c:v>4.592057682429564</c:v>
                </c:pt>
                <c:pt idx="325">
                  <c:v>4.4372092194820745</c:v>
                </c:pt>
                <c:pt idx="326">
                  <c:v>4.2836876597554365</c:v>
                </c:pt>
                <c:pt idx="327">
                  <c:v>4.1315355569788252</c:v>
                </c:pt>
                <c:pt idx="328">
                  <c:v>3.9807954448630962</c:v>
                </c:pt>
                <c:pt idx="329">
                  <c:v>3.8315097717225202</c:v>
                </c:pt>
                <c:pt idx="330">
                  <c:v>3.6837208310400871</c:v>
                </c:pt>
                <c:pt idx="331">
                  <c:v>3.5374706881631006</c:v>
                </c:pt>
                <c:pt idx="332">
                  <c:v>3.3928011033551297</c:v>
                </c:pt>
                <c:pt idx="333">
                  <c:v>3.2497534514779343</c:v>
                </c:pt>
                <c:pt idx="334">
                  <c:v>3.1083686386137916</c:v>
                </c:pt>
                <c:pt idx="335">
                  <c:v>2.9686870159880892</c:v>
                </c:pt>
                <c:pt idx="336">
                  <c:v>2.8307482915921311</c:v>
                </c:pt>
                <c:pt idx="337">
                  <c:v>2.694591439948586</c:v>
                </c:pt>
                <c:pt idx="338">
                  <c:v>2.5602546105040052</c:v>
                </c:pt>
                <c:pt idx="339">
                  <c:v>2.4277750351692498</c:v>
                </c:pt>
                <c:pt idx="340">
                  <c:v>2.2971889355648258</c:v>
                </c:pt>
                <c:pt idx="341">
                  <c:v>2.1685314305600452</c:v>
                </c:pt>
                <c:pt idx="342">
                  <c:v>2.0418364447214579</c:v>
                </c:pt>
                <c:pt idx="343">
                  <c:v>1.9171366183075107</c:v>
                </c:pt>
                <c:pt idx="344">
                  <c:v>1.7944632194640706</c:v>
                </c:pt>
                <c:pt idx="345">
                  <c:v>1.6738460592829483</c:v>
                </c:pt>
                <c:pt idx="346">
                  <c:v>1.5553134103942556</c:v>
                </c:pt>
                <c:pt idx="347">
                  <c:v>1.4388919297510889</c:v>
                </c:pt>
                <c:pt idx="348">
                  <c:v>1.3246065862620828</c:v>
                </c:pt>
                <c:pt idx="349">
                  <c:v>1.2124805939047294</c:v>
                </c:pt>
                <c:pt idx="350">
                  <c:v>1.1025353509241316</c:v>
                </c:pt>
                <c:pt idx="351">
                  <c:v>0.99479038569271327</c:v>
                </c:pt>
                <c:pt idx="352">
                  <c:v>0.88926330976072032</c:v>
                </c:pt>
                <c:pt idx="353">
                  <c:v>0.78596977858163131</c:v>
                </c:pt>
                <c:pt idx="354">
                  <c:v>0.68492346034257934</c:v>
                </c:pt>
                <c:pt idx="355">
                  <c:v>0.58613601326741116</c:v>
                </c:pt>
                <c:pt idx="356">
                  <c:v>0.48961707169752455</c:v>
                </c:pt>
                <c:pt idx="357">
                  <c:v>0.39537424118637093</c:v>
                </c:pt>
                <c:pt idx="358">
                  <c:v>0.30341310276922823</c:v>
                </c:pt>
                <c:pt idx="359">
                  <c:v>0.21373722649965843</c:v>
                </c:pt>
                <c:pt idx="360">
                  <c:v>0.12634819426630331</c:v>
                </c:pt>
                <c:pt idx="361">
                  <c:v>4.1245631830571533E-2</c:v>
                </c:pt>
                <c:pt idx="362">
                  <c:v>-4.1572750048604536E-2</c:v>
                </c:pt>
                <c:pt idx="363">
                  <c:v>-0.12211110560572039</c:v>
                </c:pt>
                <c:pt idx="364">
                  <c:v>-0.20037539544642147</c:v>
                </c:pt>
                <c:pt idx="365">
                  <c:v>-0.27637331964746115</c:v>
                </c:pt>
                <c:pt idx="366">
                  <c:v>-0.35011424296827431</c:v>
                </c:pt>
                <c:pt idx="367">
                  <c:v>-0.42160911261974376</c:v>
                </c:pt>
                <c:pt idx="368">
                  <c:v>-0.49087036907634285</c:v>
                </c:pt>
                <c:pt idx="369">
                  <c:v>-0.55791185045812508</c:v>
                </c:pt>
                <c:pt idx="370">
                  <c:v>-0.62274869104038355</c:v>
                </c:pt>
                <c:pt idx="371">
                  <c:v>-0.68539721446690638</c:v>
                </c:pt>
                <c:pt idx="372">
                  <c:v>-0.74587482226266943</c:v>
                </c:pt>
                <c:pt idx="373">
                  <c:v>-0.80419987824646211</c:v>
                </c:pt>
                <c:pt idx="374">
                  <c:v>-0.86039158944247052</c:v>
                </c:pt>
                <c:pt idx="375">
                  <c:v>-0.91446988408548469</c:v>
                </c:pt>
                <c:pt idx="376">
                  <c:v>-0.96645528729558183</c:v>
                </c:pt>
                <c:pt idx="377">
                  <c:v>-1.0163687949826476</c:v>
                </c:pt>
                <c:pt idx="378">
                  <c:v>-1.0642317465097235</c:v>
                </c:pt>
                <c:pt idx="379">
                  <c:v>-1.1100656966158491</c:v>
                </c:pt>
                <c:pt idx="380">
                  <c:v>-1.1538922870617487</c:v>
                </c:pt>
                <c:pt idx="381">
                  <c:v>-1.1957331184221882</c:v>
                </c:pt>
                <c:pt idx="382">
                  <c:v>-1.2356096224075959</c:v>
                </c:pt>
                <c:pt idx="383">
                  <c:v>-1.2735429350491245</c:v>
                </c:pt>
                <c:pt idx="384">
                  <c:v>-1.3095537710380567</c:v>
                </c:pt>
                <c:pt idx="385">
                  <c:v>-1.3436622994600467</c:v>
                </c:pt>
                <c:pt idx="386">
                  <c:v>-1.3758880211185427</c:v>
                </c:pt>
                <c:pt idx="387">
                  <c:v>-1.4062496475912711</c:v>
                </c:pt>
                <c:pt idx="388">
                  <c:v>-1.4347649821169255</c:v>
                </c:pt>
                <c:pt idx="389">
                  <c:v>-1.4614508023636883</c:v>
                </c:pt>
                <c:pt idx="390">
                  <c:v>-1.4863227450820826</c:v>
                </c:pt>
                <c:pt idx="391">
                  <c:v>-1.5093951926061804</c:v>
                </c:pt>
                <c:pt idx="392">
                  <c:v>-1.5306811611198903</c:v>
                </c:pt>
                <c:pt idx="393">
                  <c:v>-1.5501921905694449</c:v>
                </c:pt>
                <c:pt idx="394">
                  <c:v>-1.5679382360628562</c:v>
                </c:pt>
                <c:pt idx="395">
                  <c:v>-1.5839275605638581</c:v>
                </c:pt>
                <c:pt idx="396">
                  <c:v>-1.5981666286529848</c:v>
                </c:pt>
                <c:pt idx="397">
                  <c:v>-1.6106600011004388</c:v>
                </c:pt>
                <c:pt idx="398">
                  <c:v>-1.6214102299647037</c:v>
                </c:pt>
                <c:pt idx="399">
                  <c:v>-1.6304177539071683</c:v>
                </c:pt>
                <c:pt idx="400">
                  <c:v>-1.6376807933889626</c:v>
                </c:pt>
                <c:pt idx="401">
                  <c:v>-1.6431952453952796</c:v>
                </c:pt>
                <c:pt idx="402">
                  <c:v>-1.6469545773131777</c:v>
                </c:pt>
                <c:pt idx="403">
                  <c:v>-1.6489497195730833</c:v>
                </c:pt>
                <c:pt idx="404">
                  <c:v>-1.6491689566510002</c:v>
                </c:pt>
                <c:pt idx="405">
                  <c:v>-1.647597816013489</c:v>
                </c:pt>
                <c:pt idx="406">
                  <c:v>-1.6442189545822983</c:v>
                </c:pt>
                <c:pt idx="407">
                  <c:v>-1.6390120422859495</c:v>
                </c:pt>
                <c:pt idx="408">
                  <c:v>-1.6319536422643872</c:v>
                </c:pt>
                <c:pt idx="409">
                  <c:v>-1.6230170872918006</c:v>
                </c:pt>
                <c:pt idx="410">
                  <c:v>-1.6121723519864202</c:v>
                </c:pt>
                <c:pt idx="411">
                  <c:v>-1.5993859203887641</c:v>
                </c:pt>
                <c:pt idx="412">
                  <c:v>-1.5846206485011336</c:v>
                </c:pt>
                <c:pt idx="413">
                  <c:v>-1.5678356214071545</c:v>
                </c:pt>
                <c:pt idx="414">
                  <c:v>-1.5489860046215798</c:v>
                </c:pt>
                <c:pt idx="415">
                  <c:v>-1.5280228893643883</c:v>
                </c:pt>
                <c:pt idx="416">
                  <c:v>-1.5048931315114</c:v>
                </c:pt>
                <c:pt idx="417">
                  <c:v>-1.4795391840505554</c:v>
                </c:pt>
                <c:pt idx="418">
                  <c:v>-1.4518989229714239</c:v>
                </c:pt>
                <c:pt idx="419">
                  <c:v>-1.4219054666426261</c:v>
                </c:pt>
                <c:pt idx="420">
                  <c:v>-1.3894869888942185</c:v>
                </c:pt>
                <c:pt idx="421">
                  <c:v>-1.3545665262294591</c:v>
                </c:pt>
                <c:pt idx="422">
                  <c:v>-1.3170617798510056</c:v>
                </c:pt>
                <c:pt idx="423">
                  <c:v>-1.2768849135189853</c:v>
                </c:pt>
                <c:pt idx="424">
                  <c:v>-1.2339423486767591</c:v>
                </c:pt>
                <c:pt idx="425">
                  <c:v>-1.1881345588056589</c:v>
                </c:pt>
                <c:pt idx="426">
                  <c:v>-1.1393558656351126</c:v>
                </c:pt>
                <c:pt idx="427">
                  <c:v>-1.0874942406683559</c:v>
                </c:pt>
                <c:pt idx="428">
                  <c:v>-1.0324311165340445</c:v>
                </c:pt>
                <c:pt idx="429">
                  <c:v>-0.97404121399173771</c:v>
                </c:pt>
                <c:pt idx="430">
                  <c:v>-0.91219239207960956</c:v>
                </c:pt>
                <c:pt idx="431">
                  <c:v>-0.84674553097941485</c:v>
                </c:pt>
                <c:pt idx="432">
                  <c:v>-0.77755445979092686</c:v>
                </c:pt>
                <c:pt idx="433">
                  <c:v>-0.70446594471768764</c:v>
                </c:pt>
                <c:pt idx="434">
                  <c:v>-0.62731975731255996</c:v>
                </c:pt>
                <c:pt idx="435">
                  <c:v>-0.54594884766812224</c:v>
                </c:pt>
                <c:pt idx="436">
                  <c:v>-0.4601796540257605</c:v>
                </c:pt>
                <c:pt idx="437">
                  <c:v>-0.36983258858893192</c:v>
                </c:pt>
                <c:pt idx="438">
                  <c:v>-0.2747227497877609</c:v>
                </c:pt>
                <c:pt idx="439">
                  <c:v>-0.17466092444446912</c:v>
                </c:pt>
                <c:pt idx="440">
                  <c:v>-6.9454959898767196E-2</c:v>
                </c:pt>
                <c:pt idx="441">
                  <c:v>4.1088392933549552E-2</c:v>
                </c:pt>
                <c:pt idx="442">
                  <c:v>0.15716103833264231</c:v>
                </c:pt>
                <c:pt idx="443">
                  <c:v>0.27895033623762155</c:v>
                </c:pt>
                <c:pt idx="444">
                  <c:v>0.40663494318735571</c:v>
                </c:pt>
                <c:pt idx="445">
                  <c:v>0.5403794415525367</c:v>
                </c:pt>
                <c:pt idx="446">
                  <c:v>0.68032744208025964</c:v>
                </c:pt>
                <c:pt idx="447">
                  <c:v>0.82659276828208939</c:v>
                </c:pt>
                <c:pt idx="448">
                  <c:v>0.97924823944585393</c:v>
                </c:pt>
                <c:pt idx="449">
                  <c:v>1.1383114614643828</c:v>
                </c:pt>
                <c:pt idx="450">
                  <c:v>1.3037269127413877</c:v>
                </c:pt>
                <c:pt idx="451">
                  <c:v>1.4753434815177462</c:v>
                </c:pt>
                <c:pt idx="452">
                  <c:v>1.6528864833436518</c:v>
                </c:pt>
                <c:pt idx="453">
                  <c:v>1.8359230867636369</c:v>
                </c:pt>
                <c:pt idx="454">
                  <c:v>2.0238200435081968</c:v>
                </c:pt>
                <c:pt idx="455">
                  <c:v>2.2156927259860768</c:v>
                </c:pt>
                <c:pt idx="456">
                  <c:v>2.4103448281922031</c:v>
                </c:pt>
                <c:pt idx="457">
                  <c:v>2.606198845717191</c:v>
                </c:pt>
                <c:pt idx="458">
                  <c:v>2.801218832883162</c:v>
                </c:pt>
                <c:pt idx="459">
                  <c:v>2.9928292015397817</c:v>
                </c:pt>
                <c:pt idx="460">
                  <c:v>3.1778367294374972</c:v>
                </c:pt>
                <c:pt idx="461">
                  <c:v>3.352367601183917</c:v>
                </c:pt>
                <c:pt idx="462">
                  <c:v>3.5118369475667039</c:v>
                </c:pt>
                <c:pt idx="463">
                  <c:v>3.6509739789525582</c:v>
                </c:pt>
                <c:pt idx="464">
                  <c:v>3.7639293099799676</c:v>
                </c:pt>
                <c:pt idx="465">
                  <c:v>3.8444891063768334</c:v>
                </c:pt>
                <c:pt idx="466">
                  <c:v>3.8864093602657319</c:v>
                </c:pt>
                <c:pt idx="467">
                  <c:v>3.883860433696908</c:v>
                </c:pt>
                <c:pt idx="468">
                  <c:v>3.8319389892876159</c:v>
                </c:pt>
                <c:pt idx="469">
                  <c:v>3.7271705169078744</c:v>
                </c:pt>
                <c:pt idx="470">
                  <c:v>3.567905735647396</c:v>
                </c:pt>
                <c:pt idx="471">
                  <c:v>3.3545223021678678</c:v>
                </c:pt>
                <c:pt idx="472">
                  <c:v>3.0893830609025112</c:v>
                </c:pt>
                <c:pt idx="473">
                  <c:v>2.7765610960163061</c:v>
                </c:pt>
                <c:pt idx="474">
                  <c:v>2.4213967326542116</c:v>
                </c:pt>
                <c:pt idx="475">
                  <c:v>2.0299814416907203</c:v>
                </c:pt>
                <c:pt idx="476">
                  <c:v>1.6086612579333426</c:v>
                </c:pt>
                <c:pt idx="477">
                  <c:v>1.1636259163776752</c:v>
                </c:pt>
                <c:pt idx="478">
                  <c:v>0.70061485390285549</c:v>
                </c:pt>
                <c:pt idx="479">
                  <c:v>0.22474087084633038</c:v>
                </c:pt>
                <c:pt idx="480">
                  <c:v>-0.25958689316395428</c:v>
                </c:pt>
                <c:pt idx="481">
                  <c:v>-0.74866680933720275</c:v>
                </c:pt>
                <c:pt idx="482">
                  <c:v>-1.2394612826789884</c:v>
                </c:pt>
                <c:pt idx="483">
                  <c:v>-1.7295272669683701</c:v>
                </c:pt>
                <c:pt idx="484">
                  <c:v>-2.2169362831358521</c:v>
                </c:pt>
                <c:pt idx="485">
                  <c:v>-2.7001940732881784</c:v>
                </c:pt>
                <c:pt idx="486">
                  <c:v>-3.1781657816701596</c:v>
                </c:pt>
                <c:pt idx="487">
                  <c:v>-3.6500095538559862</c:v>
                </c:pt>
                <c:pt idx="488">
                  <c:v>-4.1151195048298099</c:v>
                </c:pt>
                <c:pt idx="489">
                  <c:v>-4.5730778599143553</c:v>
                </c:pt>
                <c:pt idx="490">
                  <c:v>-5.0236154700301396</c:v>
                </c:pt>
                <c:pt idx="491">
                  <c:v>-5.4665796469954566</c:v>
                </c:pt>
                <c:pt idx="492">
                  <c:v>-5.9019082142272019</c:v>
                </c:pt>
                <c:pt idx="493">
                  <c:v>-6.3296087291970737</c:v>
                </c:pt>
                <c:pt idx="494">
                  <c:v>-6.7497419473228124</c:v>
                </c:pt>
                <c:pt idx="495">
                  <c:v>-7.1624087277076658</c:v>
                </c:pt>
                <c:pt idx="496">
                  <c:v>-7.5677397100737007</c:v>
                </c:pt>
                <c:pt idx="497">
                  <c:v>-7.9658872097924904</c:v>
                </c:pt>
                <c:pt idx="498">
                  <c:v>-8.3570188803177725</c:v>
                </c:pt>
                <c:pt idx="499">
                  <c:v>-8.7413127789123166</c:v>
                </c:pt>
                <c:pt idx="500">
                  <c:v>-9.1377732565456977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22-463D-81A0-68F554CF810C}"/>
            </c:ext>
          </c:extLst>
        </c:ser>
        <c:ser>
          <c:idx val="4"/>
          <c:order val="2"/>
          <c:tx>
            <c:strRef>
              <c:f>'Small Signal'!$AF$3</c:f>
              <c:strCache>
                <c:ptCount val="1"/>
                <c:pt idx="0">
                  <c:v>Total Gain</c:v>
                </c:pt>
              </c:strCache>
            </c:strRef>
          </c:tx>
          <c:spPr>
            <a:ln w="381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'Small Signal'!$Q$4:$Q$504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Signal'!$AF$4:$AF$504</c:f>
              <c:numCache>
                <c:formatCode>General</c:formatCode>
                <c:ptCount val="501"/>
                <c:pt idx="0">
                  <c:v>52.281342293925064</c:v>
                </c:pt>
                <c:pt idx="1">
                  <c:v>52.08680277150259</c:v>
                </c:pt>
                <c:pt idx="2">
                  <c:v>51.892244796441197</c:v>
                </c:pt>
                <c:pt idx="3">
                  <c:v>51.69766925941844</c:v>
                </c:pt>
                <c:pt idx="4">
                  <c:v>51.503077016173023</c:v>
                </c:pt>
                <c:pt idx="5">
                  <c:v>51.308468889188212</c:v>
                </c:pt>
                <c:pt idx="6">
                  <c:v>51.113845669313221</c:v>
                </c:pt>
                <c:pt idx="7">
                  <c:v>50.919208117323947</c:v>
                </c:pt>
                <c:pt idx="8">
                  <c:v>50.724556965425002</c:v>
                </c:pt>
                <c:pt idx="9">
                  <c:v>50.529892918698081</c:v>
                </c:pt>
                <c:pt idx="10">
                  <c:v>50.335216656496343</c:v>
                </c:pt>
                <c:pt idx="11">
                  <c:v>50.140528833790981</c:v>
                </c:pt>
                <c:pt idx="12">
                  <c:v>49.945830082469186</c:v>
                </c:pt>
                <c:pt idx="13">
                  <c:v>49.751121012588129</c:v>
                </c:pt>
                <c:pt idx="14">
                  <c:v>49.55640221358631</c:v>
                </c:pt>
                <c:pt idx="15">
                  <c:v>49.361674255454865</c:v>
                </c:pt>
                <c:pt idx="16">
                  <c:v>49.166937689870949</c:v>
                </c:pt>
                <c:pt idx="17">
                  <c:v>48.972193051295903</c:v>
                </c:pt>
                <c:pt idx="18">
                  <c:v>48.777440858038688</c:v>
                </c:pt>
                <c:pt idx="19">
                  <c:v>48.582681613289807</c:v>
                </c:pt>
                <c:pt idx="20">
                  <c:v>48.387915806123061</c:v>
                </c:pt>
                <c:pt idx="21">
                  <c:v>48.193143912471953</c:v>
                </c:pt>
                <c:pt idx="22">
                  <c:v>47.998366396078538</c:v>
                </c:pt>
                <c:pt idx="23">
                  <c:v>47.803583709420167</c:v>
                </c:pt>
                <c:pt idx="24">
                  <c:v>47.608796294612318</c:v>
                </c:pt>
                <c:pt idx="25">
                  <c:v>47.414004584292314</c:v>
                </c:pt>
                <c:pt idx="26">
                  <c:v>47.219209002483623</c:v>
                </c:pt>
                <c:pt idx="27">
                  <c:v>47.02440996544351</c:v>
                </c:pt>
                <c:pt idx="28">
                  <c:v>46.829607882495665</c:v>
                </c:pt>
                <c:pt idx="29">
                  <c:v>46.634803156848001</c:v>
                </c:pt>
                <c:pt idx="30">
                  <c:v>46.439996186400158</c:v>
                </c:pt>
                <c:pt idx="31">
                  <c:v>46.245187364538104</c:v>
                </c:pt>
                <c:pt idx="32">
                  <c:v>46.050377080922523</c:v>
                </c:pt>
                <c:pt idx="33">
                  <c:v>45.855565722266746</c:v>
                </c:pt>
                <c:pt idx="34">
                  <c:v>45.660753673111415</c:v>
                </c:pt>
                <c:pt idx="35">
                  <c:v>45.465941316593124</c:v>
                </c:pt>
                <c:pt idx="36">
                  <c:v>45.271129035210208</c:v>
                </c:pt>
                <c:pt idx="37">
                  <c:v>45.076317211588531</c:v>
                </c:pt>
                <c:pt idx="38">
                  <c:v>44.881506229245055</c:v>
                </c:pt>
                <c:pt idx="39">
                  <c:v>44.686696473354843</c:v>
                </c:pt>
                <c:pt idx="40">
                  <c:v>44.491888331520656</c:v>
                </c:pt>
                <c:pt idx="41">
                  <c:v>44.297082194546022</c:v>
                </c:pt>
                <c:pt idx="42">
                  <c:v>44.102278457216158</c:v>
                </c:pt>
                <c:pt idx="43">
                  <c:v>43.907477519084317</c:v>
                </c:pt>
                <c:pt idx="44">
                  <c:v>43.712679785269543</c:v>
                </c:pt>
                <c:pt idx="45">
                  <c:v>43.517885667262732</c:v>
                </c:pt>
                <c:pt idx="46">
                  <c:v>43.323095583746444</c:v>
                </c:pt>
                <c:pt idx="47">
                  <c:v>43.128309961427519</c:v>
                </c:pt>
                <c:pt idx="48">
                  <c:v>42.933529235885601</c:v>
                </c:pt>
                <c:pt idx="49">
                  <c:v>42.738753852438052</c:v>
                </c:pt>
                <c:pt idx="50">
                  <c:v>42.543984267023738</c:v>
                </c:pt>
                <c:pt idx="51">
                  <c:v>42.34922094710678</c:v>
                </c:pt>
                <c:pt idx="52">
                  <c:v>42.154464372602654</c:v>
                </c:pt>
                <c:pt idx="53">
                  <c:v>41.959715036827006</c:v>
                </c:pt>
                <c:pt idx="54">
                  <c:v>41.764973447471505</c:v>
                </c:pt>
                <c:pt idx="55">
                  <c:v>41.570240127604912</c:v>
                </c:pt>
                <c:pt idx="56">
                  <c:v>41.375515616704952</c:v>
                </c:pt>
                <c:pt idx="57">
                  <c:v>41.180800471719742</c:v>
                </c:pt>
                <c:pt idx="58">
                  <c:v>40.986095268163609</c:v>
                </c:pt>
                <c:pt idx="59">
                  <c:v>40.791400601246039</c:v>
                </c:pt>
                <c:pt idx="60">
                  <c:v>40.596717087039274</c:v>
                </c:pt>
                <c:pt idx="61">
                  <c:v>40.402045363683712</c:v>
                </c:pt>
                <c:pt idx="62">
                  <c:v>40.207386092634685</c:v>
                </c:pt>
                <c:pt idx="63">
                  <c:v>40.012739959953201</c:v>
                </c:pt>
                <c:pt idx="64">
                  <c:v>39.818107677641486</c:v>
                </c:pt>
                <c:pt idx="65">
                  <c:v>39.623489985026922</c:v>
                </c:pt>
                <c:pt idx="66">
                  <c:v>39.428887650195925</c:v>
                </c:pt>
                <c:pt idx="67">
                  <c:v>39.234301471481089</c:v>
                </c:pt>
                <c:pt idx="68">
                  <c:v>39.039732279003189</c:v>
                </c:pt>
                <c:pt idx="69">
                  <c:v>38.845180936270779</c:v>
                </c:pt>
                <c:pt idx="70">
                  <c:v>38.650648341841006</c:v>
                </c:pt>
                <c:pt idx="71">
                  <c:v>38.456135431042952</c:v>
                </c:pt>
                <c:pt idx="72">
                  <c:v>38.261643177767397</c:v>
                </c:pt>
                <c:pt idx="73">
                  <c:v>38.067172596324539</c:v>
                </c:pt>
                <c:pt idx="74">
                  <c:v>37.872724743374732</c:v>
                </c:pt>
                <c:pt idx="75">
                  <c:v>37.678300719933048</c:v>
                </c:pt>
                <c:pt idx="76">
                  <c:v>37.48390167345179</c:v>
                </c:pt>
                <c:pt idx="77">
                  <c:v>37.289528799984026</c:v>
                </c:pt>
                <c:pt idx="78">
                  <c:v>37.095183346431277</c:v>
                </c:pt>
                <c:pt idx="79">
                  <c:v>36.900866612878005</c:v>
                </c:pt>
                <c:pt idx="80">
                  <c:v>36.706579955018114</c:v>
                </c:pt>
                <c:pt idx="81">
                  <c:v>36.512324786673361</c:v>
                </c:pt>
                <c:pt idx="82">
                  <c:v>36.318102582411875</c:v>
                </c:pt>
                <c:pt idx="83">
                  <c:v>36.123914880264735</c:v>
                </c:pt>
                <c:pt idx="84">
                  <c:v>35.929763284549843</c:v>
                </c:pt>
                <c:pt idx="85">
                  <c:v>35.735649468801462</c:v>
                </c:pt>
                <c:pt idx="86">
                  <c:v>35.541575178812437</c:v>
                </c:pt>
                <c:pt idx="87">
                  <c:v>35.347542235791856</c:v>
                </c:pt>
                <c:pt idx="88">
                  <c:v>35.153552539640472</c:v>
                </c:pt>
                <c:pt idx="89">
                  <c:v>34.959608072348956</c:v>
                </c:pt>
                <c:pt idx="90">
                  <c:v>34.765710901522844</c:v>
                </c:pt>
                <c:pt idx="91">
                  <c:v>34.571863184035038</c:v>
                </c:pt>
                <c:pt idx="92">
                  <c:v>34.378067169813022</c:v>
                </c:pt>
                <c:pt idx="93">
                  <c:v>34.184325205761354</c:v>
                </c:pt>
                <c:pt idx="94">
                  <c:v>33.990639739824275</c:v>
                </c:pt>
                <c:pt idx="95">
                  <c:v>33.797013325190107</c:v>
                </c:pt>
                <c:pt idx="96">
                  <c:v>33.603448624643221</c:v>
                </c:pt>
                <c:pt idx="97">
                  <c:v>33.409948415062708</c:v>
                </c:pt>
                <c:pt idx="98">
                  <c:v>33.216515592073492</c:v>
                </c:pt>
                <c:pt idx="99">
                  <c:v>33.023153174850975</c:v>
                </c:pt>
                <c:pt idx="100">
                  <c:v>32.829864311080939</c:v>
                </c:pt>
                <c:pt idx="101">
                  <c:v>32.636652282077705</c:v>
                </c:pt>
                <c:pt idx="102">
                  <c:v>32.443520508060367</c:v>
                </c:pt>
                <c:pt idx="103">
                  <c:v>32.250472553589475</c:v>
                </c:pt>
                <c:pt idx="104">
                  <c:v>32.057512133163883</c:v>
                </c:pt>
                <c:pt idx="105">
                  <c:v>31.86464311697776</c:v>
                </c:pt>
                <c:pt idx="106">
                  <c:v>31.67186953683704</c:v>
                </c:pt>
                <c:pt idx="107">
                  <c:v>31.479195592233708</c:v>
                </c:pt>
                <c:pt idx="108">
                  <c:v>31.28662565657627</c:v>
                </c:pt>
                <c:pt idx="109">
                  <c:v>31.094164283573107</c:v>
                </c:pt>
                <c:pt idx="110">
                  <c:v>30.901816213763706</c:v>
                </c:pt>
                <c:pt idx="111">
                  <c:v>30.709586381194768</c:v>
                </c:pt>
                <c:pt idx="112">
                  <c:v>30.517479920232788</c:v>
                </c:pt>
                <c:pt idx="113">
                  <c:v>30.325502172506852</c:v>
                </c:pt>
                <c:pt idx="114">
                  <c:v>30.1336586939725</c:v>
                </c:pt>
                <c:pt idx="115">
                  <c:v>29.941955262085827</c:v>
                </c:pt>
                <c:pt idx="116">
                  <c:v>29.750397883076072</c:v>
                </c:pt>
                <c:pt idx="117">
                  <c:v>29.558992799303045</c:v>
                </c:pt>
                <c:pt idx="118">
                  <c:v>29.367746496682244</c:v>
                </c:pt>
                <c:pt idx="119">
                  <c:v>29.176665712161217</c:v>
                </c:pt>
                <c:pt idx="120">
                  <c:v>28.98575744122531</c:v>
                </c:pt>
                <c:pt idx="121">
                  <c:v>28.795028945411417</c:v>
                </c:pt>
                <c:pt idx="122">
                  <c:v>28.604487759803</c:v>
                </c:pt>
                <c:pt idx="123">
                  <c:v>28.414141700478247</c:v>
                </c:pt>
                <c:pt idx="124">
                  <c:v>28.223998871880671</c:v>
                </c:pt>
                <c:pt idx="125">
                  <c:v>28.034067674076294</c:v>
                </c:pt>
                <c:pt idx="126">
                  <c:v>27.844356809860415</c:v>
                </c:pt>
                <c:pt idx="127">
                  <c:v>27.654875291670471</c:v>
                </c:pt>
                <c:pt idx="128">
                  <c:v>27.465632448260909</c:v>
                </c:pt>
                <c:pt idx="129">
                  <c:v>27.276637931088505</c:v>
                </c:pt>
                <c:pt idx="130">
                  <c:v>27.087901720355585</c:v>
                </c:pt>
                <c:pt idx="131">
                  <c:v>26.899434130650228</c:v>
                </c:pt>
                <c:pt idx="132">
                  <c:v>26.711245816121426</c:v>
                </c:pt>
                <c:pt idx="133">
                  <c:v>26.523347775120442</c:v>
                </c:pt>
                <c:pt idx="134">
                  <c:v>26.335751354234088</c:v>
                </c:pt>
                <c:pt idx="135">
                  <c:v>26.148468251631595</c:v>
                </c:pt>
                <c:pt idx="136">
                  <c:v>25.961510519641287</c:v>
                </c:pt>
                <c:pt idx="137">
                  <c:v>25.77489056646559</c:v>
                </c:pt>
                <c:pt idx="138">
                  <c:v>25.588621156942118</c:v>
                </c:pt>
                <c:pt idx="139">
                  <c:v>25.402715412246788</c:v>
                </c:pt>
                <c:pt idx="140">
                  <c:v>25.217186808435226</c:v>
                </c:pt>
                <c:pt idx="141">
                  <c:v>25.032049173709815</c:v>
                </c:pt>
                <c:pt idx="142">
                  <c:v>24.847316684295535</c:v>
                </c:pt>
                <c:pt idx="143">
                  <c:v>24.6630038588026</c:v>
                </c:pt>
                <c:pt idx="144">
                  <c:v>24.479125550950265</c:v>
                </c:pt>
                <c:pt idx="145">
                  <c:v>24.295696940519132</c:v>
                </c:pt>
                <c:pt idx="146">
                  <c:v>24.112733522399495</c:v>
                </c:pt>
                <c:pt idx="147">
                  <c:v>23.930251093597068</c:v>
                </c:pt>
                <c:pt idx="148">
                  <c:v>23.748265738055245</c:v>
                </c:pt>
                <c:pt idx="149">
                  <c:v>23.566793809153538</c:v>
                </c:pt>
                <c:pt idx="150">
                  <c:v>23.385851909740882</c:v>
                </c:pt>
                <c:pt idx="151">
                  <c:v>23.205456869559256</c:v>
                </c:pt>
                <c:pt idx="152">
                  <c:v>23.025625719923237</c:v>
                </c:pt>
                <c:pt idx="153">
                  <c:v>22.846375665515176</c:v>
                </c:pt>
                <c:pt idx="154">
                  <c:v>22.667724053168822</c:v>
                </c:pt>
                <c:pt idx="155">
                  <c:v>22.489688337516725</c:v>
                </c:pt>
                <c:pt idx="156">
                  <c:v>22.312286043386852</c:v>
                </c:pt>
                <c:pt idx="157">
                  <c:v>22.135534724845176</c:v>
                </c:pt>
                <c:pt idx="158">
                  <c:v>21.959451920796575</c:v>
                </c:pt>
                <c:pt idx="159">
                  <c:v>21.784055107066717</c:v>
                </c:pt>
                <c:pt idx="160">
                  <c:v>21.609361644913655</c:v>
                </c:pt>
                <c:pt idx="161">
                  <c:v>21.43538872593248</c:v>
                </c:pt>
                <c:pt idx="162">
                  <c:v>21.262153313345628</c:v>
                </c:pt>
                <c:pt idx="163">
                  <c:v>21.089672079693905</c:v>
                </c:pt>
                <c:pt idx="164">
                  <c:v>20.917961340976778</c:v>
                </c:pt>
                <c:pt idx="165">
                  <c:v>20.74703698732198</c:v>
                </c:pt>
                <c:pt idx="166">
                  <c:v>20.57691441029775</c:v>
                </c:pt>
                <c:pt idx="167">
                  <c:v>20.407608427023501</c:v>
                </c:pt>
                <c:pt idx="168">
                  <c:v>20.239133201270143</c:v>
                </c:pt>
                <c:pt idx="169">
                  <c:v>20.07150216179026</c:v>
                </c:pt>
                <c:pt idx="170">
                  <c:v>19.904727918156329</c:v>
                </c:pt>
                <c:pt idx="171">
                  <c:v>19.738822174437644</c:v>
                </c:pt>
                <c:pt idx="172">
                  <c:v>19.573795641090069</c:v>
                </c:pt>
                <c:pt idx="173">
                  <c:v>19.409657945482568</c:v>
                </c:pt>
                <c:pt idx="174">
                  <c:v>19.246417541532981</c:v>
                </c:pt>
                <c:pt idx="175">
                  <c:v>19.084081618971702</c:v>
                </c:pt>
                <c:pt idx="176">
                  <c:v>18.92265601279837</c:v>
                </c:pt>
                <c:pt idx="177">
                  <c:v>18.762145113542754</c:v>
                </c:pt>
                <c:pt idx="178">
                  <c:v>18.602551778978118</c:v>
                </c:pt>
                <c:pt idx="179">
                  <c:v>18.443877247977078</c:v>
                </c:pt>
                <c:pt idx="180">
                  <c:v>18.286121057229334</c:v>
                </c:pt>
                <c:pt idx="181">
                  <c:v>18.129280961569957</c:v>
                </c:pt>
                <c:pt idx="182">
                  <c:v>17.973352858686397</c:v>
                </c:pt>
                <c:pt idx="183">
                  <c:v>17.818330718986264</c:v>
                </c:pt>
                <c:pt idx="184">
                  <c:v>17.664206521414414</c:v>
                </c:pt>
                <c:pt idx="185">
                  <c:v>17.51097019600466</c:v>
                </c:pt>
                <c:pt idx="186">
                  <c:v>17.358609573936654</c:v>
                </c:pt>
                <c:pt idx="187">
                  <c:v>17.207110345851717</c:v>
                </c:pt>
                <c:pt idx="188">
                  <c:v>17.056456029143384</c:v>
                </c:pt>
                <c:pt idx="189">
                  <c:v>16.906627944901103</c:v>
                </c:pt>
                <c:pt idx="190">
                  <c:v>16.757605205127568</c:v>
                </c:pt>
                <c:pt idx="191">
                  <c:v>16.609364710793919</c:v>
                </c:pt>
                <c:pt idx="192">
                  <c:v>16.461881161215487</c:v>
                </c:pt>
                <c:pt idx="193">
                  <c:v>16.315127075157438</c:v>
                </c:pt>
                <c:pt idx="194">
                  <c:v>16.169072823980599</c:v>
                </c:pt>
                <c:pt idx="195">
                  <c:v>16.023686677045553</c:v>
                </c:pt>
                <c:pt idx="196">
                  <c:v>15.878934859481841</c:v>
                </c:pt>
                <c:pt idx="197">
                  <c:v>15.734781622323057</c:v>
                </c:pt>
                <c:pt idx="198">
                  <c:v>15.591189324887782</c:v>
                </c:pt>
                <c:pt idx="199">
                  <c:v>15.448118529173756</c:v>
                </c:pt>
                <c:pt idx="200">
                  <c:v>15.305528105909998</c:v>
                </c:pt>
                <c:pt idx="201">
                  <c:v>15.163375351792784</c:v>
                </c:pt>
                <c:pt idx="202">
                  <c:v>15.02161611731815</c:v>
                </c:pt>
                <c:pt idx="203">
                  <c:v>14.880204944508584</c:v>
                </c:pt>
                <c:pt idx="204">
                  <c:v>14.739095213724946</c:v>
                </c:pt>
                <c:pt idx="205">
                  <c:v>14.598239298656088</c:v>
                </c:pt>
                <c:pt idx="206">
                  <c:v>14.457588728490197</c:v>
                </c:pt>
                <c:pt idx="207">
                  <c:v>14.317094356185123</c:v>
                </c:pt>
                <c:pt idx="208">
                  <c:v>14.176706531694908</c:v>
                </c:pt>
                <c:pt idx="209">
                  <c:v>14.036375278945698</c:v>
                </c:pt>
                <c:pt idx="210">
                  <c:v>13.896050475316837</c:v>
                </c:pt>
                <c:pt idx="211">
                  <c:v>13.755682032352274</c:v>
                </c:pt>
                <c:pt idx="212">
                  <c:v>13.615220076414053</c:v>
                </c:pt>
                <c:pt idx="213">
                  <c:v>13.474615127990788</c:v>
                </c:pt>
                <c:pt idx="214">
                  <c:v>13.333818278391295</c:v>
                </c:pt>
                <c:pt idx="215">
                  <c:v>13.192781362581206</c:v>
                </c:pt>
                <c:pt idx="216">
                  <c:v>13.051457126970337</c:v>
                </c:pt>
                <c:pt idx="217">
                  <c:v>12.909799391010301</c:v>
                </c:pt>
                <c:pt idx="218">
                  <c:v>12.767763201538859</c:v>
                </c:pt>
                <c:pt idx="219">
                  <c:v>12.625304978885966</c:v>
                </c:pt>
                <c:pt idx="220">
                  <c:v>12.482382653847843</c:v>
                </c:pt>
                <c:pt idx="221">
                  <c:v>12.338955794740892</c:v>
                </c:pt>
                <c:pt idx="222">
                  <c:v>12.194985723848049</c:v>
                </c:pt>
                <c:pt idx="223">
                  <c:v>12.050435622690935</c:v>
                </c:pt>
                <c:pt idx="224">
                  <c:v>11.905270625671513</c:v>
                </c:pt>
                <c:pt idx="225">
                  <c:v>11.759457901749924</c:v>
                </c:pt>
                <c:pt idx="226">
                  <c:v>11.612966723942993</c:v>
                </c:pt>
                <c:pt idx="227">
                  <c:v>11.465768526546036</c:v>
                </c:pt>
                <c:pt idx="228">
                  <c:v>11.317836950095716</c:v>
                </c:pt>
                <c:pt idx="229">
                  <c:v>11.169147874200942</c:v>
                </c:pt>
                <c:pt idx="230">
                  <c:v>11.019679438476807</c:v>
                </c:pt>
                <c:pt idx="231">
                  <c:v>10.869412051910206</c:v>
                </c:pt>
                <c:pt idx="232">
                  <c:v>10.718328391079481</c:v>
                </c:pt>
                <c:pt idx="233">
                  <c:v>10.566413387729593</c:v>
                </c:pt>
                <c:pt idx="234">
                  <c:v>10.413654206275991</c:v>
                </c:pt>
                <c:pt idx="235">
                  <c:v>10.260040211872621</c:v>
                </c:pt>
                <c:pt idx="236">
                  <c:v>10.105562929730951</c:v>
                </c:pt>
                <c:pt idx="237">
                  <c:v>9.9502159964164285</c:v>
                </c:pt>
                <c:pt idx="238">
                  <c:v>9.7939951038827004</c:v>
                </c:pt>
                <c:pt idx="239">
                  <c:v>9.6368979370200911</c:v>
                </c:pt>
                <c:pt idx="240">
                  <c:v>9.4789241055101741</c:v>
                </c:pt>
                <c:pt idx="241">
                  <c:v>9.3200750707770741</c:v>
                </c:pt>
                <c:pt idx="242">
                  <c:v>9.1603540688209577</c:v>
                </c:pt>
                <c:pt idx="243">
                  <c:v>8.9997660297036006</c:v>
                </c:pt>
                <c:pt idx="244">
                  <c:v>8.8383174944341931</c:v>
                </c:pt>
                <c:pt idx="245">
                  <c:v>8.676016529977888</c:v>
                </c:pt>
                <c:pt idx="246">
                  <c:v>8.5128726430713417</c:v>
                </c:pt>
                <c:pt idx="247">
                  <c:v>8.3488966934970517</c:v>
                </c:pt>
                <c:pt idx="248">
                  <c:v>8.1841008074237624</c:v>
                </c:pt>
                <c:pt idx="249">
                  <c:v>8.0184982913755167</c:v>
                </c:pt>
                <c:pt idx="250">
                  <c:v>7.8521035473480172</c:v>
                </c:pt>
                <c:pt idx="251">
                  <c:v>7.6849319895406314</c:v>
                </c:pt>
                <c:pt idx="252">
                  <c:v>7.5169999631258655</c:v>
                </c:pt>
                <c:pt idx="253">
                  <c:v>7.3483246654304573</c:v>
                </c:pt>
                <c:pt idx="254">
                  <c:v>7.178924069852723</c:v>
                </c:pt>
                <c:pt idx="255">
                  <c:v>7.0088168527970502</c:v>
                </c:pt>
                <c:pt idx="256">
                  <c:v>6.8380223238602831</c:v>
                </c:pt>
                <c:pt idx="257">
                  <c:v>6.6665603594623608</c:v>
                </c:pt>
                <c:pt idx="258">
                  <c:v>6.4944513400738639</c:v>
                </c:pt>
                <c:pt idx="259">
                  <c:v>6.3217160911544958</c:v>
                </c:pt>
                <c:pt idx="260">
                  <c:v>6.1483758278814271</c:v>
                </c:pt>
                <c:pt idx="261">
                  <c:v>5.974452103713805</c:v>
                </c:pt>
                <c:pt idx="262">
                  <c:v>5.7999667628114153</c:v>
                </c:pt>
                <c:pt idx="263">
                  <c:v>5.6249418962953648</c:v>
                </c:pt>
                <c:pt idx="264">
                  <c:v>5.4493998023193253</c:v>
                </c:pt>
                <c:pt idx="265">
                  <c:v>5.2733629498937713</c:v>
                </c:pt>
                <c:pt idx="266">
                  <c:v>5.096853946389972</c:v>
                </c:pt>
                <c:pt idx="267">
                  <c:v>4.9198955086334415</c:v>
                </c:pt>
                <c:pt idx="268">
                  <c:v>4.7425104374821831</c:v>
                </c:pt>
                <c:pt idx="269">
                  <c:v>4.5647215957742198</c:v>
                </c:pt>
                <c:pt idx="270">
                  <c:v>4.3865518895188575</c:v>
                </c:pt>
                <c:pt idx="271">
                  <c:v>4.2080242521977436</c:v>
                </c:pt>
                <c:pt idx="272">
                  <c:v>4.029161632037523</c:v>
                </c:pt>
                <c:pt idx="273">
                  <c:v>3.8499869821094173</c:v>
                </c:pt>
                <c:pt idx="274">
                  <c:v>3.6705232531087564</c:v>
                </c:pt>
                <c:pt idx="275">
                  <c:v>3.4907933886655886</c:v>
                </c:pt>
                <c:pt idx="276">
                  <c:v>3.3108203230357489</c:v>
                </c:pt>
                <c:pt idx="277">
                  <c:v>3.1306269810227541</c:v>
                </c:pt>
                <c:pt idx="278">
                  <c:v>2.9502362799799648</c:v>
                </c:pt>
                <c:pt idx="279">
                  <c:v>2.7696711337442252</c:v>
                </c:pt>
                <c:pt idx="280">
                  <c:v>2.5889544583538395</c:v>
                </c:pt>
                <c:pt idx="281">
                  <c:v>2.408109179406134</c:v>
                </c:pt>
                <c:pt idx="282">
                  <c:v>2.227158240908965</c:v>
                </c:pt>
                <c:pt idx="283">
                  <c:v>2.0461246154865993</c:v>
                </c:pt>
                <c:pt idx="284">
                  <c:v>1.8650313157989391</c:v>
                </c:pt>
                <c:pt idx="285">
                  <c:v>1.6839014070385048</c:v>
                </c:pt>
                <c:pt idx="286">
                  <c:v>1.502758020366473</c:v>
                </c:pt>
                <c:pt idx="287">
                  <c:v>1.3216243671564172</c:v>
                </c:pt>
                <c:pt idx="288">
                  <c:v>1.140523753910939</c:v>
                </c:pt>
                <c:pt idx="289">
                  <c:v>0.95947959772021285</c:v>
                </c:pt>
                <c:pt idx="290">
                  <c:v>0.77851544213089952</c:v>
                </c:pt>
                <c:pt idx="291">
                  <c:v>0.59765497329349593</c:v>
                </c:pt>
                <c:pt idx="292">
                  <c:v>0.41692203625819957</c:v>
                </c:pt>
                <c:pt idx="293">
                  <c:v>0.23634065128601023</c:v>
                </c:pt>
                <c:pt idx="294">
                  <c:v>5.5935030042661538E-2</c:v>
                </c:pt>
                <c:pt idx="295">
                  <c:v>-0.12427040845916437</c:v>
                </c:pt>
                <c:pt idx="296">
                  <c:v>-0.30425102230653067</c:v>
                </c:pt>
                <c:pt idx="297">
                  <c:v>-0.48398193165960102</c:v>
                </c:pt>
                <c:pt idx="298">
                  <c:v>-0.66343800439336142</c:v>
                </c:pt>
                <c:pt idx="299">
                  <c:v>-0.84259384255359215</c:v>
                </c:pt>
                <c:pt idx="300">
                  <c:v>-1.0214237697726549</c:v>
                </c:pt>
                <c:pt idx="301">
                  <c:v>-1.1999018197987912</c:v>
                </c:pt>
                <c:pt idx="302">
                  <c:v>-1.3780017262920161</c:v>
                </c:pt>
                <c:pt idx="303">
                  <c:v>-1.5556969140477239</c:v>
                </c:pt>
                <c:pt idx="304">
                  <c:v>-1.7329604918092061</c:v>
                </c:pt>
                <c:pt idx="305">
                  <c:v>-1.9097652468369501</c:v>
                </c:pt>
                <c:pt idx="306">
                  <c:v>-2.0860836414043522</c:v>
                </c:pt>
                <c:pt idx="307">
                  <c:v>-2.2618878113943719</c:v>
                </c:pt>
                <c:pt idx="308">
                  <c:v>-2.4371495671734209</c:v>
                </c:pt>
                <c:pt idx="309">
                  <c:v>-2.6118403969211696</c:v>
                </c:pt>
                <c:pt idx="310">
                  <c:v>-2.7859314725989819</c:v>
                </c:pt>
                <c:pt idx="311">
                  <c:v>-2.9593936587363094</c:v>
                </c:pt>
                <c:pt idx="312">
                  <c:v>-3.1321975242185296</c:v>
                </c:pt>
                <c:pt idx="313">
                  <c:v>-3.304313357256552</c:v>
                </c:pt>
                <c:pt idx="314">
                  <c:v>-3.4757111837150783</c:v>
                </c:pt>
                <c:pt idx="315">
                  <c:v>-3.6463607889753611</c:v>
                </c:pt>
                <c:pt idx="316">
                  <c:v>-3.8162317434963313</c:v>
                </c:pt>
                <c:pt idx="317">
                  <c:v>-3.985293432240379</c:v>
                </c:pt>
                <c:pt idx="318">
                  <c:v>-4.1535150881078744</c:v>
                </c:pt>
                <c:pt idx="319">
                  <c:v>-4.320865829524613</c:v>
                </c:pt>
                <c:pt idx="320">
                  <c:v>-4.4873147023006048</c:v>
                </c:pt>
                <c:pt idx="321">
                  <c:v>-4.6528307258732919</c:v>
                </c:pt>
                <c:pt idx="322">
                  <c:v>-4.8173829440178206</c:v>
                </c:pt>
                <c:pt idx="323">
                  <c:v>-4.9809404800918928</c:v>
                </c:pt>
                <c:pt idx="324">
                  <c:v>-5.1434725968550516</c:v>
                </c:pt>
                <c:pt idx="325">
                  <c:v>-5.3049487608738684</c:v>
                </c:pt>
                <c:pt idx="326">
                  <c:v>-5.4653387114933167</c:v>
                </c:pt>
                <c:pt idx="327">
                  <c:v>-5.6246125343230666</c:v>
                </c:pt>
                <c:pt idx="328">
                  <c:v>-5.7827407391470338</c:v>
                </c:pt>
                <c:pt idx="329">
                  <c:v>-5.9396943421286741</c:v>
                </c:pt>
                <c:pt idx="330">
                  <c:v>-6.0954449521427012</c:v>
                </c:pt>
                <c:pt idx="331">
                  <c:v>-6.2499648610156573</c:v>
                </c:pt>
                <c:pt idx="332">
                  <c:v>-6.4032271374211867</c:v>
                </c:pt>
                <c:pt idx="333">
                  <c:v>-6.555205724117398</c:v>
                </c:pt>
                <c:pt idx="334">
                  <c:v>-6.7058755381777093</c:v>
                </c:pt>
                <c:pt idx="335">
                  <c:v>-6.8552125738079903</c:v>
                </c:pt>
                <c:pt idx="336">
                  <c:v>-7.003194007301536</c:v>
                </c:pt>
                <c:pt idx="337">
                  <c:v>-7.1497983036323687</c:v>
                </c:pt>
                <c:pt idx="338">
                  <c:v>-7.295005324141977</c:v>
                </c:pt>
                <c:pt idx="339">
                  <c:v>-7.4387964347312003</c:v>
                </c:pt>
                <c:pt idx="340">
                  <c:v>-7.5811546139273087</c:v>
                </c:pt>
                <c:pt idx="341">
                  <c:v>-7.7220645601573521</c:v>
                </c:pt>
                <c:pt idx="342">
                  <c:v>-7.8615127975270376</c:v>
                </c:pt>
                <c:pt idx="343">
                  <c:v>-7.999487779374908</c:v>
                </c:pt>
                <c:pt idx="344">
                  <c:v>-8.1359799888478683</c:v>
                </c:pt>
                <c:pt idx="345">
                  <c:v>-8.2709820357295385</c:v>
                </c:pt>
                <c:pt idx="346">
                  <c:v>-8.4044887487374904</c:v>
                </c:pt>
                <c:pt idx="347">
                  <c:v>-8.536497262509247</c:v>
                </c:pt>
                <c:pt idx="348">
                  <c:v>-8.6670070984960947</c:v>
                </c:pt>
                <c:pt idx="349">
                  <c:v>-8.7960202389962916</c:v>
                </c:pt>
                <c:pt idx="350">
                  <c:v>-8.9235411935828388</c:v>
                </c:pt>
                <c:pt idx="351">
                  <c:v>-9.0495770572033383</c:v>
                </c:pt>
                <c:pt idx="352">
                  <c:v>-9.174137559270056</c:v>
                </c:pt>
                <c:pt idx="353">
                  <c:v>-9.2972351030969662</c:v>
                </c:pt>
                <c:pt idx="354">
                  <c:v>-9.4188847950918611</c:v>
                </c:pt>
                <c:pt idx="355">
                  <c:v>-9.5391044631693642</c:v>
                </c:pt>
                <c:pt idx="356">
                  <c:v>-9.6579146639096383</c:v>
                </c:pt>
                <c:pt idx="357">
                  <c:v>-9.775338678056011</c:v>
                </c:pt>
                <c:pt idx="358">
                  <c:v>-9.8914024940177026</c:v>
                </c:pt>
                <c:pt idx="359">
                  <c:v>-10.006134779114586</c:v>
                </c:pt>
                <c:pt idx="360">
                  <c:v>-10.119566838381473</c:v>
                </c:pt>
                <c:pt idx="361">
                  <c:v>-10.231732560825774</c:v>
                </c:pt>
                <c:pt idx="362">
                  <c:v>-10.342668353113002</c:v>
                </c:pt>
                <c:pt idx="363">
                  <c:v>-10.452413060731734</c:v>
                </c:pt>
                <c:pt idx="364">
                  <c:v>-10.561007876766491</c:v>
                </c:pt>
                <c:pt idx="365">
                  <c:v>-10.668496238485529</c:v>
                </c:pt>
                <c:pt idx="366">
                  <c:v>-10.774923712018406</c:v>
                </c:pt>
                <c:pt idx="367">
                  <c:v>-10.880337865471526</c:v>
                </c:pt>
                <c:pt idx="368">
                  <c:v>-10.984788130891131</c:v>
                </c:pt>
                <c:pt idx="369">
                  <c:v>-11.088325655545823</c:v>
                </c:pt>
                <c:pt idx="370">
                  <c:v>-11.191003143057833</c:v>
                </c:pt>
                <c:pt idx="371">
                  <c:v>-11.29287468495821</c:v>
                </c:pt>
                <c:pt idx="372">
                  <c:v>-11.393995583292273</c:v>
                </c:pt>
                <c:pt idx="373">
                  <c:v>-11.494422164939673</c:v>
                </c:pt>
                <c:pt idx="374">
                  <c:v>-11.594211588347145</c:v>
                </c:pt>
                <c:pt idx="375">
                  <c:v>-11.693421643406559</c:v>
                </c:pt>
                <c:pt idx="376">
                  <c:v>-11.792110545231328</c:v>
                </c:pt>
                <c:pt idx="377">
                  <c:v>-11.890336722609852</c:v>
                </c:pt>
                <c:pt idx="378">
                  <c:v>-11.98815860192666</c:v>
                </c:pt>
                <c:pt idx="379">
                  <c:v>-12.085634387355935</c:v>
                </c:pt>
                <c:pt idx="380">
                  <c:v>-12.182821838137889</c:v>
                </c:pt>
                <c:pt idx="381">
                  <c:v>-12.279778043753714</c:v>
                </c:pt>
                <c:pt idx="382">
                  <c:v>-12.376559197812769</c:v>
                </c:pt>
                <c:pt idx="383">
                  <c:v>-12.473220371459304</c:v>
                </c:pt>
                <c:pt idx="384">
                  <c:v>-12.56981528709963</c:v>
                </c:pt>
                <c:pt idx="385">
                  <c:v>-12.666396093235551</c:v>
                </c:pt>
                <c:pt idx="386">
                  <c:v>-12.763013141174765</c:v>
                </c:pt>
                <c:pt idx="387">
                  <c:v>-12.859714764362373</c:v>
                </c:pt>
                <c:pt idx="388">
                  <c:v>-12.956547061057515</c:v>
                </c:pt>
                <c:pt idx="389">
                  <c:v>-13.053553681042384</c:v>
                </c:pt>
                <c:pt idx="390">
                  <c:v>-13.150775617016688</c:v>
                </c:pt>
                <c:pt idx="391">
                  <c:v>-13.24825100129172</c:v>
                </c:pt>
                <c:pt idx="392">
                  <c:v>-13.346014908345575</c:v>
                </c:pt>
                <c:pt idx="393">
                  <c:v>-13.44409916375545</c:v>
                </c:pt>
                <c:pt idx="394">
                  <c:v>-13.542532159960695</c:v>
                </c:pt>
                <c:pt idx="395">
                  <c:v>-13.641338679250318</c:v>
                </c:pt>
                <c:pt idx="396">
                  <c:v>-13.740539724298864</c:v>
                </c:pt>
                <c:pt idx="397">
                  <c:v>-13.840152356503891</c:v>
                </c:pt>
                <c:pt idx="398">
                  <c:v>-13.940189542298031</c:v>
                </c:pt>
                <c:pt idx="399">
                  <c:v>-14.040660007531073</c:v>
                </c:pt>
                <c:pt idx="400">
                  <c:v>-14.14156809992949</c:v>
                </c:pt>
                <c:pt idx="401">
                  <c:v>-14.242913659557042</c:v>
                </c:pt>
                <c:pt idx="402">
                  <c:v>-14.344691897107658</c:v>
                </c:pt>
                <c:pt idx="403">
                  <c:v>-14.446893279775752</c:v>
                </c:pt>
                <c:pt idx="404">
                  <c:v>-14.549503424358736</c:v>
                </c:pt>
                <c:pt idx="405">
                  <c:v>-14.652502997157145</c:v>
                </c:pt>
                <c:pt idx="406">
                  <c:v>-14.75586762015657</c:v>
                </c:pt>
                <c:pt idx="407">
                  <c:v>-14.859567782891705</c:v>
                </c:pt>
                <c:pt idx="408">
                  <c:v>-14.963568759319742</c:v>
                </c:pt>
                <c:pt idx="409">
                  <c:v>-15.067830528961347</c:v>
                </c:pt>
                <c:pt idx="410">
                  <c:v>-15.17230770150711</c:v>
                </c:pt>
                <c:pt idx="411">
                  <c:v>-15.276949444041021</c:v>
                </c:pt>
                <c:pt idx="412">
                  <c:v>-15.381699409991747</c:v>
                </c:pt>
                <c:pt idx="413">
                  <c:v>-15.486495668901572</c:v>
                </c:pt>
                <c:pt idx="414">
                  <c:v>-15.59127063609575</c:v>
                </c:pt>
                <c:pt idx="415">
                  <c:v>-15.695951001347579</c:v>
                </c:pt>
                <c:pt idx="416">
                  <c:v>-15.800457655667302</c:v>
                </c:pt>
                <c:pt idx="417">
                  <c:v>-15.904705615404859</c:v>
                </c:pt>
                <c:pt idx="418">
                  <c:v>-16.00860394294542</c:v>
                </c:pt>
                <c:pt idx="419">
                  <c:v>-16.112055663402344</c:v>
                </c:pt>
                <c:pt idx="420">
                  <c:v>-16.21495767688004</c:v>
                </c:pt>
                <c:pt idx="421">
                  <c:v>-16.317200666098799</c:v>
                </c:pt>
                <c:pt idx="422">
                  <c:v>-16.418668999452642</c:v>
                </c:pt>
                <c:pt idx="423">
                  <c:v>-16.519240629927243</c:v>
                </c:pt>
                <c:pt idx="424">
                  <c:v>-16.618786990751151</c:v>
                </c:pt>
                <c:pt idx="425">
                  <c:v>-16.717172889213604</c:v>
                </c:pt>
                <c:pt idx="426">
                  <c:v>-16.814256400781272</c:v>
                </c:pt>
                <c:pt idx="427">
                  <c:v>-16.909888766520737</c:v>
                </c:pt>
                <c:pt idx="428">
                  <c:v>-17.003914297923753</c:v>
                </c:pt>
                <c:pt idx="429">
                  <c:v>-17.096170294593158</c:v>
                </c:pt>
                <c:pt idx="430">
                  <c:v>-17.186486981949123</c:v>
                </c:pt>
                <c:pt idx="431">
                  <c:v>-17.274687478248765</c:v>
                </c:pt>
                <c:pt idx="432">
                  <c:v>-17.360587802868462</c:v>
                </c:pt>
                <c:pt idx="433">
                  <c:v>-17.443996941152069</c:v>
                </c:pt>
                <c:pt idx="434">
                  <c:v>-17.524716985316356</c:v>
                </c:pt>
                <c:pt idx="435">
                  <c:v>-17.602543376177579</c:v>
                </c:pt>
                <c:pt idx="436">
                  <c:v>-17.677265277091657</c:v>
                </c:pt>
                <c:pt idx="437">
                  <c:v>-17.748666119847094</c:v>
                </c:pt>
                <c:pt idx="438">
                  <c:v>-17.816524372740119</c:v>
                </c:pt>
                <c:pt idx="439">
                  <c:v>-17.880614594297917</c:v>
                </c:pt>
                <c:pt idx="440">
                  <c:v>-17.940708852750056</c:v>
                </c:pt>
                <c:pt idx="441">
                  <c:v>-17.996578612286608</c:v>
                </c:pt>
                <c:pt idx="442">
                  <c:v>-18.047997213427582</c:v>
                </c:pt>
                <c:pt idx="443">
                  <c:v>-18.094743107747821</c:v>
                </c:pt>
                <c:pt idx="444">
                  <c:v>-18.136604048295059</c:v>
                </c:pt>
                <c:pt idx="445">
                  <c:v>-18.173382488021492</c:v>
                </c:pt>
                <c:pt idx="446">
                  <c:v>-18.204902501357196</c:v>
                </c:pt>
                <c:pt idx="447">
                  <c:v>-18.231018620549577</c:v>
                </c:pt>
                <c:pt idx="448">
                  <c:v>-18.251627070152526</c:v>
                </c:pt>
                <c:pt idx="449">
                  <c:v>-18.266679990640252</c:v>
                </c:pt>
                <c:pt idx="450">
                  <c:v>-18.276203364057672</c:v>
                </c:pt>
                <c:pt idx="451">
                  <c:v>-18.280319485536715</c:v>
                </c:pt>
                <c:pt idx="452">
                  <c:v>-18.279274952126279</c:v>
                </c:pt>
                <c:pt idx="453">
                  <c:v>-18.273475241041773</c:v>
                </c:pt>
                <c:pt idx="454">
                  <c:v>-18.263526981208614</c:v>
                </c:pt>
                <c:pt idx="455">
                  <c:v>-18.250288915473469</c:v>
                </c:pt>
                <c:pt idx="456">
                  <c:v>-18.234932197529346</c:v>
                </c:pt>
                <c:pt idx="457">
                  <c:v>-18.219009908026344</c:v>
                </c:pt>
                <c:pt idx="458">
                  <c:v>-18.204534291994793</c:v>
                </c:pt>
                <c:pt idx="459">
                  <c:v>-18.194057953192768</c:v>
                </c:pt>
                <c:pt idx="460">
                  <c:v>-18.190751837600384</c:v>
                </c:pt>
                <c:pt idx="461">
                  <c:v>-18.198468183187909</c:v>
                </c:pt>
                <c:pt idx="462">
                  <c:v>-18.221770970300103</c:v>
                </c:pt>
                <c:pt idx="463">
                  <c:v>-18.265910777067088</c:v>
                </c:pt>
                <c:pt idx="464">
                  <c:v>-18.336717442735019</c:v>
                </c:pt>
                <c:pt idx="465">
                  <c:v>-18.440385908193182</c:v>
                </c:pt>
                <c:pt idx="466">
                  <c:v>-18.583141927430631</c:v>
                </c:pt>
                <c:pt idx="467">
                  <c:v>-18.770797510276715</c:v>
                </c:pt>
                <c:pt idx="468">
                  <c:v>-19.00823897763102</c:v>
                </c:pt>
                <c:pt idx="469">
                  <c:v>-19.298924420321761</c:v>
                </c:pt>
                <c:pt idx="470">
                  <c:v>-19.644487282431641</c:v>
                </c:pt>
                <c:pt idx="471">
                  <c:v>-20.044534638053822</c:v>
                </c:pt>
                <c:pt idx="472">
                  <c:v>-20.496688926077205</c:v>
                </c:pt>
                <c:pt idx="473">
                  <c:v>-20.996862883144583</c:v>
                </c:pt>
                <c:pt idx="474">
                  <c:v>-21.539702527307035</c:v>
                </c:pt>
                <c:pt idx="475">
                  <c:v>-22.119103238207327</c:v>
                </c:pt>
                <c:pt idx="476">
                  <c:v>-22.728706323881944</c:v>
                </c:pt>
                <c:pt idx="477">
                  <c:v>-23.362309869620926</c:v>
                </c:pt>
                <c:pt idx="478">
                  <c:v>-24.014162721530944</c:v>
                </c:pt>
                <c:pt idx="479">
                  <c:v>-24.679140810391218</c:v>
                </c:pt>
                <c:pt idx="480">
                  <c:v>-25.352824161451867</c:v>
                </c:pt>
                <c:pt idx="481">
                  <c:v>-26.031500730413093</c:v>
                </c:pt>
                <c:pt idx="482">
                  <c:v>-26.712122912478527</c:v>
                </c:pt>
                <c:pt idx="483">
                  <c:v>-27.39223804368504</c:v>
                </c:pt>
                <c:pt idx="484">
                  <c:v>-28.069908405906531</c:v>
                </c:pt>
                <c:pt idx="485">
                  <c:v>-28.743630867791257</c:v>
                </c:pt>
                <c:pt idx="486">
                  <c:v>-29.412262052930323</c:v>
                </c:pt>
                <c:pt idx="487">
                  <c:v>-30.074951926560544</c:v>
                </c:pt>
                <c:pt idx="488">
                  <c:v>-30.731086751465991</c:v>
                </c:pt>
                <c:pt idx="489">
                  <c:v>-31.380241217041792</c:v>
                </c:pt>
                <c:pt idx="490">
                  <c:v>-32.022138943006247</c:v>
                </c:pt>
                <c:pt idx="491">
                  <c:v>-32.656620303473154</c:v>
                </c:pt>
                <c:pt idx="492">
                  <c:v>-33.283616466744078</c:v>
                </c:pt>
                <c:pt idx="493">
                  <c:v>-33.903128607175894</c:v>
                </c:pt>
                <c:pt idx="494">
                  <c:v>-34.515211358800769</c:v>
                </c:pt>
                <c:pt idx="495">
                  <c:v>-35.119959711109402</c:v>
                </c:pt>
                <c:pt idx="496">
                  <c:v>-35.717498676340696</c:v>
                </c:pt>
                <c:pt idx="497">
                  <c:v>-36.307975175176786</c:v>
                </c:pt>
                <c:pt idx="498">
                  <c:v>-36.891551690144134</c:v>
                </c:pt>
                <c:pt idx="499">
                  <c:v>-37.468401322607775</c:v>
                </c:pt>
                <c:pt idx="500">
                  <c:v>-38.057523674230502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22-463D-81A0-68F554CF810C}"/>
            </c:ext>
          </c:extLst>
        </c:ser>
        <c:ser>
          <c:idx val="6"/>
          <c:order val="4"/>
          <c:tx>
            <c:strRef>
              <c:f>'Small Signal'!$AD$3</c:f>
              <c:strCache>
                <c:ptCount val="1"/>
                <c:pt idx="0">
                  <c:v>Gain Gea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'Small Signal'!$K$4:$K$504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Signal'!$AD$4:$AD$504</c:f>
              <c:numCache>
                <c:formatCode>##0.0E+0</c:formatCode>
                <c:ptCount val="501"/>
                <c:pt idx="0">
                  <c:v>28.62331602738233</c:v>
                </c:pt>
                <c:pt idx="1">
                  <c:v>28.428785956898196</c:v>
                </c:pt>
                <c:pt idx="2">
                  <c:v>28.234237867826355</c:v>
                </c:pt>
                <c:pt idx="3">
                  <c:v>28.039672670776099</c:v>
                </c:pt>
                <c:pt idx="4">
                  <c:v>27.84509124233238</c:v>
                </c:pt>
                <c:pt idx="5">
                  <c:v>27.650494426782259</c:v>
                </c:pt>
                <c:pt idx="6">
                  <c:v>27.45588303777993</c:v>
                </c:pt>
                <c:pt idx="7">
                  <c:v>27.261257859952892</c:v>
                </c:pt>
                <c:pt idx="8">
                  <c:v>27.066619650452903</c:v>
                </c:pt>
                <c:pt idx="9">
                  <c:v>26.871969140453643</c:v>
                </c:pt>
                <c:pt idx="10">
                  <c:v>26.677307036598773</c:v>
                </c:pt>
                <c:pt idx="11">
                  <c:v>26.482634022402554</c:v>
                </c:pt>
                <c:pt idx="12">
                  <c:v>26.287950759605753</c:v>
                </c:pt>
                <c:pt idx="13">
                  <c:v>26.093257889489717</c:v>
                </c:pt>
                <c:pt idx="14">
                  <c:v>25.898556034150428</c:v>
                </c:pt>
                <c:pt idx="15">
                  <c:v>25.703845797735994</c:v>
                </c:pt>
                <c:pt idx="16">
                  <c:v>25.509127767648422</c:v>
                </c:pt>
                <c:pt idx="17">
                  <c:v>25.314402515713958</c:v>
                </c:pt>
                <c:pt idx="18">
                  <c:v>25.119670599322003</c:v>
                </c:pt>
                <c:pt idx="19">
                  <c:v>24.92493256253692</c:v>
                </c:pt>
                <c:pt idx="20">
                  <c:v>24.730188937183112</c:v>
                </c:pt>
                <c:pt idx="21">
                  <c:v>24.535440243906883</c:v>
                </c:pt>
                <c:pt idx="22">
                  <c:v>24.340686993215741</c:v>
                </c:pt>
                <c:pt idx="23">
                  <c:v>24.145929686498778</c:v>
                </c:pt>
                <c:pt idx="24">
                  <c:v>23.95116881702851</c:v>
                </c:pt>
                <c:pt idx="25">
                  <c:v>23.756404870947058</c:v>
                </c:pt>
                <c:pt idx="26">
                  <c:v>23.561638328238793</c:v>
                </c:pt>
                <c:pt idx="27">
                  <c:v>23.366869663690217</c:v>
                </c:pt>
                <c:pt idx="28">
                  <c:v>23.172099347840298</c:v>
                </c:pt>
                <c:pt idx="29">
                  <c:v>22.977327847921952</c:v>
                </c:pt>
                <c:pt idx="30">
                  <c:v>22.782555628797731</c:v>
                </c:pt>
                <c:pt idx="31">
                  <c:v>22.587783153890104</c:v>
                </c:pt>
                <c:pt idx="32">
                  <c:v>22.393010886109515</c:v>
                </c:pt>
                <c:pt idx="33">
                  <c:v>22.198239288780833</c:v>
                </c:pt>
                <c:pt idx="34">
                  <c:v>22.003468826571631</c:v>
                </c:pt>
                <c:pt idx="35">
                  <c:v>21.808699966421869</c:v>
                </c:pt>
                <c:pt idx="36">
                  <c:v>21.613933178478714</c:v>
                </c:pt>
                <c:pt idx="37">
                  <c:v>21.41916893703781</c:v>
                </c:pt>
                <c:pt idx="38">
                  <c:v>21.224407721492121</c:v>
                </c:pt>
                <c:pt idx="39">
                  <c:v>21.029650017291061</c:v>
                </c:pt>
                <c:pt idx="40">
                  <c:v>20.834896316911568</c:v>
                </c:pt>
                <c:pt idx="41">
                  <c:v>20.640147120842709</c:v>
                </c:pt>
                <c:pt idx="42">
                  <c:v>20.445402938586057</c:v>
                </c:pt>
                <c:pt idx="43">
                  <c:v>20.250664289673459</c:v>
                </c:pt>
                <c:pt idx="44">
                  <c:v>20.05593170470496</c:v>
                </c:pt>
                <c:pt idx="45">
                  <c:v>19.861205726407654</c:v>
                </c:pt>
                <c:pt idx="46">
                  <c:v>19.666486910718653</c:v>
                </c:pt>
                <c:pt idx="47">
                  <c:v>19.47177582789347</c:v>
                </c:pt>
                <c:pt idx="48">
                  <c:v>19.277073063642515</c:v>
                </c:pt>
                <c:pt idx="49">
                  <c:v>19.082379220297586</c:v>
                </c:pt>
                <c:pt idx="50">
                  <c:v>18.887694918010535</c:v>
                </c:pt>
                <c:pt idx="51">
                  <c:v>18.693020795986733</c:v>
                </c:pt>
                <c:pt idx="52">
                  <c:v>18.498357513755209</c:v>
                </c:pt>
                <c:pt idx="53">
                  <c:v>18.303705752478393</c:v>
                </c:pt>
                <c:pt idx="54">
                  <c:v>18.109066216303503</c:v>
                </c:pt>
                <c:pt idx="55">
                  <c:v>17.914439633758356</c:v>
                </c:pt>
                <c:pt idx="56">
                  <c:v>17.719826759194252</c:v>
                </c:pt>
                <c:pt idx="57">
                  <c:v>17.52522837427837</c:v>
                </c:pt>
                <c:pt idx="58">
                  <c:v>17.330645289538932</c:v>
                </c:pt>
                <c:pt idx="59">
                  <c:v>17.136078345965384</c:v>
                </c:pt>
                <c:pt idx="60">
                  <c:v>16.941528416667136</c:v>
                </c:pt>
                <c:pt idx="61">
                  <c:v>16.746996408593507</c:v>
                </c:pt>
                <c:pt idx="62">
                  <c:v>16.552483264318244</c:v>
                </c:pt>
                <c:pt idx="63">
                  <c:v>16.357989963891782</c:v>
                </c:pt>
                <c:pt idx="64">
                  <c:v>16.163517526764501</c:v>
                </c:pt>
                <c:pt idx="65">
                  <c:v>15.969067013784661</c:v>
                </c:pt>
                <c:pt idx="66">
                  <c:v>15.774639529274461</c:v>
                </c:pt>
                <c:pt idx="67">
                  <c:v>15.580236223187727</c:v>
                </c:pt>
                <c:pt idx="68">
                  <c:v>15.385858293353476</c:v>
                </c:pt>
                <c:pt idx="69">
                  <c:v>15.191506987808856</c:v>
                </c:pt>
                <c:pt idx="70">
                  <c:v>14.997183607225695</c:v>
                </c:pt>
                <c:pt idx="71">
                  <c:v>14.802889507434919</c:v>
                </c:pt>
                <c:pt idx="72">
                  <c:v>14.608626102053041</c:v>
                </c:pt>
                <c:pt idx="73">
                  <c:v>14.41439486521505</c:v>
                </c:pt>
                <c:pt idx="74">
                  <c:v>14.220197334418668</c:v>
                </c:pt>
                <c:pt idx="75">
                  <c:v>14.026035113484534</c:v>
                </c:pt>
                <c:pt idx="76">
                  <c:v>13.831909875636462</c:v>
                </c:pt>
                <c:pt idx="77">
                  <c:v>13.637823366708639</c:v>
                </c:pt>
                <c:pt idx="78">
                  <c:v>13.443777408482507</c:v>
                </c:pt>
                <c:pt idx="79">
                  <c:v>13.249773902160314</c:v>
                </c:pt>
                <c:pt idx="80">
                  <c:v>13.055814831981188</c:v>
                </c:pt>
                <c:pt idx="81">
                  <c:v>12.861902268982508</c:v>
                </c:pt>
                <c:pt idx="82">
                  <c:v>12.668038374916408</c:v>
                </c:pt>
                <c:pt idx="83">
                  <c:v>12.474225406323558</c:v>
                </c:pt>
                <c:pt idx="84">
                  <c:v>12.280465718772685</c:v>
                </c:pt>
                <c:pt idx="85">
                  <c:v>12.086761771270654</c:v>
                </c:pt>
                <c:pt idx="86">
                  <c:v>11.893116130850119</c:v>
                </c:pt>
                <c:pt idx="87">
                  <c:v>11.699531477340734</c:v>
                </c:pt>
                <c:pt idx="88">
                  <c:v>11.506010608330641</c:v>
                </c:pt>
                <c:pt idx="89">
                  <c:v>11.312556444324542</c:v>
                </c:pt>
                <c:pt idx="90">
                  <c:v>11.119172034105899</c:v>
                </c:pt>
                <c:pt idx="91">
                  <c:v>10.925860560308799</c:v>
                </c:pt>
                <c:pt idx="92">
                  <c:v>10.732625345207268</c:v>
                </c:pt>
                <c:pt idx="93">
                  <c:v>10.539469856729106</c:v>
                </c:pt>
                <c:pt idx="94">
                  <c:v>10.346397714700018</c:v>
                </c:pt>
                <c:pt idx="95">
                  <c:v>10.153412697326536</c:v>
                </c:pt>
                <c:pt idx="96">
                  <c:v>9.9605187479233326</c:v>
                </c:pt>
                <c:pt idx="97">
                  <c:v>9.7677199818929505</c:v>
                </c:pt>
                <c:pt idx="98">
                  <c:v>9.5750206939635412</c:v>
                </c:pt>
                <c:pt idx="99">
                  <c:v>9.3824253656929297</c:v>
                </c:pt>
                <c:pt idx="100">
                  <c:v>9.1899386732437414</c:v>
                </c:pt>
                <c:pt idx="101">
                  <c:v>8.9975654954379536</c:v>
                </c:pt>
                <c:pt idx="102">
                  <c:v>8.8053109220950212</c:v>
                </c:pt>
                <c:pt idx="103">
                  <c:v>8.6131802626611353</c:v>
                </c:pt>
                <c:pt idx="104">
                  <c:v>8.4211790551342052</c:v>
                </c:pt>
                <c:pt idx="105">
                  <c:v>8.2293130752900083</c:v>
                </c:pt>
                <c:pt idx="106">
                  <c:v>8.0375883462139655</c:v>
                </c:pt>
                <c:pt idx="107">
                  <c:v>7.8460111481428179</c:v>
                </c:pt>
                <c:pt idx="108">
                  <c:v>7.6545880286197043</c:v>
                </c:pt>
                <c:pt idx="109">
                  <c:v>7.4633258129652305</c:v>
                </c:pt>
                <c:pt idx="110">
                  <c:v>7.272231615066489</c:v>
                </c:pt>
                <c:pt idx="111">
                  <c:v>7.0813128484850374</c:v>
                </c:pt>
                <c:pt idx="112">
                  <c:v>6.8905772378841519</c:v>
                </c:pt>
                <c:pt idx="113">
                  <c:v>6.7000328307732824</c:v>
                </c:pt>
                <c:pt idx="114">
                  <c:v>6.509688009568551</c:v>
                </c:pt>
                <c:pt idx="115">
                  <c:v>6.3195515039639165</c:v>
                </c:pt>
                <c:pt idx="116">
                  <c:v>6.1296324036088548</c:v>
                </c:pt>
                <c:pt idx="117">
                  <c:v>5.939940171084733</c:v>
                </c:pt>
                <c:pt idx="118">
                  <c:v>5.7504846551700863</c:v>
                </c:pt>
                <c:pt idx="119">
                  <c:v>5.5612761043854704</c:v>
                </c:pt>
                <c:pt idx="120">
                  <c:v>5.3723251808019636</c:v>
                </c:pt>
                <c:pt idx="121">
                  <c:v>5.1836429740994152</c:v>
                </c:pt>
                <c:pt idx="122">
                  <c:v>4.9952410158546048</c:v>
                </c:pt>
                <c:pt idx="123">
                  <c:v>4.8071312940379194</c:v>
                </c:pt>
                <c:pt idx="124">
                  <c:v>4.6193262676940101</c:v>
                </c:pt>
                <c:pt idx="125">
                  <c:v>4.431838881778269</c:v>
                </c:pt>
                <c:pt idx="126">
                  <c:v>4.2446825821166509</c:v>
                </c:pt>
                <c:pt idx="127">
                  <c:v>4.0578713304543665</c:v>
                </c:pt>
                <c:pt idx="128">
                  <c:v>3.871419619552332</c:v>
                </c:pt>
                <c:pt idx="129">
                  <c:v>3.6853424882876524</c:v>
                </c:pt>
                <c:pt idx="130">
                  <c:v>3.4996555367092008</c:v>
                </c:pt>
                <c:pt idx="131">
                  <c:v>3.3143749409939662</c:v>
                </c:pt>
                <c:pt idx="132">
                  <c:v>3.1295174682451385</c:v>
                </c:pt>
                <c:pt idx="133">
                  <c:v>2.9451004910667402</c:v>
                </c:pt>
                <c:pt idx="134">
                  <c:v>2.7611420018451622</c:v>
                </c:pt>
                <c:pt idx="135">
                  <c:v>2.5776606266595961</c:v>
                </c:pt>
                <c:pt idx="136">
                  <c:v>2.3946756387405803</c:v>
                </c:pt>
                <c:pt idx="137">
                  <c:v>2.2122069713850161</c:v>
                </c:pt>
                <c:pt idx="138">
                  <c:v>2.0302752302342864</c:v>
                </c:pt>
                <c:pt idx="139">
                  <c:v>1.8489017048106129</c:v>
                </c:pt>
                <c:pt idx="140">
                  <c:v>1.6681083792042317</c:v>
                </c:pt>
                <c:pt idx="141">
                  <c:v>1.4879179417934607</c:v>
                </c:pt>
                <c:pt idx="142">
                  <c:v>1.3083537938756928</c:v>
                </c:pt>
                <c:pt idx="143">
                  <c:v>1.1294400570780472</c:v>
                </c:pt>
                <c:pt idx="144">
                  <c:v>0.95120157941259154</c:v>
                </c:pt>
                <c:pt idx="145">
                  <c:v>0.77366393983074311</c:v>
                </c:pt>
                <c:pt idx="146">
                  <c:v>0.59685345113028943</c:v>
                </c:pt>
                <c:pt idx="147">
                  <c:v>0.4207971610575259</c:v>
                </c:pt>
                <c:pt idx="148">
                  <c:v>0.24552285144611896</c:v>
                </c:pt>
                <c:pt idx="149">
                  <c:v>7.1059035227146891E-2</c:v>
                </c:pt>
                <c:pt idx="150">
                  <c:v>-0.10256504885771968</c:v>
                </c:pt>
                <c:pt idx="151">
                  <c:v>-0.27531944401106001</c:v>
                </c:pt>
                <c:pt idx="152">
                  <c:v>-0.44717348577547678</c:v>
                </c:pt>
                <c:pt idx="153">
                  <c:v>-0.61809581524389579</c:v>
                </c:pt>
                <c:pt idx="154">
                  <c:v>-0.78805439525607379</c:v>
                </c:pt>
                <c:pt idx="155">
                  <c:v>-0.95701652975232143</c:v>
                </c:pt>
                <c:pt idx="156">
                  <c:v>-1.1249488864491233</c:v>
                </c:pt>
                <c:pt idx="157">
                  <c:v>-1.2918175229973365</c:v>
                </c:pt>
                <c:pt idx="158">
                  <c:v>-1.4575879167734829</c:v>
                </c:pt>
                <c:pt idx="159">
                  <c:v>-1.6222249984460668</c:v>
                </c:pt>
                <c:pt idx="160">
                  <c:v>-1.7856931894450052</c:v>
                </c:pt>
                <c:pt idx="161">
                  <c:v>-1.9479564434476435</c:v>
                </c:pt>
                <c:pt idx="162">
                  <c:v>-2.1089782919766695</c:v>
                </c:pt>
                <c:pt idx="163">
                  <c:v>-2.2687218941852367</c:v>
                </c:pt>
                <c:pt idx="164">
                  <c:v>-2.4271500908812604</c:v>
                </c:pt>
                <c:pt idx="165">
                  <c:v>-2.5842254628169927</c:v>
                </c:pt>
                <c:pt idx="166">
                  <c:v>-2.7399103932412454</c:v>
                </c:pt>
                <c:pt idx="167">
                  <c:v>-2.8941671346809246</c:v>
                </c:pt>
                <c:pt idx="168">
                  <c:v>-3.0469578798841308</c:v>
                </c:pt>
                <c:pt idx="169">
                  <c:v>-3.1982448368214724</c:v>
                </c:pt>
                <c:pt idx="170">
                  <c:v>-3.3479903076038586</c:v>
                </c:pt>
                <c:pt idx="171">
                  <c:v>-3.4961567711347725</c:v>
                </c:pt>
                <c:pt idx="172">
                  <c:v>-3.6427069692739309</c:v>
                </c:pt>
                <c:pt idx="173">
                  <c:v>-3.7876039962463532</c:v>
                </c:pt>
                <c:pt idx="174">
                  <c:v>-3.9308113909872064</c:v>
                </c:pt>
                <c:pt idx="175">
                  <c:v>-4.0722932320703862</c:v>
                </c:pt>
                <c:pt idx="176">
                  <c:v>-4.2120142348253982</c:v>
                </c:pt>
                <c:pt idx="177">
                  <c:v>-4.3499398502051569</c:v>
                </c:pt>
                <c:pt idx="178">
                  <c:v>-4.4860363649280801</c:v>
                </c:pt>
                <c:pt idx="179">
                  <c:v>-4.6202710023800524</c:v>
                </c:pt>
                <c:pt idx="180">
                  <c:v>-4.7526120237274307</c:v>
                </c:pt>
                <c:pt idx="181">
                  <c:v>-4.8830288286624937</c:v>
                </c:pt>
                <c:pt idx="182">
                  <c:v>-5.0114920551753492</c:v>
                </c:pt>
                <c:pt idx="183">
                  <c:v>-5.1379736777286418</c:v>
                </c:pt>
                <c:pt idx="184">
                  <c:v>-5.2624471031933986</c:v>
                </c:pt>
                <c:pt idx="185">
                  <c:v>-5.3848872638974825</c:v>
                </c:pt>
                <c:pt idx="186">
                  <c:v>-5.5052707071383313</c:v>
                </c:pt>
                <c:pt idx="187">
                  <c:v>-5.623575680513313</c:v>
                </c:pt>
                <c:pt idx="188">
                  <c:v>-5.739782212438401</c:v>
                </c:pt>
                <c:pt idx="189">
                  <c:v>-5.8538721872437129</c:v>
                </c:pt>
                <c:pt idx="190">
                  <c:v>-5.9658294142656541</c:v>
                </c:pt>
                <c:pt idx="191">
                  <c:v>-6.0756396903877192</c:v>
                </c:pt>
                <c:pt idx="192">
                  <c:v>-6.183290855529961</c:v>
                </c:pt>
                <c:pt idx="193">
                  <c:v>-6.2887728406321877</c:v>
                </c:pt>
                <c:pt idx="194">
                  <c:v>-6.3920777077366084</c:v>
                </c:pt>
                <c:pt idx="195">
                  <c:v>-6.4931996818338602</c:v>
                </c:pt>
                <c:pt idx="196">
                  <c:v>-6.5921351742062084</c:v>
                </c:pt>
                <c:pt idx="197">
                  <c:v>-6.6888827970687412</c:v>
                </c:pt>
                <c:pt idx="198">
                  <c:v>-6.7834433693863305</c:v>
                </c:pt>
                <c:pt idx="199">
                  <c:v>-6.8758199138164304</c:v>
                </c:pt>
                <c:pt idx="200">
                  <c:v>-6.9660176448046638</c:v>
                </c:pt>
                <c:pt idx="201">
                  <c:v>-7.0540439479361128</c:v>
                </c:pt>
                <c:pt idx="202">
                  <c:v>-7.1399083507187475</c:v>
                </c:pt>
                <c:pt idx="203">
                  <c:v>-7.2236224850460218</c:v>
                </c:pt>
                <c:pt idx="204">
                  <c:v>-7.3052000416548832</c:v>
                </c:pt>
                <c:pt idx="205">
                  <c:v>-7.3846567169591228</c:v>
                </c:pt>
                <c:pt idx="206">
                  <c:v>-7.4620101526926064</c:v>
                </c:pt>
                <c:pt idx="207">
                  <c:v>-7.537279868853731</c:v>
                </c:pt>
                <c:pt idx="208">
                  <c:v>-7.6104871904840197</c:v>
                </c:pt>
                <c:pt idx="209">
                  <c:v>-7.6816551688532444</c:v>
                </c:pt>
                <c:pt idx="210">
                  <c:v>-7.7508084976545284</c:v>
                </c:pt>
                <c:pt idx="211">
                  <c:v>-7.8179734248351185</c:v>
                </c:pt>
                <c:pt idx="212">
                  <c:v>-7.8831776607045523</c:v>
                </c:pt>
                <c:pt idx="213">
                  <c:v>-7.9464502829697956</c:v>
                </c:pt>
                <c:pt idx="214">
                  <c:v>-8.0078216393474335</c:v>
                </c:pt>
                <c:pt idx="215">
                  <c:v>-8.0673232483964572</c:v>
                </c:pt>
                <c:pt idx="216">
                  <c:v>-8.1249876992025278</c:v>
                </c:pt>
                <c:pt idx="217">
                  <c:v>-8.1808485505258393</c:v>
                </c:pt>
                <c:pt idx="218">
                  <c:v>-8.2349402299996406</c:v>
                </c:pt>
                <c:pt idx="219">
                  <c:v>-8.2872979339383388</c:v>
                </c:pt>
                <c:pt idx="220">
                  <c:v>-8.3379575282800751</c:v>
                </c:pt>
                <c:pt idx="221">
                  <c:v>-8.3869554511528204</c:v>
                </c:pt>
                <c:pt idx="222">
                  <c:v>-8.4343286175130885</c:v>
                </c:pt>
                <c:pt idx="223">
                  <c:v>-8.4801143262656726</c:v>
                </c:pt>
                <c:pt idx="224">
                  <c:v>-8.5243501702302247</c:v>
                </c:pt>
                <c:pt idx="225">
                  <c:v>-8.5670739492766703</c:v>
                </c:pt>
                <c:pt idx="226">
                  <c:v>-8.608323586909588</c:v>
                </c:pt>
                <c:pt idx="227">
                  <c:v>-8.648137050536743</c:v>
                </c:pt>
                <c:pt idx="228">
                  <c:v>-8.6865522756168705</c:v>
                </c:pt>
                <c:pt idx="229">
                  <c:v>-8.7236070938408652</c:v>
                </c:pt>
                <c:pt idx="230">
                  <c:v>-8.7593391654607693</c:v>
                </c:pt>
                <c:pt idx="231">
                  <c:v>-8.7937859158460974</c:v>
                </c:pt>
                <c:pt idx="232">
                  <c:v>-8.8269844763103897</c:v>
                </c:pt>
                <c:pt idx="233">
                  <c:v>-8.8589716292207932</c:v>
                </c:pt>
                <c:pt idx="234">
                  <c:v>-8.8897837573731469</c:v>
                </c:pt>
                <c:pt idx="235">
                  <c:v>-8.919456797588925</c:v>
                </c:pt>
                <c:pt idx="236">
                  <c:v>-8.9480261984659855</c:v>
                </c:pt>
                <c:pt idx="237">
                  <c:v>-8.9755268821940284</c:v>
                </c:pt>
                <c:pt idx="238">
                  <c:v>-9.0019932103277043</c:v>
                </c:pt>
                <c:pt idx="239">
                  <c:v>-9.0274589533938432</c:v>
                </c:pt>
                <c:pt idx="240">
                  <c:v>-9.0519572641959343</c:v>
                </c:pt>
                <c:pt idx="241">
                  <c:v>-9.0755206546681695</c:v>
                </c:pt>
                <c:pt idx="242">
                  <c:v>-9.0981809761232419</c:v>
                </c:pt>
                <c:pt idx="243">
                  <c:v>-9.1199694027292573</c:v>
                </c:pt>
                <c:pt idx="244">
                  <c:v>-9.1409164180503346</c:v>
                </c:pt>
                <c:pt idx="245">
                  <c:v>-9.1610518044776637</c:v>
                </c:pt>
                <c:pt idx="246">
                  <c:v>-9.1804046353810218</c:v>
                </c:pt>
                <c:pt idx="247">
                  <c:v>-9.1990032698078767</c:v>
                </c:pt>
                <c:pt idx="248">
                  <c:v>-9.2168753495598938</c:v>
                </c:pt>
                <c:pt idx="249">
                  <c:v>-9.234047798479013</c:v>
                </c:pt>
                <c:pt idx="250">
                  <c:v>-9.2505468237782882</c:v>
                </c:pt>
                <c:pt idx="251">
                  <c:v>-9.2663979192585675</c:v>
                </c:pt>
                <c:pt idx="252">
                  <c:v>-9.2816258702546115</c:v>
                </c:pt>
                <c:pt idx="253">
                  <c:v>-9.2962547601623555</c:v>
                </c:pt>
                <c:pt idx="254">
                  <c:v>-9.310307978403511</c:v>
                </c:pt>
                <c:pt idx="255">
                  <c:v>-9.3238082296909326</c:v>
                </c:pt>
                <c:pt idx="256">
                  <c:v>-9.3367775444646277</c:v>
                </c:pt>
                <c:pt idx="257">
                  <c:v>-9.3492372903746297</c:v>
                </c:pt>
                <c:pt idx="258">
                  <c:v>-9.3612081846950979</c:v>
                </c:pt>
                <c:pt idx="259">
                  <c:v>-9.3727103075597569</c:v>
                </c:pt>
                <c:pt idx="260">
                  <c:v>-9.3837631159166062</c:v>
                </c:pt>
                <c:pt idx="261">
                  <c:v>-9.3943854581059263</c:v>
                </c:pt>
                <c:pt idx="262">
                  <c:v>-9.4045955889734785</c:v>
                </c:pt>
                <c:pt idx="263">
                  <c:v>-9.4144111854360482</c:v>
                </c:pt>
                <c:pt idx="264">
                  <c:v>-9.4238493624237112</c:v>
                </c:pt>
                <c:pt idx="265">
                  <c:v>-9.4329266891294115</c:v>
                </c:pt>
                <c:pt idx="266">
                  <c:v>-9.4416592055020114</c:v>
                </c:pt>
                <c:pt idx="267">
                  <c:v>-9.4500624389245882</c:v>
                </c:pt>
                <c:pt idx="268">
                  <c:v>-9.4581514210258124</c:v>
                </c:pt>
                <c:pt idx="269">
                  <c:v>-9.4659407045769015</c:v>
                </c:pt>
                <c:pt idx="270">
                  <c:v>-9.4734443804314097</c:v>
                </c:pt>
                <c:pt idx="271">
                  <c:v>-9.4806760944704056</c:v>
                </c:pt>
                <c:pt idx="272">
                  <c:v>-9.4876490645195197</c:v>
                </c:pt>
                <c:pt idx="273">
                  <c:v>-9.4943760972081304</c:v>
                </c:pt>
                <c:pt idx="274">
                  <c:v>-9.5008696047455903</c:v>
                </c:pt>
                <c:pt idx="275">
                  <c:v>-9.5071416215926199</c:v>
                </c:pt>
                <c:pt idx="276">
                  <c:v>-9.5132038210089718</c:v>
                </c:pt>
                <c:pt idx="277">
                  <c:v>-9.5190675314624329</c:v>
                </c:pt>
                <c:pt idx="278">
                  <c:v>-9.5247437528857795</c:v>
                </c:pt>
                <c:pt idx="279">
                  <c:v>-9.5302431727734351</c:v>
                </c:pt>
                <c:pt idx="280">
                  <c:v>-9.5355761821094767</c:v>
                </c:pt>
                <c:pt idx="281">
                  <c:v>-9.5407528911206576</c:v>
                </c:pt>
                <c:pt idx="282">
                  <c:v>-9.5457831448548109</c:v>
                </c:pt>
                <c:pt idx="283">
                  <c:v>-9.5506765385810688</c:v>
                </c:pt>
                <c:pt idx="284">
                  <c:v>-9.5554424330129795</c:v>
                </c:pt>
                <c:pt idx="285">
                  <c:v>-9.5600899693575982</c:v>
                </c:pt>
                <c:pt idx="286">
                  <c:v>-9.564628084194883</c:v>
                </c:pt>
                <c:pt idx="287">
                  <c:v>-9.5690655241905951</c:v>
                </c:pt>
                <c:pt idx="288">
                  <c:v>-9.5734108606521637</c:v>
                </c:pt>
                <c:pt idx="289">
                  <c:v>-9.5776725039319786</c:v>
                </c:pt>
                <c:pt idx="290">
                  <c:v>-9.5818587176883874</c:v>
                </c:pt>
                <c:pt idx="291">
                  <c:v>-9.5859776330144264</c:v>
                </c:pt>
                <c:pt idx="292">
                  <c:v>-9.5900372624419141</c:v>
                </c:pt>
                <c:pt idx="293">
                  <c:v>-9.5940455138347644</c:v>
                </c:pt>
                <c:pt idx="294">
                  <c:v>-9.598010204180806</c:v>
                </c:pt>
                <c:pt idx="295">
                  <c:v>-9.6019390732951546</c:v>
                </c:pt>
                <c:pt idx="296">
                  <c:v>-9.6058397974475422</c:v>
                </c:pt>
                <c:pt idx="297">
                  <c:v>-9.6097200029261884</c:v>
                </c:pt>
                <c:pt idx="298">
                  <c:v>-9.6135872795509201</c:v>
                </c:pt>
                <c:pt idx="299">
                  <c:v>-9.6174491941500246</c:v>
                </c:pt>
                <c:pt idx="300">
                  <c:v>-9.6213133040135883</c:v>
                </c:pt>
                <c:pt idx="301">
                  <c:v>-9.625187170337048</c:v>
                </c:pt>
                <c:pt idx="302">
                  <c:v>-9.6290783716686619</c:v>
                </c:pt>
                <c:pt idx="303">
                  <c:v>-9.632994517374339</c:v>
                </c:pt>
                <c:pt idx="304">
                  <c:v>-9.6369432611348689</c:v>
                </c:pt>
                <c:pt idx="305">
                  <c:v>-9.6409323144862373</c:v>
                </c:pt>
                <c:pt idx="306">
                  <c:v>-9.6449694604191301</c:v>
                </c:pt>
                <c:pt idx="307">
                  <c:v>-9.6490625670485972</c:v>
                </c:pt>
                <c:pt idx="308">
                  <c:v>-9.6532196013677982</c:v>
                </c:pt>
                <c:pt idx="309">
                  <c:v>-9.6574486430965738</c:v>
                </c:pt>
                <c:pt idx="310">
                  <c:v>-9.6617578986387471</c:v>
                </c:pt>
                <c:pt idx="311">
                  <c:v>-9.6661557151566431</c:v>
                </c:pt>
                <c:pt idx="312">
                  <c:v>-9.6706505947757151</c:v>
                </c:pt>
                <c:pt idx="313">
                  <c:v>-9.6752512089271221</c:v>
                </c:pt>
                <c:pt idx="314">
                  <c:v>-9.6799664128385636</c:v>
                </c:pt>
                <c:pt idx="315">
                  <c:v>-9.6848052601810544</c:v>
                </c:pt>
                <c:pt idx="316">
                  <c:v>-9.6897770178770628</c:v>
                </c:pt>
                <c:pt idx="317">
                  <c:v>-9.6948911810784182</c:v>
                </c:pt>
                <c:pt idx="318">
                  <c:v>-9.7001574883160018</c:v>
                </c:pt>
                <c:pt idx="319">
                  <c:v>-9.7055859368260613</c:v>
                </c:pt>
                <c:pt idx="320">
                  <c:v>-9.711186798053081</c:v>
                </c:pt>
                <c:pt idx="321">
                  <c:v>-9.7169706333304777</c:v>
                </c:pt>
                <c:pt idx="322">
                  <c:v>-9.7229483097358056</c:v>
                </c:pt>
                <c:pt idx="323">
                  <c:v>-9.7291310161172628</c:v>
                </c:pt>
                <c:pt idx="324">
                  <c:v>-9.7355302792846157</c:v>
                </c:pt>
                <c:pt idx="325">
                  <c:v>-9.7421579803559428</c:v>
                </c:pt>
                <c:pt idx="326">
                  <c:v>-9.7490263712487533</c:v>
                </c:pt>
                <c:pt idx="327">
                  <c:v>-9.7561480913018919</c:v>
                </c:pt>
                <c:pt idx="328">
                  <c:v>-9.76353618401013</c:v>
                </c:pt>
                <c:pt idx="329">
                  <c:v>-9.7712041138511943</c:v>
                </c:pt>
                <c:pt idx="330">
                  <c:v>-9.7791657831827887</c:v>
                </c:pt>
                <c:pt idx="331">
                  <c:v>-9.7874355491787579</c:v>
                </c:pt>
                <c:pt idx="332">
                  <c:v>-9.796028240776316</c:v>
                </c:pt>
                <c:pt idx="333">
                  <c:v>-9.8049591755953323</c:v>
                </c:pt>
                <c:pt idx="334">
                  <c:v>-9.814244176791501</c:v>
                </c:pt>
                <c:pt idx="335">
                  <c:v>-9.8238995897960795</c:v>
                </c:pt>
                <c:pt idx="336">
                  <c:v>-9.8339422988936676</c:v>
                </c:pt>
                <c:pt idx="337">
                  <c:v>-9.8443897435809546</c:v>
                </c:pt>
                <c:pt idx="338">
                  <c:v>-9.8552599346459822</c:v>
                </c:pt>
                <c:pt idx="339">
                  <c:v>-9.8665714699004496</c:v>
                </c:pt>
                <c:pt idx="340">
                  <c:v>-9.8783435494921346</c:v>
                </c:pt>
                <c:pt idx="341">
                  <c:v>-9.8905959907173973</c:v>
                </c:pt>
                <c:pt idx="342">
                  <c:v>-9.9033492422484954</c:v>
                </c:pt>
                <c:pt idx="343">
                  <c:v>-9.9166243976824191</c:v>
                </c:pt>
                <c:pt idx="344">
                  <c:v>-9.9304432083119387</c:v>
                </c:pt>
                <c:pt idx="345">
                  <c:v>-9.9448280950124861</c:v>
                </c:pt>
                <c:pt idx="346">
                  <c:v>-9.9598021591317458</c:v>
                </c:pt>
                <c:pt idx="347">
                  <c:v>-9.9753891922603355</c:v>
                </c:pt>
                <c:pt idx="348">
                  <c:v>-9.9916136847581782</c:v>
                </c:pt>
                <c:pt idx="349">
                  <c:v>-10.008500832901021</c:v>
                </c:pt>
                <c:pt idx="350">
                  <c:v>-10.026076544506971</c:v>
                </c:pt>
                <c:pt idx="351">
                  <c:v>-10.044367442896052</c:v>
                </c:pt>
                <c:pt idx="352">
                  <c:v>-10.063400869030776</c:v>
                </c:pt>
                <c:pt idx="353">
                  <c:v>-10.083204881678597</c:v>
                </c:pt>
                <c:pt idx="354">
                  <c:v>-10.103808255434441</c:v>
                </c:pt>
                <c:pt idx="355">
                  <c:v>-10.125240476436776</c:v>
                </c:pt>
                <c:pt idx="356">
                  <c:v>-10.147531735607163</c:v>
                </c:pt>
                <c:pt idx="357">
                  <c:v>-10.170712919242382</c:v>
                </c:pt>
                <c:pt idx="358">
                  <c:v>-10.194815596786931</c:v>
                </c:pt>
                <c:pt idx="359">
                  <c:v>-10.219872005614244</c:v>
                </c:pt>
                <c:pt idx="360">
                  <c:v>-10.245915032647776</c:v>
                </c:pt>
                <c:pt idx="361">
                  <c:v>-10.272978192656346</c:v>
                </c:pt>
                <c:pt idx="362">
                  <c:v>-10.301095603064397</c:v>
                </c:pt>
                <c:pt idx="363">
                  <c:v>-10.330301955126014</c:v>
                </c:pt>
                <c:pt idx="364">
                  <c:v>-10.360632481320069</c:v>
                </c:pt>
                <c:pt idx="365">
                  <c:v>-10.392122918838067</c:v>
                </c:pt>
                <c:pt idx="366">
                  <c:v>-10.424809469050132</c:v>
                </c:pt>
                <c:pt idx="367">
                  <c:v>-10.458728752851783</c:v>
                </c:pt>
                <c:pt idx="368">
                  <c:v>-10.493917761814789</c:v>
                </c:pt>
                <c:pt idx="369">
                  <c:v>-10.530413805087697</c:v>
                </c:pt>
                <c:pt idx="370">
                  <c:v>-10.568254452017449</c:v>
                </c:pt>
                <c:pt idx="371">
                  <c:v>-10.607477470491304</c:v>
                </c:pt>
                <c:pt idx="372">
                  <c:v>-10.648120761029604</c:v>
                </c:pt>
                <c:pt idx="373">
                  <c:v>-10.69022228669321</c:v>
                </c:pt>
                <c:pt idx="374">
                  <c:v>-10.733819998904675</c:v>
                </c:pt>
                <c:pt idx="375">
                  <c:v>-10.778951759321075</c:v>
                </c:pt>
                <c:pt idx="376">
                  <c:v>-10.825655257935745</c:v>
                </c:pt>
                <c:pt idx="377">
                  <c:v>-10.873967927627204</c:v>
                </c:pt>
                <c:pt idx="378">
                  <c:v>-10.923926855416937</c:v>
                </c:pt>
                <c:pt idx="379">
                  <c:v>-10.975568690740085</c:v>
                </c:pt>
                <c:pt idx="380">
                  <c:v>-11.028929551076139</c:v>
                </c:pt>
                <c:pt idx="381">
                  <c:v>-11.084044925331526</c:v>
                </c:pt>
                <c:pt idx="382">
                  <c:v>-11.140949575405173</c:v>
                </c:pt>
                <c:pt idx="383">
                  <c:v>-11.199677436410179</c:v>
                </c:pt>
                <c:pt idx="384">
                  <c:v>-11.260261516061574</c:v>
                </c:pt>
                <c:pt idx="385">
                  <c:v>-11.322733793775505</c:v>
                </c:pt>
                <c:pt idx="386">
                  <c:v>-11.387125120056222</c:v>
                </c:pt>
                <c:pt idx="387">
                  <c:v>-11.453465116771103</c:v>
                </c:pt>
                <c:pt idx="388">
                  <c:v>-11.521782078940589</c:v>
                </c:pt>
                <c:pt idx="389">
                  <c:v>-11.592102878678697</c:v>
                </c:pt>
                <c:pt idx="390">
                  <c:v>-11.664452871934605</c:v>
                </c:pt>
                <c:pt idx="391">
                  <c:v>-11.738855808685539</c:v>
                </c:pt>
                <c:pt idx="392">
                  <c:v>-11.815333747225685</c:v>
                </c:pt>
                <c:pt idx="393">
                  <c:v>-11.893906973186004</c:v>
                </c:pt>
                <c:pt idx="394">
                  <c:v>-11.974593923897839</c:v>
                </c:pt>
                <c:pt idx="395">
                  <c:v>-12.05741111868646</c:v>
                </c:pt>
                <c:pt idx="396">
                  <c:v>-12.14237309564588</c:v>
                </c:pt>
                <c:pt idx="397">
                  <c:v>-12.229492355403453</c:v>
                </c:pt>
                <c:pt idx="398">
                  <c:v>-12.318779312333326</c:v>
                </c:pt>
                <c:pt idx="399">
                  <c:v>-12.410242253623906</c:v>
                </c:pt>
                <c:pt idx="400">
                  <c:v>-12.503887306540527</c:v>
                </c:pt>
                <c:pt idx="401">
                  <c:v>-12.599718414161762</c:v>
                </c:pt>
                <c:pt idx="402">
                  <c:v>-12.697737319794481</c:v>
                </c:pt>
                <c:pt idx="403">
                  <c:v>-12.797943560202668</c:v>
                </c:pt>
                <c:pt idx="404">
                  <c:v>-12.900334467707737</c:v>
                </c:pt>
                <c:pt idx="405">
                  <c:v>-13.004905181143656</c:v>
                </c:pt>
                <c:pt idx="406">
                  <c:v>-13.111648665574272</c:v>
                </c:pt>
                <c:pt idx="407">
                  <c:v>-13.220555740605755</c:v>
                </c:pt>
                <c:pt idx="408">
                  <c:v>-13.331615117055355</c:v>
                </c:pt>
                <c:pt idx="409">
                  <c:v>-13.444813441669545</c:v>
                </c:pt>
                <c:pt idx="410">
                  <c:v>-13.56013534952069</c:v>
                </c:pt>
                <c:pt idx="411">
                  <c:v>-13.677563523652257</c:v>
                </c:pt>
                <c:pt idx="412">
                  <c:v>-13.797078761490614</c:v>
                </c:pt>
                <c:pt idx="413">
                  <c:v>-13.918660047494418</c:v>
                </c:pt>
                <c:pt idx="414">
                  <c:v>-14.042284631474169</c:v>
                </c:pt>
                <c:pt idx="415">
                  <c:v>-14.167928111983191</c:v>
                </c:pt>
                <c:pt idx="416">
                  <c:v>-14.295564524155902</c:v>
                </c:pt>
                <c:pt idx="417">
                  <c:v>-14.425166431354304</c:v>
                </c:pt>
                <c:pt idx="418">
                  <c:v>-14.556705019973995</c:v>
                </c:pt>
                <c:pt idx="419">
                  <c:v>-14.690150196759717</c:v>
                </c:pt>
                <c:pt idx="420">
                  <c:v>-14.825470687985822</c:v>
                </c:pt>
                <c:pt idx="421">
                  <c:v>-14.962634139869341</c:v>
                </c:pt>
                <c:pt idx="422">
                  <c:v>-15.101607219601636</c:v>
                </c:pt>
                <c:pt idx="423">
                  <c:v>-15.242355716408259</c:v>
                </c:pt>
                <c:pt idx="424">
                  <c:v>-15.384844642074393</c:v>
                </c:pt>
                <c:pt idx="425">
                  <c:v>-15.529038330407944</c:v>
                </c:pt>
                <c:pt idx="426">
                  <c:v>-15.674900535146159</c:v>
                </c:pt>
                <c:pt idx="427">
                  <c:v>-15.822394525852379</c:v>
                </c:pt>
                <c:pt idx="428">
                  <c:v>-15.971483181389708</c:v>
                </c:pt>
                <c:pt idx="429">
                  <c:v>-16.122129080601422</c:v>
                </c:pt>
                <c:pt idx="430">
                  <c:v>-16.274294589869513</c:v>
                </c:pt>
                <c:pt idx="431">
                  <c:v>-16.42794194726935</c:v>
                </c:pt>
                <c:pt idx="432">
                  <c:v>-16.583033343077535</c:v>
                </c:pt>
                <c:pt idx="433">
                  <c:v>-16.739530996434382</c:v>
                </c:pt>
                <c:pt idx="434">
                  <c:v>-16.897397228003797</c:v>
                </c:pt>
                <c:pt idx="435">
                  <c:v>-17.056594528509457</c:v>
                </c:pt>
                <c:pt idx="436">
                  <c:v>-17.217085623065895</c:v>
                </c:pt>
                <c:pt idx="437">
                  <c:v>-17.378833531258163</c:v>
                </c:pt>
                <c:pt idx="438">
                  <c:v>-17.541801622952359</c:v>
                </c:pt>
                <c:pt idx="439">
                  <c:v>-17.705953669853447</c:v>
                </c:pt>
                <c:pt idx="440">
                  <c:v>-17.871253892851289</c:v>
                </c:pt>
                <c:pt idx="441">
                  <c:v>-18.037667005220158</c:v>
                </c:pt>
                <c:pt idx="442">
                  <c:v>-18.205158251760224</c:v>
                </c:pt>
                <c:pt idx="443">
                  <c:v>-18.373693443985442</c:v>
                </c:pt>
                <c:pt idx="444">
                  <c:v>-18.543238991482415</c:v>
                </c:pt>
                <c:pt idx="445">
                  <c:v>-18.71376192957403</c:v>
                </c:pt>
                <c:pt idx="446">
                  <c:v>-18.885229943437455</c:v>
                </c:pt>
                <c:pt idx="447">
                  <c:v>-19.057611388831667</c:v>
                </c:pt>
                <c:pt idx="448">
                  <c:v>-19.230875309598382</c:v>
                </c:pt>
                <c:pt idx="449">
                  <c:v>-19.404991452104635</c:v>
                </c:pt>
                <c:pt idx="450">
                  <c:v>-19.579930276799061</c:v>
                </c:pt>
                <c:pt idx="451">
                  <c:v>-19.755662967054462</c:v>
                </c:pt>
                <c:pt idx="452">
                  <c:v>-19.932161435469933</c:v>
                </c:pt>
                <c:pt idx="453">
                  <c:v>-20.109398327805408</c:v>
                </c:pt>
                <c:pt idx="454">
                  <c:v>-20.287347024716812</c:v>
                </c:pt>
                <c:pt idx="455">
                  <c:v>-20.465981641459546</c:v>
                </c:pt>
                <c:pt idx="456">
                  <c:v>-20.645277025721548</c:v>
                </c:pt>
                <c:pt idx="457">
                  <c:v>-20.825208753743535</c:v>
                </c:pt>
                <c:pt idx="458">
                  <c:v>-21.005753124877955</c:v>
                </c:pt>
                <c:pt idx="459">
                  <c:v>-21.186887154732549</c:v>
                </c:pt>
                <c:pt idx="460">
                  <c:v>-21.368588567037882</c:v>
                </c:pt>
                <c:pt idx="461">
                  <c:v>-21.550835784371827</c:v>
                </c:pt>
                <c:pt idx="462">
                  <c:v>-21.733607917866806</c:v>
                </c:pt>
                <c:pt idx="463">
                  <c:v>-21.916884756019645</c:v>
                </c:pt>
                <c:pt idx="464">
                  <c:v>-22.100646752714987</c:v>
                </c:pt>
                <c:pt idx="465">
                  <c:v>-22.284875014570016</c:v>
                </c:pt>
                <c:pt idx="466">
                  <c:v>-22.469551287696362</c:v>
                </c:pt>
                <c:pt idx="467">
                  <c:v>-22.654657943973625</c:v>
                </c:pt>
                <c:pt idx="468">
                  <c:v>-22.840177966918635</c:v>
                </c:pt>
                <c:pt idx="469">
                  <c:v>-23.026094937229637</c:v>
                </c:pt>
                <c:pt idx="470">
                  <c:v>-23.212393018079037</c:v>
                </c:pt>
                <c:pt idx="471">
                  <c:v>-23.399056940221691</c:v>
                </c:pt>
                <c:pt idx="472">
                  <c:v>-23.586071986979714</c:v>
                </c:pt>
                <c:pt idx="473">
                  <c:v>-23.773423979160889</c:v>
                </c:pt>
                <c:pt idx="474">
                  <c:v>-23.961099259961248</c:v>
                </c:pt>
                <c:pt idx="475">
                  <c:v>-24.149084679898046</c:v>
                </c:pt>
                <c:pt idx="476">
                  <c:v>-24.337367581815286</c:v>
                </c:pt>
                <c:pt idx="477">
                  <c:v>-24.525935785998602</c:v>
                </c:pt>
                <c:pt idx="478">
                  <c:v>-24.7147775754338</c:v>
                </c:pt>
                <c:pt idx="479">
                  <c:v>-24.903881681237547</c:v>
                </c:pt>
                <c:pt idx="480">
                  <c:v>-25.093237268287911</c:v>
                </c:pt>
                <c:pt idx="481">
                  <c:v>-25.282833921075891</c:v>
                </c:pt>
                <c:pt idx="482">
                  <c:v>-25.472661629799539</c:v>
                </c:pt>
                <c:pt idx="483">
                  <c:v>-25.662710776716672</c:v>
                </c:pt>
                <c:pt idx="484">
                  <c:v>-25.85297212277068</c:v>
                </c:pt>
                <c:pt idx="485">
                  <c:v>-26.04343679450308</c:v>
                </c:pt>
                <c:pt idx="486">
                  <c:v>-26.234096271260164</c:v>
                </c:pt>
                <c:pt idx="487">
                  <c:v>-26.424942372704557</c:v>
                </c:pt>
                <c:pt idx="488">
                  <c:v>-26.615967246636181</c:v>
                </c:pt>
                <c:pt idx="489">
                  <c:v>-26.807163357127436</c:v>
                </c:pt>
                <c:pt idx="490">
                  <c:v>-26.99852347297611</c:v>
                </c:pt>
                <c:pt idx="491">
                  <c:v>-27.190040656477699</c:v>
                </c:pt>
                <c:pt idx="492">
                  <c:v>-27.381708252516873</c:v>
                </c:pt>
                <c:pt idx="493">
                  <c:v>-27.573519877978821</c:v>
                </c:pt>
                <c:pt idx="494">
                  <c:v>-27.765469411477955</c:v>
                </c:pt>
                <c:pt idx="495">
                  <c:v>-27.957550983401735</c:v>
                </c:pt>
                <c:pt idx="496">
                  <c:v>-28.149758966266994</c:v>
                </c:pt>
                <c:pt idx="497">
                  <c:v>-28.342087965384298</c:v>
                </c:pt>
                <c:pt idx="498">
                  <c:v>-28.534532809826359</c:v>
                </c:pt>
                <c:pt idx="499">
                  <c:v>-28.727088543695455</c:v>
                </c:pt>
                <c:pt idx="500">
                  <c:v>-28.919750417684803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22-463D-81A0-68F554CF8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00192"/>
        <c:axId val="1"/>
      </c:scatterChart>
      <c:scatterChart>
        <c:scatterStyle val="smoothMarker"/>
        <c:varyColors val="0"/>
        <c:ser>
          <c:idx val="3"/>
          <c:order val="1"/>
          <c:tx>
            <c:strRef>
              <c:f>'Small Signal'!$AC$3</c:f>
              <c:strCache>
                <c:ptCount val="1"/>
                <c:pt idx="0">
                  <c:v>Phase Gvc CCM</c:v>
                </c:pt>
              </c:strCache>
            </c:strRef>
          </c:tx>
          <c:spPr>
            <a:ln w="38100">
              <a:solidFill>
                <a:schemeClr val="accent3"/>
              </a:solidFill>
              <a:prstDash val="sysDash"/>
            </a:ln>
          </c:spPr>
          <c:marker>
            <c:symbol val="none"/>
          </c:marker>
          <c:xVal>
            <c:numRef>
              <c:f>'Small Signal'!$Q$4:$Q$504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Signal'!$AC$4:$AC$504</c:f>
              <c:numCache>
                <c:formatCode>General</c:formatCode>
                <c:ptCount val="501"/>
                <c:pt idx="0">
                  <c:v>-0.41412607948782848</c:v>
                </c:pt>
                <c:pt idx="1">
                  <c:v>-0.42352826806023369</c:v>
                </c:pt>
                <c:pt idx="2">
                  <c:v>-0.43314390717676138</c:v>
                </c:pt>
                <c:pt idx="3">
                  <c:v>-0.4429778416773133</c:v>
                </c:pt>
                <c:pt idx="4">
                  <c:v>-0.45303502630167375</c:v>
                </c:pt>
                <c:pt idx="5">
                  <c:v>-0.46332052817773772</c:v>
                </c:pt>
                <c:pt idx="6">
                  <c:v>-0.47383952936584678</c:v>
                </c:pt>
                <c:pt idx="7">
                  <c:v>-0.48459732946035783</c:v>
                </c:pt>
                <c:pt idx="8">
                  <c:v>-0.49559934824966867</c:v>
                </c:pt>
                <c:pt idx="9">
                  <c:v>-0.50685112843616187</c:v>
                </c:pt>
                <c:pt idx="10">
                  <c:v>-0.51835833841714718</c:v>
                </c:pt>
                <c:pt idx="11">
                  <c:v>-0.53012677512834927</c:v>
                </c:pt>
                <c:pt idx="12">
                  <c:v>-0.54216236695120645</c:v>
                </c:pt>
                <c:pt idx="13">
                  <c:v>-0.55447117668542512</c:v>
                </c:pt>
                <c:pt idx="14">
                  <c:v>-0.56705940458819581</c:v>
                </c:pt>
                <c:pt idx="15">
                  <c:v>-0.57993339148144585</c:v>
                </c:pt>
                <c:pt idx="16">
                  <c:v>-0.59309962192887689</c:v>
                </c:pt>
                <c:pt idx="17">
                  <c:v>-0.60656472748395018</c:v>
                </c:pt>
                <c:pt idx="18">
                  <c:v>-0.62033549001057542</c:v>
                </c:pt>
                <c:pt idx="19">
                  <c:v>-0.63441884507814983</c:v>
                </c:pt>
                <c:pt idx="20">
                  <c:v>-0.64882188543230745</c:v>
                </c:pt>
                <c:pt idx="21">
                  <c:v>-0.66355186454317283</c:v>
                </c:pt>
                <c:pt idx="22">
                  <c:v>-0.67861620023282265</c:v>
                </c:pt>
                <c:pt idx="23">
                  <c:v>-0.69402247838357423</c:v>
                </c:pt>
                <c:pt idx="24">
                  <c:v>-0.70977845672880158</c:v>
                </c:pt>
                <c:pt idx="25">
                  <c:v>-0.72589206872810419</c:v>
                </c:pt>
                <c:pt idx="26">
                  <c:v>-0.74237142752869967</c:v>
                </c:pt>
                <c:pt idx="27">
                  <c:v>-0.75922483001463337</c:v>
                </c:pt>
                <c:pt idx="28">
                  <c:v>-0.77646076094590177</c:v>
                </c:pt>
                <c:pt idx="29">
                  <c:v>-0.7940878971892581</c:v>
                </c:pt>
                <c:pt idx="30">
                  <c:v>-0.81211511204269382</c:v>
                </c:pt>
                <c:pt idx="31">
                  <c:v>-0.83055147965540044</c:v>
                </c:pt>
                <c:pt idx="32">
                  <c:v>-0.84940627954546999</c:v>
                </c:pt>
                <c:pt idx="33">
                  <c:v>-0.86868900121709691</c:v>
                </c:pt>
                <c:pt idx="34">
                  <c:v>-0.88840934887944667</c:v>
                </c:pt>
                <c:pt idx="35">
                  <c:v>-0.9085772462693279</c:v>
                </c:pt>
                <c:pt idx="36">
                  <c:v>-0.92920284157968769</c:v>
                </c:pt>
                <c:pt idx="37">
                  <c:v>-0.95029651249616565</c:v>
                </c:pt>
                <c:pt idx="38">
                  <c:v>-0.97186887134378763</c:v>
                </c:pt>
                <c:pt idx="39">
                  <c:v>-0.99393077034616339</c:v>
                </c:pt>
                <c:pt idx="40">
                  <c:v>-1.0164933069992759</c:v>
                </c:pt>
                <c:pt idx="41">
                  <c:v>-1.0395678295622937</c:v>
                </c:pt>
                <c:pt idx="42">
                  <c:v>-1.0631659426674263</c:v>
                </c:pt>
                <c:pt idx="43">
                  <c:v>-1.0872995130516785</c:v>
                </c:pt>
                <c:pt idx="44">
                  <c:v>-1.111980675412175</c:v>
                </c:pt>
                <c:pt idx="45">
                  <c:v>-1.1372218383880388</c:v>
                </c:pt>
                <c:pt idx="46">
                  <c:v>-1.1630356906709181</c:v>
                </c:pt>
                <c:pt idx="47">
                  <c:v>-1.1894352072465717</c:v>
                </c:pt>
                <c:pt idx="48">
                  <c:v>-1.21643365577022</c:v>
                </c:pt>
                <c:pt idx="49">
                  <c:v>-1.2440446030778012</c:v>
                </c:pt>
                <c:pt idx="50">
                  <c:v>-1.2722819218358579</c:v>
                </c:pt>
                <c:pt idx="51">
                  <c:v>-1.3011597973324909</c:v>
                </c:pt>
                <c:pt idx="52">
                  <c:v>-1.3306927344118844</c:v>
                </c:pt>
                <c:pt idx="53">
                  <c:v>-1.3608955645548271</c:v>
                </c:pt>
                <c:pt idx="54">
                  <c:v>-1.3917834531080331</c:v>
                </c:pt>
                <c:pt idx="55">
                  <c:v>-1.423371906664409</c:v>
                </c:pt>
                <c:pt idx="56">
                  <c:v>-1.4556767805972166</c:v>
                </c:pt>
                <c:pt idx="57">
                  <c:v>-1.488714286750294</c:v>
                </c:pt>
                <c:pt idx="58">
                  <c:v>-1.5225010012871134</c:v>
                </c:pt>
                <c:pt idx="59">
                  <c:v>-1.5570538727010008</c:v>
                </c:pt>
                <c:pt idx="60">
                  <c:v>-1.5923902299891624</c:v>
                </c:pt>
                <c:pt idx="61">
                  <c:v>-1.6285277909928944</c:v>
                </c:pt>
                <c:pt idx="62">
                  <c:v>-1.6654846709062492</c:v>
                </c:pt>
                <c:pt idx="63">
                  <c:v>-1.7032793909560155</c:v>
                </c:pt>
                <c:pt idx="64">
                  <c:v>-1.7419308872547958</c:v>
                </c:pt>
                <c:pt idx="65">
                  <c:v>-1.7814585198298696</c:v>
                </c:pt>
                <c:pt idx="66">
                  <c:v>-1.821882081829965</c:v>
                </c:pt>
                <c:pt idx="67">
                  <c:v>-1.8632218089120232</c:v>
                </c:pt>
                <c:pt idx="68">
                  <c:v>-1.9054983888102461</c:v>
                </c:pt>
                <c:pt idx="69">
                  <c:v>-1.9487329710891452</c:v>
                </c:pt>
                <c:pt idx="70">
                  <c:v>-1.9929471770827729</c:v>
                </c:pt>
                <c:pt idx="71">
                  <c:v>-2.0381631100217472</c:v>
                </c:pt>
                <c:pt idx="72">
                  <c:v>-2.0844033653497456</c:v>
                </c:pt>
                <c:pt idx="73">
                  <c:v>-2.1316910412310226</c:v>
                </c:pt>
                <c:pt idx="74">
                  <c:v>-2.1800497492504674</c:v>
                </c:pt>
                <c:pt idx="75">
                  <c:v>-2.229503625306847</c:v>
                </c:pt>
                <c:pt idx="76">
                  <c:v>-2.2800773407011734</c:v>
                </c:pt>
                <c:pt idx="77">
                  <c:v>-2.3317961134198457</c:v>
                </c:pt>
                <c:pt idx="78">
                  <c:v>-2.3846857196141484</c:v>
                </c:pt>
                <c:pt idx="79">
                  <c:v>-2.4387725052758542</c:v>
                </c:pt>
                <c:pt idx="80">
                  <c:v>-2.4940833981090043</c:v>
                </c:pt>
                <c:pt idx="81">
                  <c:v>-2.5506459195978697</c:v>
                </c:pt>
                <c:pt idx="82">
                  <c:v>-2.6084881972702849</c:v>
                </c:pt>
                <c:pt idx="83">
                  <c:v>-2.6676389771555193</c:v>
                </c:pt>
                <c:pt idx="84">
                  <c:v>-2.7281276364351066</c:v>
                </c:pt>
                <c:pt idx="85">
                  <c:v>-2.7899841962856242</c:v>
                </c:pt>
                <c:pt idx="86">
                  <c:v>-2.8532393349101191</c:v>
                </c:pt>
                <c:pt idx="87">
                  <c:v>-2.9179244007566667</c:v>
                </c:pt>
                <c:pt idx="88">
                  <c:v>-2.9840714259198209</c:v>
                </c:pt>
                <c:pt idx="89">
                  <c:v>-3.0517131397219233</c:v>
                </c:pt>
                <c:pt idx="90">
                  <c:v>-3.1208829824698539</c:v>
                </c:pt>
                <c:pt idx="91">
                  <c:v>-3.1916151193811149</c:v>
                </c:pt>
                <c:pt idx="92">
                  <c:v>-3.2639444546753813</c:v>
                </c:pt>
                <c:pt idx="93">
                  <c:v>-3.3379066458228794</c:v>
                </c:pt>
                <c:pt idx="94">
                  <c:v>-3.4135381179439088</c:v>
                </c:pt>
                <c:pt idx="95">
                  <c:v>-3.4908760783501047</c:v>
                </c:pt>
                <c:pt idx="96">
                  <c:v>-3.5699585312190494</c:v>
                </c:pt>
                <c:pt idx="97">
                  <c:v>-3.650824292391051</c:v>
                </c:pt>
                <c:pt idx="98">
                  <c:v>-3.7335130042780031</c:v>
                </c:pt>
                <c:pt idx="99">
                  <c:v>-3.8180651508703498</c:v>
                </c:pt>
                <c:pt idx="100">
                  <c:v>-3.9045220728296082</c:v>
                </c:pt>
                <c:pt idx="101">
                  <c:v>-3.992925982650382</c:v>
                </c:pt>
                <c:pt idx="102">
                  <c:v>-4.083319979875772</c:v>
                </c:pt>
                <c:pt idx="103">
                  <c:v>-4.1757480663479303</c:v>
                </c:pt>
                <c:pt idx="104">
                  <c:v>-4.2702551614739006</c:v>
                </c:pt>
                <c:pt idx="105">
                  <c:v>-4.3668871174850006</c:v>
                </c:pt>
                <c:pt idx="106">
                  <c:v>-4.465690734666695</c:v>
                </c:pt>
                <c:pt idx="107">
                  <c:v>-4.5667137765329393</c:v>
                </c:pt>
                <c:pt idx="108">
                  <c:v>-4.6700049849177585</c:v>
                </c:pt>
                <c:pt idx="109">
                  <c:v>-4.7756140949544283</c:v>
                </c:pt>
                <c:pt idx="110">
                  <c:v>-4.8835918499089086</c:v>
                </c:pt>
                <c:pt idx="111">
                  <c:v>-4.9939900158336465</c:v>
                </c:pt>
                <c:pt idx="112">
                  <c:v>-5.1068613960039393</c:v>
                </c:pt>
                <c:pt idx="113">
                  <c:v>-5.2222598450953903</c:v>
                </c:pt>
                <c:pt idx="114">
                  <c:v>-5.3402402830602744</c:v>
                </c:pt>
                <c:pt idx="115">
                  <c:v>-5.4608587086541274</c:v>
                </c:pt>
                <c:pt idx="116">
                  <c:v>-5.5841722125641802</c:v>
                </c:pt>
                <c:pt idx="117">
                  <c:v>-5.7102389900836057</c:v>
                </c:pt>
                <c:pt idx="118">
                  <c:v>-5.8391183532744169</c:v>
                </c:pt>
                <c:pt idx="119">
                  <c:v>-5.9708707425580005</c:v>
                </c:pt>
                <c:pt idx="120">
                  <c:v>-6.1055577376646033</c:v>
                </c:pt>
                <c:pt idx="121">
                  <c:v>-6.2432420678724956</c:v>
                </c:pt>
                <c:pt idx="122">
                  <c:v>-6.3839876214612685</c:v>
                </c:pt>
                <c:pt idx="123">
                  <c:v>-6.5278594542964283</c:v>
                </c:pt>
                <c:pt idx="124">
                  <c:v>-6.6749237974612488</c:v>
                </c:pt>
                <c:pt idx="125">
                  <c:v>-6.8252480638428796</c:v>
                </c:pt>
                <c:pt idx="126">
                  <c:v>-6.9789008535757731</c:v>
                </c:pt>
                <c:pt idx="127">
                  <c:v>-7.1359519582378974</c:v>
                </c:pt>
                <c:pt idx="128">
                  <c:v>-7.2964723636901523</c:v>
                </c:pt>
                <c:pt idx="129">
                  <c:v>-7.460534251441711</c:v>
                </c:pt>
                <c:pt idx="130">
                  <c:v>-7.6282109984185968</c:v>
                </c:pt>
                <c:pt idx="131">
                  <c:v>-7.7995771750018505</c:v>
                </c:pt>
                <c:pt idx="132">
                  <c:v>-7.9747085412001342</c:v>
                </c:pt>
                <c:pt idx="133">
                  <c:v>-8.1536820408067072</c:v>
                </c:pt>
                <c:pt idx="134">
                  <c:v>-8.3365757933893772</c:v>
                </c:pt>
                <c:pt idx="135">
                  <c:v>-8.5234690839492444</c:v>
                </c:pt>
                <c:pt idx="136">
                  <c:v>-8.7144423500753732</c:v>
                </c:pt>
                <c:pt idx="137">
                  <c:v>-8.909577166419691</c:v>
                </c:pt>
                <c:pt idx="138">
                  <c:v>-9.1089562262969466</c:v>
                </c:pt>
                <c:pt idx="139">
                  <c:v>-9.3126633202177391</c:v>
                </c:pt>
                <c:pt idx="140">
                  <c:v>-9.5207833111427149</c:v>
                </c:pt>
                <c:pt idx="141">
                  <c:v>-9.7334021062425613</c:v>
                </c:pt>
                <c:pt idx="142">
                  <c:v>-9.9506066249390042</c:v>
                </c:pt>
                <c:pt idx="143">
                  <c:v>-10.172484762989471</c:v>
                </c:pt>
                <c:pt idx="144">
                  <c:v>-10.399125352370797</c:v>
                </c:pt>
                <c:pt idx="145">
                  <c:v>-10.63061811671035</c:v>
                </c:pt>
                <c:pt idx="146">
                  <c:v>-10.867053621998236</c:v>
                </c:pt>
                <c:pt idx="147">
                  <c:v>-11.108523222312778</c:v>
                </c:pt>
                <c:pt idx="148">
                  <c:v>-11.355119000277012</c:v>
                </c:pt>
                <c:pt idx="149">
                  <c:v>-11.60693370196023</c:v>
                </c:pt>
                <c:pt idx="150">
                  <c:v>-11.864060665932012</c:v>
                </c:pt>
                <c:pt idx="151">
                  <c:v>-12.126593746165879</c:v>
                </c:pt>
                <c:pt idx="152">
                  <c:v>-12.394627228488559</c:v>
                </c:pt>
                <c:pt idx="153">
                  <c:v>-12.668255740267179</c:v>
                </c:pt>
                <c:pt idx="154">
                  <c:v>-12.947574153019504</c:v>
                </c:pt>
                <c:pt idx="155">
                  <c:v>-13.232677477637232</c:v>
                </c:pt>
                <c:pt idx="156">
                  <c:v>-13.52366075190686</c:v>
                </c:pt>
                <c:pt idx="157">
                  <c:v>-13.820618920021392</c:v>
                </c:pt>
                <c:pt idx="158">
                  <c:v>-14.123646703776279</c:v>
                </c:pt>
                <c:pt idx="159">
                  <c:v>-14.432838465150695</c:v>
                </c:pt>
                <c:pt idx="160">
                  <c:v>-14.748288059990303</c:v>
                </c:pt>
                <c:pt idx="161">
                  <c:v>-15.070088682513294</c:v>
                </c:pt>
                <c:pt idx="162">
                  <c:v>-15.398332700385437</c:v>
                </c:pt>
                <c:pt idx="163">
                  <c:v>-15.733111480124307</c:v>
                </c:pt>
                <c:pt idx="164">
                  <c:v>-16.074515202620084</c:v>
                </c:pt>
                <c:pt idx="165">
                  <c:v>-16.422632668592527</c:v>
                </c:pt>
                <c:pt idx="166">
                  <c:v>-16.777551093826254</c:v>
                </c:pt>
                <c:pt idx="167">
                  <c:v>-17.139355894080129</c:v>
                </c:pt>
                <c:pt idx="168">
                  <c:v>-17.508130459596764</c:v>
                </c:pt>
                <c:pt idx="169">
                  <c:v>-17.883955919196605</c:v>
                </c:pt>
                <c:pt idx="170">
                  <c:v>-18.266910893993224</c:v>
                </c:pt>
                <c:pt idx="171">
                  <c:v>-18.657071240827371</c:v>
                </c:pt>
                <c:pt idx="172">
                  <c:v>-19.054509785590234</c:v>
                </c:pt>
                <c:pt idx="173">
                  <c:v>-19.459296046674609</c:v>
                </c:pt>
                <c:pt idx="174">
                  <c:v>-19.871495948880877</c:v>
                </c:pt>
                <c:pt idx="175">
                  <c:v>-20.291171528191846</c:v>
                </c:pt>
                <c:pt idx="176">
                  <c:v>-20.718380627920276</c:v>
                </c:pt>
                <c:pt idx="177">
                  <c:v>-21.153176586847376</c:v>
                </c:pt>
                <c:pt idx="178">
                  <c:v>-21.595607920064214</c:v>
                </c:pt>
                <c:pt idx="179">
                  <c:v>-22.045717993358604</c:v>
                </c:pt>
                <c:pt idx="180">
                  <c:v>-22.503544692097535</c:v>
                </c:pt>
                <c:pt idx="181">
                  <c:v>-22.969120085689614</c:v>
                </c:pt>
                <c:pt idx="182">
                  <c:v>-23.442470088841574</c:v>
                </c:pt>
                <c:pt idx="183">
                  <c:v>-23.923614120948685</c:v>
                </c:pt>
                <c:pt idx="184">
                  <c:v>-24.412564765108112</c:v>
                </c:pt>
                <c:pt idx="185">
                  <c:v>-24.909327428371398</c:v>
                </c:pt>
                <c:pt idx="186">
                  <c:v>-25.413900004993781</c:v>
                </c:pt>
                <c:pt idx="187">
                  <c:v>-25.926272544567606</c:v>
                </c:pt>
                <c:pt idx="188">
                  <c:v>-26.446426927070874</c:v>
                </c:pt>
                <c:pt idx="189">
                  <c:v>-26.974336546967809</c:v>
                </c:pt>
                <c:pt idx="190">
                  <c:v>-27.509966008636734</c:v>
                </c:pt>
                <c:pt idx="191">
                  <c:v>-28.05327083548865</c:v>
                </c:pt>
                <c:pt idx="192">
                  <c:v>-28.604197195244911</c:v>
                </c:pt>
                <c:pt idx="193">
                  <c:v>-29.162681643922163</c:v>
                </c:pt>
                <c:pt idx="194">
                  <c:v>-29.728650891122705</c:v>
                </c:pt>
                <c:pt idx="195">
                  <c:v>-30.302021589282152</c:v>
                </c:pt>
                <c:pt idx="196">
                  <c:v>-30.882700149533399</c:v>
                </c:pt>
                <c:pt idx="197">
                  <c:v>-31.470582586843303</c:v>
                </c:pt>
                <c:pt idx="198">
                  <c:v>-32.065554397041623</c:v>
                </c:pt>
                <c:pt idx="199">
                  <c:v>-32.667490468292364</c:v>
                </c:pt>
                <c:pt idx="200">
                  <c:v>-33.276255029470633</c:v>
                </c:pt>
                <c:pt idx="201">
                  <c:v>-33.891701637757706</c:v>
                </c:pt>
                <c:pt idx="202">
                  <c:v>-34.51367320763346</c:v>
                </c:pt>
                <c:pt idx="203">
                  <c:v>-35.14200208320775</c:v>
                </c:pt>
                <c:pt idx="204">
                  <c:v>-35.776510155640374</c:v>
                </c:pt>
                <c:pt idx="205">
                  <c:v>-36.41700902709163</c:v>
                </c:pt>
                <c:pt idx="206">
                  <c:v>-37.063300222381663</c:v>
                </c:pt>
                <c:pt idx="207">
                  <c:v>-37.71517544917706</c:v>
                </c:pt>
                <c:pt idx="208">
                  <c:v>-38.37241690718264</c:v>
                </c:pt>
                <c:pt idx="209">
                  <c:v>-39.034797646431535</c:v>
                </c:pt>
                <c:pt idx="210">
                  <c:v>-39.702081974348992</c:v>
                </c:pt>
                <c:pt idx="211">
                  <c:v>-40.374025910864034</c:v>
                </c:pt>
                <c:pt idx="212">
                  <c:v>-41.050377690402321</c:v>
                </c:pt>
                <c:pt idx="213">
                  <c:v>-41.73087830915405</c:v>
                </c:pt>
                <c:pt idx="214">
                  <c:v>-42.415262115589627</c:v>
                </c:pt>
                <c:pt idx="215">
                  <c:v>-43.103257441750372</c:v>
                </c:pt>
                <c:pt idx="216">
                  <c:v>-43.794587272445796</c:v>
                </c:pt>
                <c:pt idx="217">
                  <c:v>-44.48896994907885</c:v>
                </c:pt>
                <c:pt idx="218">
                  <c:v>-45.186119904467091</c:v>
                </c:pt>
                <c:pt idx="219">
                  <c:v>-45.88574842468735</c:v>
                </c:pt>
                <c:pt idx="220">
                  <c:v>-46.587564433672334</c:v>
                </c:pt>
                <c:pt idx="221">
                  <c:v>-47.291275296053271</c:v>
                </c:pt>
                <c:pt idx="222">
                  <c:v>-47.996587633509158</c:v>
                </c:pt>
                <c:pt idx="223">
                  <c:v>-48.703208149769651</c:v>
                </c:pt>
                <c:pt idx="224">
                  <c:v>-49.410844459285201</c:v>
                </c:pt>
                <c:pt idx="225">
                  <c:v>-50.119205914562933</c:v>
                </c:pt>
                <c:pt idx="226">
                  <c:v>-50.828004427173752</c:v>
                </c:pt>
                <c:pt idx="227">
                  <c:v>-51.536955277501846</c:v>
                </c:pt>
                <c:pt idx="228">
                  <c:v>-52.245777908456944</c:v>
                </c:pt>
                <c:pt idx="229">
                  <c:v>-52.954196698524306</c:v>
                </c:pt>
                <c:pt idx="230">
                  <c:v>-53.661941709778652</c:v>
                </c:pt>
                <c:pt idx="231">
                  <c:v>-54.36874940676492</c:v>
                </c:pt>
                <c:pt idx="232">
                  <c:v>-55.074363342442609</c:v>
                </c:pt>
                <c:pt idx="233">
                  <c:v>-55.778534807778918</c:v>
                </c:pt>
                <c:pt idx="234">
                  <c:v>-56.481023441928151</c:v>
                </c:pt>
                <c:pt idx="235">
                  <c:v>-57.181597800350396</c:v>
                </c:pt>
                <c:pt idx="236">
                  <c:v>-57.880035878649984</c:v>
                </c:pt>
                <c:pt idx="237">
                  <c:v>-58.576125590334733</c:v>
                </c:pt>
                <c:pt idx="238">
                  <c:v>-59.269665197133143</c:v>
                </c:pt>
                <c:pt idx="239">
                  <c:v>-59.960463690947158</c:v>
                </c:pt>
                <c:pt idx="240">
                  <c:v>-60.648341126932294</c:v>
                </c:pt>
                <c:pt idx="241">
                  <c:v>-61.333128907599615</c:v>
                </c:pt>
                <c:pt idx="242">
                  <c:v>-62.014670018247848</c:v>
                </c:pt>
                <c:pt idx="243">
                  <c:v>-62.692819214369429</c:v>
                </c:pt>
                <c:pt idx="244">
                  <c:v>-63.367443162042484</c:v>
                </c:pt>
                <c:pt idx="245">
                  <c:v>-64.038420532602842</c:v>
                </c:pt>
                <c:pt idx="246">
                  <c:v>-64.705642053198488</c:v>
                </c:pt>
                <c:pt idx="247">
                  <c:v>-65.369010515046881</c:v>
                </c:pt>
                <c:pt idx="248">
                  <c:v>-66.028440741437521</c:v>
                </c:pt>
                <c:pt idx="249">
                  <c:v>-66.683859517699958</c:v>
                </c:pt>
                <c:pt idx="250">
                  <c:v>-67.335205485491571</c:v>
                </c:pt>
                <c:pt idx="251">
                  <c:v>-67.98242900386316</c:v>
                </c:pt>
                <c:pt idx="252">
                  <c:v>-68.625491979651542</c:v>
                </c:pt>
                <c:pt idx="253">
                  <c:v>-69.264367669770195</c:v>
                </c:pt>
                <c:pt idx="254">
                  <c:v>-69.899040457999078</c:v>
                </c:pt>
                <c:pt idx="255">
                  <c:v>-70.529505608858543</c:v>
                </c:pt>
                <c:pt idx="256">
                  <c:v>-71.155769001114408</c:v>
                </c:pt>
                <c:pt idx="257">
                  <c:v>-71.777846843405726</c:v>
                </c:pt>
                <c:pt idx="258">
                  <c:v>-72.395765374407475</c:v>
                </c:pt>
                <c:pt idx="259">
                  <c:v>-73.009560549848473</c:v>
                </c:pt>
                <c:pt idx="260">
                  <c:v>-73.619277718602831</c:v>
                </c:pt>
                <c:pt idx="261">
                  <c:v>-74.224971289934942</c:v>
                </c:pt>
                <c:pt idx="262">
                  <c:v>-74.826704393877733</c:v>
                </c:pt>
                <c:pt idx="263">
                  <c:v>-75.424548536563648</c:v>
                </c:pt>
                <c:pt idx="264">
                  <c:v>-76.018583252198638</c:v>
                </c:pt>
                <c:pt idx="265">
                  <c:v>-76.608895753229433</c:v>
                </c:pt>
                <c:pt idx="266">
                  <c:v>-77.195580580097996</c:v>
                </c:pt>
                <c:pt idx="267">
                  <c:v>-77.778739251845693</c:v>
                </c:pt>
                <c:pt idx="268">
                  <c:v>-78.358479918676849</c:v>
                </c:pt>
                <c:pt idx="269">
                  <c:v>-78.934917017455348</c:v>
                </c:pt>
                <c:pt idx="270">
                  <c:v>-79.508170930974671</c:v>
                </c:pt>
                <c:pt idx="271">
                  <c:v>-80.078367651703758</c:v>
                </c:pt>
                <c:pt idx="272">
                  <c:v>-80.645638450589487</c:v>
                </c:pt>
                <c:pt idx="273">
                  <c:v>-81.210119551373751</c:v>
                </c:pt>
                <c:pt idx="274">
                  <c:v>-81.771951810772663</c:v>
                </c:pt>
                <c:pt idx="275">
                  <c:v>-82.331280404750515</c:v>
                </c:pt>
                <c:pt idx="276">
                  <c:v>-82.888254521029978</c:v>
                </c:pt>
                <c:pt idx="277">
                  <c:v>-83.443027057876265</c:v>
                </c:pt>
                <c:pt idx="278">
                  <c:v>-83.995754329113751</c:v>
                </c:pt>
                <c:pt idx="279">
                  <c:v>-84.546595775249273</c:v>
                </c:pt>
                <c:pt idx="280">
                  <c:v>-85.095713680501191</c:v>
                </c:pt>
                <c:pt idx="281">
                  <c:v>-85.643272895473743</c:v>
                </c:pt>
                <c:pt idx="282">
                  <c:v>-86.189440565145603</c:v>
                </c:pt>
                <c:pt idx="283">
                  <c:v>-86.734385861795246</c:v>
                </c:pt>
                <c:pt idx="284">
                  <c:v>-87.278279722436523</c:v>
                </c:pt>
                <c:pt idx="285">
                  <c:v>-87.821294590291245</c:v>
                </c:pt>
                <c:pt idx="286">
                  <c:v>-88.36360415979486</c:v>
                </c:pt>
                <c:pt idx="287">
                  <c:v>-88.905383124596312</c:v>
                </c:pt>
                <c:pt idx="288">
                  <c:v>-89.44680692798967</c:v>
                </c:pt>
                <c:pt idx="289">
                  <c:v>-89.988051515198464</c:v>
                </c:pt>
                <c:pt idx="290">
                  <c:v>-90.529293086905682</c:v>
                </c:pt>
                <c:pt idx="291">
                  <c:v>-91.070707853433277</c:v>
                </c:pt>
                <c:pt idx="292">
                  <c:v>-91.612471788949676</c:v>
                </c:pt>
                <c:pt idx="293">
                  <c:v>-92.154760385093596</c:v>
                </c:pt>
                <c:pt idx="294">
                  <c:v>-92.697748403412007</c:v>
                </c:pt>
                <c:pt idx="295">
                  <c:v>-93.241609626006465</c:v>
                </c:pt>
                <c:pt idx="296">
                  <c:v>-93.786516603809162</c:v>
                </c:pt>
                <c:pt idx="297">
                  <c:v>-94.332640401925232</c:v>
                </c:pt>
                <c:pt idx="298">
                  <c:v>-94.880150341500268</c:v>
                </c:pt>
                <c:pt idx="299">
                  <c:v>-95.42921373761321</c:v>
                </c:pt>
                <c:pt idx="300">
                  <c:v>-95.979995632714477</c:v>
                </c:pt>
                <c:pt idx="301">
                  <c:v>-96.532658525186008</c:v>
                </c:pt>
                <c:pt idx="302">
                  <c:v>-97.087362092646813</c:v>
                </c:pt>
                <c:pt idx="303">
                  <c:v>-97.644262909661705</c:v>
                </c:pt>
                <c:pt idx="304">
                  <c:v>-98.20351415960809</c:v>
                </c:pt>
                <c:pt idx="305">
                  <c:v>-98.765265340479303</c:v>
                </c:pt>
                <c:pt idx="306">
                  <c:v>-99.3296619645172</c:v>
                </c:pt>
                <c:pt idx="307">
                  <c:v>-99.896845251610941</c:v>
                </c:pt>
                <c:pt idx="308">
                  <c:v>-100.46695181651734</c:v>
                </c:pt>
                <c:pt idx="309">
                  <c:v>-101.04011335002532</c:v>
                </c:pt>
                <c:pt idx="310">
                  <c:v>-101.61645629430865</c:v>
                </c:pt>
                <c:pt idx="311">
                  <c:v>-102.19610151280447</c:v>
                </c:pt>
                <c:pt idx="312">
                  <c:v>-102.77916395507825</c:v>
                </c:pt>
                <c:pt idx="313">
                  <c:v>-103.36575231724869</c:v>
                </c:pt>
                <c:pt idx="314">
                  <c:v>-103.95596869868149</c:v>
                </c:pt>
                <c:pt idx="315">
                  <c:v>-104.54990825578247</c:v>
                </c:pt>
                <c:pt idx="316">
                  <c:v>-105.14765885386602</c:v>
                </c:pt>
                <c:pt idx="317">
                  <c:v>-105.74930071820901</c:v>
                </c:pt>
                <c:pt idx="318">
                  <c:v>-106.35490608554531</c:v>
                </c:pt>
                <c:pt idx="319">
                  <c:v>-106.96453885740208</c:v>
                </c:pt>
                <c:pt idx="320">
                  <c:v>-107.5782542568231</c:v>
                </c:pt>
                <c:pt idx="321">
                  <c:v>-108.19609849016832</c:v>
                </c:pt>
                <c:pt idx="322">
                  <c:v>-108.81810841581807</c:v>
                </c:pt>
                <c:pt idx="323">
                  <c:v>-109.44431122175359</c:v>
                </c:pt>
                <c:pt idx="324">
                  <c:v>-110.07472411410433</c:v>
                </c:pt>
                <c:pt idx="325">
                  <c:v>-110.70935401888278</c:v>
                </c:pt>
                <c:pt idx="326">
                  <c:v>-111.3481972992317</c:v>
                </c:pt>
                <c:pt idx="327">
                  <c:v>-111.99123949060115</c:v>
                </c:pt>
                <c:pt idx="328">
                  <c:v>-112.63845505636034</c:v>
                </c:pt>
                <c:pt idx="329">
                  <c:v>-113.28980716639913</c:v>
                </c:pt>
                <c:pt idx="330">
                  <c:v>-113.94524750131689</c:v>
                </c:pt>
                <c:pt idx="331">
                  <c:v>-114.60471608481234</c:v>
                </c:pt>
                <c:pt idx="332">
                  <c:v>-115.26814114687024</c:v>
                </c:pt>
                <c:pt idx="333">
                  <c:v>-115.93543902030375</c:v>
                </c:pt>
                <c:pt idx="334">
                  <c:v>-116.60651407313925</c:v>
                </c:pt>
                <c:pt idx="335">
                  <c:v>-117.28125867922554</c:v>
                </c:pt>
                <c:pt idx="336">
                  <c:v>-117.9595532293084</c:v>
                </c:pt>
                <c:pt idx="337">
                  <c:v>-118.64126618465092</c:v>
                </c:pt>
                <c:pt idx="338">
                  <c:v>-119.32625417505601</c:v>
                </c:pt>
                <c:pt idx="339">
                  <c:v>-120.01436214292335</c:v>
                </c:pt>
                <c:pt idx="340">
                  <c:v>-120.70542353468869</c:v>
                </c:pt>
                <c:pt idx="341">
                  <c:v>-121.39926054069191</c:v>
                </c:pt>
                <c:pt idx="342">
                  <c:v>-122.09568438417561</c:v>
                </c:pt>
                <c:pt idx="343">
                  <c:v>-122.79449565977012</c:v>
                </c:pt>
                <c:pt idx="344">
                  <c:v>-123.49548472141264</c:v>
                </c:pt>
                <c:pt idx="345">
                  <c:v>-124.19843211926204</c:v>
                </c:pt>
                <c:pt idx="346">
                  <c:v>-124.90310908473941</c:v>
                </c:pt>
                <c:pt idx="347">
                  <c:v>-125.60927806240245</c:v>
                </c:pt>
                <c:pt idx="348">
                  <c:v>-126.31669328692691</c:v>
                </c:pt>
                <c:pt idx="349">
                  <c:v>-127.02510140304598</c:v>
                </c:pt>
                <c:pt idx="350">
                  <c:v>-127.73424212587103</c:v>
                </c:pt>
                <c:pt idx="351">
                  <c:v>-128.44384893862943</c:v>
                </c:pt>
                <c:pt idx="352">
                  <c:v>-129.15364982446334</c:v>
                </c:pt>
                <c:pt idx="353">
                  <c:v>-129.86336802859094</c:v>
                </c:pt>
                <c:pt idx="354">
                  <c:v>-130.57272284681861</c:v>
                </c:pt>
                <c:pt idx="355">
                  <c:v>-131.28143043611377</c:v>
                </c:pt>
                <c:pt idx="356">
                  <c:v>-131.98920464272743</c:v>
                </c:pt>
                <c:pt idx="357">
                  <c:v>-132.69575784317232</c:v>
                </c:pt>
                <c:pt idx="358">
                  <c:v>-133.4008017932436</c:v>
                </c:pt>
                <c:pt idx="359">
                  <c:v>-134.10404848019672</c:v>
                </c:pt>
                <c:pt idx="360">
                  <c:v>-134.80521097319132</c:v>
                </c:pt>
                <c:pt idx="361">
                  <c:v>-135.50400426714788</c:v>
                </c:pt>
                <c:pt idx="362">
                  <c:v>-136.20014611528373</c:v>
                </c:pt>
                <c:pt idx="363">
                  <c:v>-136.89335784573427</c:v>
                </c:pt>
                <c:pt idx="364">
                  <c:v>-137.58336515789509</c:v>
                </c:pt>
                <c:pt idx="365">
                  <c:v>-138.26989889437496</c:v>
                </c:pt>
                <c:pt idx="366">
                  <c:v>-138.95269578474901</c:v>
                </c:pt>
                <c:pt idx="367">
                  <c:v>-139.63149915766962</c:v>
                </c:pt>
                <c:pt idx="368">
                  <c:v>-140.30605961824173</c:v>
                </c:pt>
                <c:pt idx="369">
                  <c:v>-140.97613568801361</c:v>
                </c:pt>
                <c:pt idx="370">
                  <c:v>-141.64149440533456</c:v>
                </c:pt>
                <c:pt idx="371">
                  <c:v>-142.30191188430084</c:v>
                </c:pt>
                <c:pt idx="372">
                  <c:v>-142.9571738309547</c:v>
                </c:pt>
                <c:pt idx="373">
                  <c:v>-143.60707601586543</c:v>
                </c:pt>
                <c:pt idx="374">
                  <c:v>-144.25142470267954</c:v>
                </c:pt>
                <c:pt idx="375">
                  <c:v>-144.89003703267036</c:v>
                </c:pt>
                <c:pt idx="376">
                  <c:v>-145.52274136576392</c:v>
                </c:pt>
                <c:pt idx="377">
                  <c:v>-146.14937757891849</c:v>
                </c:pt>
                <c:pt idx="378">
                  <c:v>-146.76979732314828</c:v>
                </c:pt>
                <c:pt idx="379">
                  <c:v>-147.3838642408449</c:v>
                </c:pt>
                <c:pt idx="380">
                  <c:v>-147.99145414539416</c:v>
                </c:pt>
                <c:pt idx="381">
                  <c:v>-148.59245516540673</c:v>
                </c:pt>
                <c:pt idx="382">
                  <c:v>-149.18676785616481</c:v>
                </c:pt>
                <c:pt idx="383">
                  <c:v>-149.77430528114874</c:v>
                </c:pt>
                <c:pt idx="384">
                  <c:v>-150.35499306672764</c:v>
                </c:pt>
                <c:pt idx="385">
                  <c:v>-150.92876943331129</c:v>
                </c:pt>
                <c:pt idx="386">
                  <c:v>-151.49558520642063</c:v>
                </c:pt>
                <c:pt idx="387">
                  <c:v>-152.05540381129526</c:v>
                </c:pt>
                <c:pt idx="388">
                  <c:v>-152.60820125478017</c:v>
                </c:pt>
                <c:pt idx="389">
                  <c:v>-153.15396609833761</c:v>
                </c:pt>
                <c:pt idx="390">
                  <c:v>-153.69269942614133</c:v>
                </c:pt>
                <c:pt idx="391">
                  <c:v>-154.22441481226775</c:v>
                </c:pt>
                <c:pt idx="392">
                  <c:v>-154.74913829109974</c:v>
                </c:pt>
                <c:pt idx="393">
                  <c:v>-155.26690833510588</c:v>
                </c:pt>
                <c:pt idx="394">
                  <c:v>-155.77777584424925</c:v>
                </c:pt>
                <c:pt idx="395">
                  <c:v>-156.2818041513369</c:v>
                </c:pt>
                <c:pt idx="396">
                  <c:v>-156.77906904772385</c:v>
                </c:pt>
                <c:pt idx="397">
                  <c:v>-157.26965883386998</c:v>
                </c:pt>
                <c:pt idx="398">
                  <c:v>-157.7536743993806</c:v>
                </c:pt>
                <c:pt idx="399">
                  <c:v>-158.23122933728746</c:v>
                </c:pt>
                <c:pt idx="400">
                  <c:v>-158.70245009751716</c:v>
                </c:pt>
                <c:pt idx="401">
                  <c:v>-159.16747618468355</c:v>
                </c:pt>
                <c:pt idx="402">
                  <c:v>-159.62646040560543</c:v>
                </c:pt>
                <c:pt idx="403">
                  <c:v>-160.07956917223149</c:v>
                </c:pt>
                <c:pt idx="404">
                  <c:v>-160.52698286601586</c:v>
                </c:pt>
                <c:pt idx="405">
                  <c:v>-160.96889627019607</c:v>
                </c:pt>
                <c:pt idx="406">
                  <c:v>-161.40551907690852</c:v>
                </c:pt>
                <c:pt idx="407">
                  <c:v>-161.83707647664318</c:v>
                </c:pt>
                <c:pt idx="408">
                  <c:v>-162.26380983819033</c:v>
                </c:pt>
                <c:pt idx="409">
                  <c:v>-162.68597748799516</c:v>
                </c:pt>
                <c:pt idx="410">
                  <c:v>-163.1038555987063</c:v>
                </c:pt>
                <c:pt idx="411">
                  <c:v>-163.5177391977108</c:v>
                </c:pt>
                <c:pt idx="412">
                  <c:v>-163.92794330760918</c:v>
                </c:pt>
                <c:pt idx="413">
                  <c:v>-164.33480423190403</c:v>
                </c:pt>
                <c:pt idx="414">
                  <c:v>-164.73868100069777</c:v>
                </c:pt>
                <c:pt idx="415">
                  <c:v>-165.1399569929379</c:v>
                </c:pt>
                <c:pt idx="416">
                  <c:v>-165.53904175373196</c:v>
                </c:pt>
                <c:pt idx="417">
                  <c:v>-165.93637302753953</c:v>
                </c:pt>
                <c:pt idx="418">
                  <c:v>-166.33241903064507</c:v>
                </c:pt>
                <c:pt idx="419">
                  <c:v>-166.72768098930305</c:v>
                </c:pt>
                <c:pt idx="420">
                  <c:v>-167.12269597335285</c:v>
                </c:pt>
                <c:pt idx="421">
                  <c:v>-167.51804005900058</c:v>
                </c:pt>
                <c:pt idx="422">
                  <c:v>-167.91433185893234</c:v>
                </c:pt>
                <c:pt idx="423">
                  <c:v>-168.31223646303738</c:v>
                </c:pt>
                <c:pt idx="424">
                  <c:v>-168.71246983886812</c:v>
                </c:pt>
                <c:pt idx="425">
                  <c:v>-169.1158037476666</c:v>
                </c:pt>
                <c:pt idx="426">
                  <c:v>-169.52307123945474</c:v>
                </c:pt>
                <c:pt idx="427">
                  <c:v>-169.93517279945655</c:v>
                </c:pt>
                <c:pt idx="428">
                  <c:v>-170.35308322814927</c:v>
                </c:pt>
                <c:pt idx="429">
                  <c:v>-170.7778593486762</c:v>
                </c:pt>
                <c:pt idx="430">
                  <c:v>-171.21064864840116</c:v>
                </c:pt>
                <c:pt idx="431">
                  <c:v>-171.65269897617625</c:v>
                </c:pt>
                <c:pt idx="432">
                  <c:v>-172.10536943368243</c:v>
                </c:pt>
                <c:pt idx="433">
                  <c:v>-172.57014261804463</c:v>
                </c:pt>
                <c:pt idx="434">
                  <c:v>-173.04863839407651</c:v>
                </c:pt>
                <c:pt idx="435">
                  <c:v>-173.54262939787088</c:v>
                </c:pt>
                <c:pt idx="436">
                  <c:v>-174.05405849906995</c:v>
                </c:pt>
                <c:pt idx="437">
                  <c:v>-174.58505847662673</c:v>
                </c:pt>
                <c:pt idx="438">
                  <c:v>-175.13797419165155</c:v>
                </c:pt>
                <c:pt idx="439">
                  <c:v>-175.71538756981917</c:v>
                </c:pt>
                <c:pt idx="440">
                  <c:v>-176.32014573294853</c:v>
                </c:pt>
                <c:pt idx="441">
                  <c:v>-176.95539264164302</c:v>
                </c:pt>
                <c:pt idx="442">
                  <c:v>-177.62460462360912</c:v>
                </c:pt>
                <c:pt idx="443">
                  <c:v>-178.33163015823141</c:v>
                </c:pt>
                <c:pt idx="444">
                  <c:v>-179.08073425642988</c:v>
                </c:pt>
                <c:pt idx="445">
                  <c:v>-179.87664769998193</c:v>
                </c:pt>
                <c:pt idx="446">
                  <c:v>-180.72462126329881</c:v>
                </c:pt>
                <c:pt idx="447">
                  <c:v>-181.63048480008538</c:v>
                </c:pt>
                <c:pt idx="448">
                  <c:v>-182.60071069043263</c:v>
                </c:pt>
                <c:pt idx="449">
                  <c:v>-183.64248054510728</c:v>
                </c:pt>
                <c:pt idx="450">
                  <c:v>-184.76375316303699</c:v>
                </c:pt>
                <c:pt idx="451">
                  <c:v>-185.97333041448425</c:v>
                </c:pt>
                <c:pt idx="452">
                  <c:v>-187.28091581964952</c:v>
                </c:pt>
                <c:pt idx="453">
                  <c:v>-188.69715791732614</c:v>
                </c:pt>
                <c:pt idx="454">
                  <c:v>-190.23366685111654</c:v>
                </c:pt>
                <c:pt idx="455">
                  <c:v>-191.90298772813321</c:v>
                </c:pt>
                <c:pt idx="456">
                  <c:v>-193.71850809436518</c:v>
                </c:pt>
                <c:pt idx="457">
                  <c:v>-195.69426941635859</c:v>
                </c:pt>
                <c:pt idx="458">
                  <c:v>-197.844644336931</c:v>
                </c:pt>
                <c:pt idx="459">
                  <c:v>-200.18383413929641</c:v>
                </c:pt>
                <c:pt idx="460">
                  <c:v>-202.7251371772816</c:v>
                </c:pt>
                <c:pt idx="461">
                  <c:v>-205.47994383410224</c:v>
                </c:pt>
                <c:pt idx="462">
                  <c:v>-208.45643382860166</c:v>
                </c:pt>
                <c:pt idx="463">
                  <c:v>-211.65799560379475</c:v>
                </c:pt>
                <c:pt idx="464">
                  <c:v>-215.08146146484663</c:v>
                </c:pt>
                <c:pt idx="465">
                  <c:v>-218.71535445272912</c:v>
                </c:pt>
                <c:pt idx="466">
                  <c:v>-222.53845566079448</c:v>
                </c:pt>
                <c:pt idx="467">
                  <c:v>-226.51908346086739</c:v>
                </c:pt>
                <c:pt idx="468">
                  <c:v>-230.61547135229452</c:v>
                </c:pt>
                <c:pt idx="469">
                  <c:v>-234.77748876765958</c:v>
                </c:pt>
                <c:pt idx="470">
                  <c:v>-238.94966642584336</c:v>
                </c:pt>
                <c:pt idx="471">
                  <c:v>-243.07513910195559</c:v>
                </c:pt>
                <c:pt idx="472">
                  <c:v>-247.09983996409363</c:v>
                </c:pt>
                <c:pt idx="473">
                  <c:v>-250.9762000001804</c:v>
                </c:pt>
                <c:pt idx="474">
                  <c:v>-254.66576298734918</c:v>
                </c:pt>
                <c:pt idx="475">
                  <c:v>-258.14044506248956</c:v>
                </c:pt>
                <c:pt idx="476">
                  <c:v>-261.3825076903567</c:v>
                </c:pt>
                <c:pt idx="477">
                  <c:v>-264.38355286643866</c:v>
                </c:pt>
                <c:pt idx="478">
                  <c:v>-267.14294225373482</c:v>
                </c:pt>
                <c:pt idx="479">
                  <c:v>-269.66601077225215</c:v>
                </c:pt>
                <c:pt idx="480">
                  <c:v>-271.96234653358465</c:v>
                </c:pt>
                <c:pt idx="481">
                  <c:v>-274.04429643120716</c:v>
                </c:pt>
                <c:pt idx="482">
                  <c:v>-275.92576285188159</c:v>
                </c:pt>
                <c:pt idx="483">
                  <c:v>-277.62129344942883</c:v>
                </c:pt>
                <c:pt idx="484">
                  <c:v>-279.14543080879605</c:v>
                </c:pt>
                <c:pt idx="485">
                  <c:v>-280.51227462653384</c:v>
                </c:pt>
                <c:pt idx="486">
                  <c:v>-281.7352077376616</c:v>
                </c:pt>
                <c:pt idx="487">
                  <c:v>-282.82674264847481</c:v>
                </c:pt>
                <c:pt idx="488">
                  <c:v>-283.79845306930474</c:v>
                </c:pt>
                <c:pt idx="489">
                  <c:v>-284.66096294897289</c:v>
                </c:pt>
                <c:pt idx="490">
                  <c:v>-285.42397258532969</c:v>
                </c:pt>
                <c:pt idx="491">
                  <c:v>-286.09630714520961</c:v>
                </c:pt>
                <c:pt idx="492">
                  <c:v>-286.68597737612697</c:v>
                </c:pt>
                <c:pt idx="493">
                  <c:v>-287.20024560265375</c:v>
                </c:pt>
                <c:pt idx="494">
                  <c:v>-287.64569249408976</c:v>
                </c:pt>
                <c:pt idx="495">
                  <c:v>-288.02828177954154</c:v>
                </c:pt>
                <c:pt idx="496">
                  <c:v>-288.35342125326611</c:v>
                </c:pt>
                <c:pt idx="497">
                  <c:v>-288.62601920124138</c:v>
                </c:pt>
                <c:pt idx="498">
                  <c:v>-288.85053589917618</c:v>
                </c:pt>
                <c:pt idx="499">
                  <c:v>-289.03103016386086</c:v>
                </c:pt>
                <c:pt idx="500">
                  <c:v>-288.9043548410466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22-463D-81A0-68F554CF810C}"/>
            </c:ext>
          </c:extLst>
        </c:ser>
        <c:ser>
          <c:idx val="5"/>
          <c:order val="3"/>
          <c:tx>
            <c:strRef>
              <c:f>'Small Signal'!$AG$3</c:f>
              <c:strCache>
                <c:ptCount val="1"/>
                <c:pt idx="0">
                  <c:v>Total Phase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xVal>
            <c:numRef>
              <c:f>'Small Signal'!$Q$4:$Q$504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Signal'!$AG$4:$AG$504</c:f>
              <c:numCache>
                <c:formatCode>General</c:formatCode>
                <c:ptCount val="501"/>
                <c:pt idx="0">
                  <c:v>93.040915256142753</c:v>
                </c:pt>
                <c:pt idx="1">
                  <c:v>92.986058350085258</c:v>
                </c:pt>
                <c:pt idx="2">
                  <c:v>92.932698382131775</c:v>
                </c:pt>
                <c:pt idx="3">
                  <c:v>92.880808970637474</c:v>
                </c:pt>
                <c:pt idx="4">
                  <c:v>92.830364440669911</c:v>
                </c:pt>
                <c:pt idx="5">
                  <c:v>92.781339813220072</c:v>
                </c:pt>
                <c:pt idx="6">
                  <c:v>92.733710794619896</c:v>
                </c:pt>
                <c:pt idx="7">
                  <c:v>92.687453766169781</c:v>
                </c:pt>
                <c:pt idx="8">
                  <c:v>92.64254577397918</c:v>
                </c:pt>
                <c:pt idx="9">
                  <c:v>92.59896451902263</c:v>
                </c:pt>
                <c:pt idx="10">
                  <c:v>92.556688347414052</c:v>
                </c:pt>
                <c:pt idx="11">
                  <c:v>92.515696240900056</c:v>
                </c:pt>
                <c:pt idx="12">
                  <c:v>92.475967807574762</c:v>
                </c:pt>
                <c:pt idx="13">
                  <c:v>92.437483272816493</c:v>
                </c:pt>
                <c:pt idx="14">
                  <c:v>92.400223470447557</c:v>
                </c:pt>
                <c:pt idx="15">
                  <c:v>92.364169834117561</c:v>
                </c:pt>
                <c:pt idx="16">
                  <c:v>92.329304388910472</c:v>
                </c:pt>
                <c:pt idx="17">
                  <c:v>92.295609743175618</c:v>
                </c:pt>
                <c:pt idx="18">
                  <c:v>92.263069080582525</c:v>
                </c:pt>
                <c:pt idx="19">
                  <c:v>92.231666152398788</c:v>
                </c:pt>
                <c:pt idx="20">
                  <c:v>92.201385269991235</c:v>
                </c:pt>
                <c:pt idx="21">
                  <c:v>92.172211297549012</c:v>
                </c:pt>
                <c:pt idx="22">
                  <c:v>92.14412964502786</c:v>
                </c:pt>
                <c:pt idx="23">
                  <c:v>92.117126261314965</c:v>
                </c:pt>
                <c:pt idx="24">
                  <c:v>92.091187627612783</c:v>
                </c:pt>
                <c:pt idx="25">
                  <c:v>92.066300751040856</c:v>
                </c:pt>
                <c:pt idx="26">
                  <c:v>92.042453158454194</c:v>
                </c:pt>
                <c:pt idx="27">
                  <c:v>92.019632890476728</c:v>
                </c:pt>
                <c:pt idx="28">
                  <c:v>91.997828495748308</c:v>
                </c:pt>
                <c:pt idx="29">
                  <c:v>91.977029025383487</c:v>
                </c:pt>
                <c:pt idx="30">
                  <c:v>91.957224027640422</c:v>
                </c:pt>
                <c:pt idx="31">
                  <c:v>91.938403542798028</c:v>
                </c:pt>
                <c:pt idx="32">
                  <c:v>91.920558098239482</c:v>
                </c:pt>
                <c:pt idx="33">
                  <c:v>91.903678703739956</c:v>
                </c:pt>
                <c:pt idx="34">
                  <c:v>91.887756846956492</c:v>
                </c:pt>
                <c:pt idx="35">
                  <c:v>91.872784489118146</c:v>
                </c:pt>
                <c:pt idx="36">
                  <c:v>91.858754060913753</c:v>
                </c:pt>
                <c:pt idx="37">
                  <c:v>91.845658458574931</c:v>
                </c:pt>
                <c:pt idx="38">
                  <c:v>91.833491040152694</c:v>
                </c:pt>
                <c:pt idx="39">
                  <c:v>91.822245621983782</c:v>
                </c:pt>
                <c:pt idx="40">
                  <c:v>91.811916475345626</c:v>
                </c:pt>
                <c:pt idx="41">
                  <c:v>91.802498323295907</c:v>
                </c:pt>
                <c:pt idx="42">
                  <c:v>91.793986337695046</c:v>
                </c:pt>
                <c:pt idx="43">
                  <c:v>91.786376136407696</c:v>
                </c:pt>
                <c:pt idx="44">
                  <c:v>91.779663780680991</c:v>
                </c:pt>
                <c:pt idx="45">
                  <c:v>91.773845772695921</c:v>
                </c:pt>
                <c:pt idx="46">
                  <c:v>91.76891905328884</c:v>
                </c:pt>
                <c:pt idx="47">
                  <c:v>91.764880999839434</c:v>
                </c:pt>
                <c:pt idx="48">
                  <c:v>91.76172942432153</c:v>
                </c:pt>
                <c:pt idx="49">
                  <c:v>91.759462571513538</c:v>
                </c:pt>
                <c:pt idx="50">
                  <c:v>91.758079117363621</c:v>
                </c:pt>
                <c:pt idx="51">
                  <c:v>91.757578167506352</c:v>
                </c:pt>
                <c:pt idx="52">
                  <c:v>91.757959255925869</c:v>
                </c:pt>
                <c:pt idx="53">
                  <c:v>91.759222343761465</c:v>
                </c:pt>
                <c:pt idx="54">
                  <c:v>91.76136781825015</c:v>
                </c:pt>
                <c:pt idx="55">
                  <c:v>91.764396491801776</c:v>
                </c:pt>
                <c:pt idx="56">
                  <c:v>91.768309601200698</c:v>
                </c:pt>
                <c:pt idx="57">
                  <c:v>91.773108806928633</c:v>
                </c:pt>
                <c:pt idx="58">
                  <c:v>91.778796192602499</c:v>
                </c:pt>
                <c:pt idx="59">
                  <c:v>91.785374264520911</c:v>
                </c:pt>
                <c:pt idx="60">
                  <c:v>91.792845951312373</c:v>
                </c:pt>
                <c:pt idx="61">
                  <c:v>91.801214603677948</c:v>
                </c:pt>
                <c:pt idx="62">
                  <c:v>91.810483994220874</c:v>
                </c:pt>
                <c:pt idx="63">
                  <c:v>91.820658317354685</c:v>
                </c:pt>
                <c:pt idx="64">
                  <c:v>91.831742189281144</c:v>
                </c:pt>
                <c:pt idx="65">
                  <c:v>91.843740648028884</c:v>
                </c:pt>
                <c:pt idx="66">
                  <c:v>91.856659153542452</c:v>
                </c:pt>
                <c:pt idx="67">
                  <c:v>91.870503587811839</c:v>
                </c:pt>
                <c:pt idx="68">
                  <c:v>91.885280255030125</c:v>
                </c:pt>
                <c:pt idx="69">
                  <c:v>91.900995881768566</c:v>
                </c:pt>
                <c:pt idx="70">
                  <c:v>91.917657617155115</c:v>
                </c:pt>
                <c:pt idx="71">
                  <c:v>91.935273033043345</c:v>
                </c:pt>
                <c:pt idx="72">
                  <c:v>91.95385012415683</c:v>
                </c:pt>
                <c:pt idx="73">
                  <c:v>91.97339730819364</c:v>
                </c:pt>
                <c:pt idx="74">
                  <c:v>91.993923425873632</c:v>
                </c:pt>
                <c:pt idx="75">
                  <c:v>92.01543774091202</c:v>
                </c:pt>
                <c:pt idx="76">
                  <c:v>92.037949939898326</c:v>
                </c:pt>
                <c:pt idx="77">
                  <c:v>92.061470132062468</c:v>
                </c:pt>
                <c:pt idx="78">
                  <c:v>92.086008848904754</c:v>
                </c:pt>
                <c:pt idx="79">
                  <c:v>92.111577043667353</c:v>
                </c:pt>
                <c:pt idx="80">
                  <c:v>92.13818609062281</c:v>
                </c:pt>
                <c:pt idx="81">
                  <c:v>92.165847784152561</c:v>
                </c:pt>
                <c:pt idx="82">
                  <c:v>92.194574337588136</c:v>
                </c:pt>
                <c:pt idx="83">
                  <c:v>92.224378381784675</c:v>
                </c:pt>
                <c:pt idx="84">
                  <c:v>92.25527296339537</c:v>
                </c:pt>
                <c:pt idx="85">
                  <c:v>92.287271542812022</c:v>
                </c:pt>
                <c:pt idx="86">
                  <c:v>92.320387991736681</c:v>
                </c:pt>
                <c:pt idx="87">
                  <c:v>92.35463659034464</c:v>
                </c:pt>
                <c:pt idx="88">
                  <c:v>92.39003202399914</c:v>
                </c:pt>
                <c:pt idx="89">
                  <c:v>92.426589379472986</c:v>
                </c:pt>
                <c:pt idx="90">
                  <c:v>92.464324140630964</c:v>
                </c:pt>
                <c:pt idx="91">
                  <c:v>92.503252183524893</c:v>
                </c:pt>
                <c:pt idx="92">
                  <c:v>92.543389770846943</c:v>
                </c:pt>
                <c:pt idx="93">
                  <c:v>92.584753545687846</c:v>
                </c:pt>
                <c:pt idx="94">
                  <c:v>92.627360524539014</c:v>
                </c:pt>
                <c:pt idx="95">
                  <c:v>92.671228089477623</c:v>
                </c:pt>
                <c:pt idx="96">
                  <c:v>92.716373979467079</c:v>
                </c:pt>
                <c:pt idx="97">
                  <c:v>92.762816280704129</c:v>
                </c:pt>
                <c:pt idx="98">
                  <c:v>92.810573415936233</c:v>
                </c:pt>
                <c:pt idx="99">
                  <c:v>92.859664132672691</c:v>
                </c:pt>
                <c:pt idx="100">
                  <c:v>92.910107490204894</c:v>
                </c:pt>
                <c:pt idx="101">
                  <c:v>92.961922845348838</c:v>
                </c:pt>
                <c:pt idx="102">
                  <c:v>93.015129836816939</c:v>
                </c:pt>
                <c:pt idx="103">
                  <c:v>93.069748368121623</c:v>
                </c:pt>
                <c:pt idx="104">
                  <c:v>93.125798588907315</c:v>
                </c:pt>
                <c:pt idx="105">
                  <c:v>93.1833008746042</c:v>
                </c:pt>
                <c:pt idx="106">
                  <c:v>93.242275804287729</c:v>
                </c:pt>
                <c:pt idx="107">
                  <c:v>93.302744136626785</c:v>
                </c:pt>
                <c:pt idx="108">
                  <c:v>93.364726783794026</c:v>
                </c:pt>
                <c:pt idx="109">
                  <c:v>93.428244783206637</c:v>
                </c:pt>
                <c:pt idx="110">
                  <c:v>93.493319266962459</c:v>
                </c:pt>
                <c:pt idx="111">
                  <c:v>93.559971428826401</c:v>
                </c:pt>
                <c:pt idx="112">
                  <c:v>93.628222488617666</c:v>
                </c:pt>
                <c:pt idx="113">
                  <c:v>93.698093653844339</c:v>
                </c:pt>
                <c:pt idx="114">
                  <c:v>93.769606078420324</c:v>
                </c:pt>
                <c:pt idx="115">
                  <c:v>93.842780818301236</c:v>
                </c:pt>
                <c:pt idx="116">
                  <c:v>93.91763878386034</c:v>
                </c:pt>
                <c:pt idx="117">
                  <c:v>93.994200688830375</c:v>
                </c:pt>
                <c:pt idx="118">
                  <c:v>94.072486995623862</c:v>
                </c:pt>
                <c:pt idx="119">
                  <c:v>94.152517856840888</c:v>
                </c:pt>
                <c:pt idx="120">
                  <c:v>94.234313052773459</c:v>
                </c:pt>
                <c:pt idx="121">
                  <c:v>94.317891924704256</c:v>
                </c:pt>
                <c:pt idx="122">
                  <c:v>94.403273303798429</c:v>
                </c:pt>
                <c:pt idx="123">
                  <c:v>94.490475435385378</c:v>
                </c:pt>
                <c:pt idx="124">
                  <c:v>94.5795158984198</c:v>
                </c:pt>
                <c:pt idx="125">
                  <c:v>94.670411519917153</c:v>
                </c:pt>
                <c:pt idx="126">
                  <c:v>94.763178284154975</c:v>
                </c:pt>
                <c:pt idx="127">
                  <c:v>94.857831236432631</c:v>
                </c:pt>
                <c:pt idx="128">
                  <c:v>94.954384381188333</c:v>
                </c:pt>
                <c:pt idx="129">
                  <c:v>95.052850574274643</c:v>
                </c:pt>
                <c:pt idx="130">
                  <c:v>95.153241409199637</c:v>
                </c:pt>
                <c:pt idx="131">
                  <c:v>95.255567097153772</c:v>
                </c:pt>
                <c:pt idx="132">
                  <c:v>95.359836340648627</c:v>
                </c:pt>
                <c:pt idx="133">
                  <c:v>95.46605620061348</c:v>
                </c:pt>
                <c:pt idx="134">
                  <c:v>95.57423195680505</c:v>
                </c:pt>
                <c:pt idx="135">
                  <c:v>95.684366961414383</c:v>
                </c:pt>
                <c:pt idx="136">
                  <c:v>95.796462485771968</c:v>
                </c:pt>
                <c:pt idx="137">
                  <c:v>95.910517560082468</c:v>
                </c:pt>
                <c:pt idx="138">
                  <c:v>96.026528806150253</c:v>
                </c:pt>
                <c:pt idx="139">
                  <c:v>96.144490263096756</c:v>
                </c:pt>
                <c:pt idx="140">
                  <c:v>96.264393206103506</c:v>
                </c:pt>
                <c:pt idx="141">
                  <c:v>96.386225958270444</c:v>
                </c:pt>
                <c:pt idx="142">
                  <c:v>96.509973695719822</c:v>
                </c:pt>
                <c:pt idx="143">
                  <c:v>96.635618246140211</c:v>
                </c:pt>
                <c:pt idx="144">
                  <c:v>96.763137881022985</c:v>
                </c:pt>
                <c:pt idx="145">
                  <c:v>96.89250710191358</c:v>
                </c:pt>
                <c:pt idx="146">
                  <c:v>97.023696421071847</c:v>
                </c:pt>
                <c:pt idx="147">
                  <c:v>97.156672137021999</c:v>
                </c:pt>
                <c:pt idx="148">
                  <c:v>97.291396105550959</c:v>
                </c:pt>
                <c:pt idx="149">
                  <c:v>97.427825506816944</c:v>
                </c:pt>
                <c:pt idx="150">
                  <c:v>97.565912609320307</c:v>
                </c:pt>
                <c:pt idx="151">
                  <c:v>97.705604531600557</c:v>
                </c:pt>
                <c:pt idx="152">
                  <c:v>97.846843002634557</c:v>
                </c:pt>
                <c:pt idx="153">
                  <c:v>97.989564122019118</c:v>
                </c:pt>
                <c:pt idx="154">
                  <c:v>98.133698121155462</c:v>
                </c:pt>
                <c:pt idx="155">
                  <c:v>98.279169126764714</c:v>
                </c:pt>
                <c:pt idx="156">
                  <c:v>98.425894928201643</c:v>
                </c:pt>
                <c:pt idx="157">
                  <c:v>98.573786750156216</c:v>
                </c:pt>
                <c:pt idx="158">
                  <c:v>98.722749032468272</c:v>
                </c:pt>
                <c:pt idx="159">
                  <c:v>98.872679218908061</c:v>
                </c:pt>
                <c:pt idx="160">
                  <c:v>99.023467556900528</c:v>
                </c:pt>
                <c:pt idx="161">
                  <c:v>99.174996910299313</c:v>
                </c:pt>
                <c:pt idx="162">
                  <c:v>99.327142587425286</c:v>
                </c:pt>
                <c:pt idx="163">
                  <c:v>99.479772186701595</c:v>
                </c:pt>
                <c:pt idx="164">
                  <c:v>99.632745462304371</c:v>
                </c:pt>
                <c:pt idx="165">
                  <c:v>99.785914212336493</c:v>
                </c:pt>
                <c:pt idx="166">
                  <c:v>99.939122192099177</c:v>
                </c:pt>
                <c:pt idx="167">
                  <c:v>100.09220505507923</c:v>
                </c:pt>
                <c:pt idx="168">
                  <c:v>100.24499032429824</c:v>
                </c:pt>
                <c:pt idx="169">
                  <c:v>100.39729739666959</c:v>
                </c:pt>
                <c:pt idx="170">
                  <c:v>100.54893758298056</c:v>
                </c:pt>
                <c:pt idx="171">
                  <c:v>100.69971418605911</c:v>
                </c:pt>
                <c:pt idx="172">
                  <c:v>100.84942261959335</c:v>
                </c:pt>
                <c:pt idx="173">
                  <c:v>100.99785056994455</c:v>
                </c:pt>
                <c:pt idx="174">
                  <c:v>101.14477820312841</c:v>
                </c:pt>
                <c:pt idx="175">
                  <c:v>101.28997841893641</c:v>
                </c:pt>
                <c:pt idx="176">
                  <c:v>101.43321715392597</c:v>
                </c:pt>
                <c:pt idx="177">
                  <c:v>101.5742537347159</c:v>
                </c:pt>
                <c:pt idx="178">
                  <c:v>101.71284128270746</c:v>
                </c:pt>
                <c:pt idx="179">
                  <c:v>101.84872717097039</c:v>
                </c:pt>
                <c:pt idx="180">
                  <c:v>101.98165353363994</c:v>
                </c:pt>
                <c:pt idx="181">
                  <c:v>102.11135782772067</c:v>
                </c:pt>
                <c:pt idx="182">
                  <c:v>102.23757344671314</c:v>
                </c:pt>
                <c:pt idx="183">
                  <c:v>102.36003038498598</c:v>
                </c:pt>
                <c:pt idx="184">
                  <c:v>102.47845595126817</c:v>
                </c:pt>
                <c:pt idx="185">
                  <c:v>102.59257552909877</c:v>
                </c:pt>
                <c:pt idx="186">
                  <c:v>102.70211338149953</c:v>
                </c:pt>
                <c:pt idx="187">
                  <c:v>102.80679349657771</c:v>
                </c:pt>
                <c:pt idx="188">
                  <c:v>102.90634047018052</c:v>
                </c:pt>
                <c:pt idx="189">
                  <c:v>103.00048042119195</c:v>
                </c:pt>
                <c:pt idx="190">
                  <c:v>103.08894193449693</c:v>
                </c:pt>
                <c:pt idx="191">
                  <c:v>103.17145702615345</c:v>
                </c:pt>
                <c:pt idx="192">
                  <c:v>103.24776212482358</c:v>
                </c:pt>
                <c:pt idx="193">
                  <c:v>103.31759906308878</c:v>
                </c:pt>
                <c:pt idx="194">
                  <c:v>103.38071607191273</c:v>
                </c:pt>
                <c:pt idx="195">
                  <c:v>103.43686877118687</c:v>
                </c:pt>
                <c:pt idx="196">
                  <c:v>103.48582114906549</c:v>
                </c:pt>
                <c:pt idx="197">
                  <c:v>103.52734652262362</c:v>
                </c:pt>
                <c:pt idx="198">
                  <c:v>103.56122847228512</c:v>
                </c:pt>
                <c:pt idx="199">
                  <c:v>103.58726174247889</c:v>
                </c:pt>
                <c:pt idx="200">
                  <c:v>103.60525310105027</c:v>
                </c:pt>
                <c:pt idx="201">
                  <c:v>103.6150221501604</c:v>
                </c:pt>
                <c:pt idx="202">
                  <c:v>103.61640208164603</c:v>
                </c:pt>
                <c:pt idx="203">
                  <c:v>103.60924037020129</c:v>
                </c:pt>
                <c:pt idx="204">
                  <c:v>103.593399398153</c:v>
                </c:pt>
                <c:pt idx="205">
                  <c:v>103.56875700615905</c:v>
                </c:pt>
                <c:pt idx="206">
                  <c:v>103.53520696473666</c:v>
                </c:pt>
                <c:pt idx="207">
                  <c:v>103.49265936220695</c:v>
                </c:pt>
                <c:pt idx="208">
                  <c:v>103.44104090537297</c:v>
                </c:pt>
                <c:pt idx="209">
                  <c:v>103.3802951300176</c:v>
                </c:pt>
                <c:pt idx="210">
                  <c:v>103.31038251914362</c:v>
                </c:pt>
                <c:pt idx="211">
                  <c:v>103.23128052771095</c:v>
                </c:pt>
                <c:pt idx="212">
                  <c:v>103.14298351350251</c:v>
                </c:pt>
                <c:pt idx="213">
                  <c:v>103.04550257461896</c:v>
                </c:pt>
                <c:pt idx="214">
                  <c:v>102.93886529496007</c:v>
                </c:pt>
                <c:pt idx="215">
                  <c:v>102.82311539990843</c:v>
                </c:pt>
                <c:pt idx="216">
                  <c:v>102.69831232523111</c:v>
                </c:pt>
                <c:pt idx="217">
                  <c:v>102.56453070300161</c:v>
                </c:pt>
                <c:pt idx="218">
                  <c:v>102.42185976905327</c:v>
                </c:pt>
                <c:pt idx="219">
                  <c:v>102.27040269714412</c:v>
                </c:pt>
                <c:pt idx="220">
                  <c:v>102.11027586560229</c:v>
                </c:pt>
                <c:pt idx="221">
                  <c:v>101.94160806272041</c:v>
                </c:pt>
                <c:pt idx="222">
                  <c:v>101.76453963763228</c:v>
                </c:pt>
                <c:pt idx="223">
                  <c:v>101.57922160370383</c:v>
                </c:pt>
                <c:pt idx="224">
                  <c:v>101.38581470177185</c:v>
                </c:pt>
                <c:pt idx="225">
                  <c:v>101.18448843069896</c:v>
                </c:pt>
                <c:pt idx="226">
                  <c:v>100.9754200527987</c:v>
                </c:pt>
                <c:pt idx="227">
                  <c:v>100.75879358168496</c:v>
                </c:pt>
                <c:pt idx="228">
                  <c:v>100.53479875997363</c:v>
                </c:pt>
                <c:pt idx="229">
                  <c:v>100.30363003412455</c:v>
                </c:pt>
                <c:pt idx="230">
                  <c:v>100.06548553342787</c:v>
                </c:pt>
                <c:pt idx="231">
                  <c:v>99.820566059829019</c:v>
                </c:pt>
                <c:pt idx="232">
                  <c:v>99.56907409492112</c:v>
                </c:pt>
                <c:pt idx="233">
                  <c:v>99.311212829971481</c:v>
                </c:pt>
                <c:pt idx="234">
                  <c:v>99.047185224389949</c:v>
                </c:pt>
                <c:pt idx="235">
                  <c:v>98.777193097534337</c:v>
                </c:pt>
                <c:pt idx="236">
                  <c:v>98.501436258195099</c:v>
                </c:pt>
                <c:pt idx="237">
                  <c:v>98.220111675555216</c:v>
                </c:pt>
                <c:pt idx="238">
                  <c:v>97.933412694855974</c:v>
                </c:pt>
                <c:pt idx="239">
                  <c:v>97.641528300422038</c:v>
                </c:pt>
                <c:pt idx="240">
                  <c:v>97.344642428147083</c:v>
                </c:pt>
                <c:pt idx="241">
                  <c:v>97.04293332900366</c:v>
                </c:pt>
                <c:pt idx="242">
                  <c:v>96.736572984589117</c:v>
                </c:pt>
                <c:pt idx="243">
                  <c:v>96.425726575252042</c:v>
                </c:pt>
                <c:pt idx="244">
                  <c:v>96.110552000845246</c:v>
                </c:pt>
                <c:pt idx="245">
                  <c:v>95.79119945374363</c:v>
                </c:pt>
                <c:pt idx="246">
                  <c:v>95.467811043337832</c:v>
                </c:pt>
                <c:pt idx="247">
                  <c:v>95.140520470881739</c:v>
                </c:pt>
                <c:pt idx="248">
                  <c:v>94.809452753244557</c:v>
                </c:pt>
                <c:pt idx="249">
                  <c:v>94.474723993832569</c:v>
                </c:pt>
                <c:pt idx="250">
                  <c:v>94.136441198727624</c:v>
                </c:pt>
                <c:pt idx="251">
                  <c:v>93.794702135887235</c:v>
                </c:pt>
                <c:pt idx="252">
                  <c:v>93.449595235087429</c:v>
                </c:pt>
                <c:pt idx="253">
                  <c:v>93.101199526188736</c:v>
                </c:pt>
                <c:pt idx="254">
                  <c:v>92.749584613212576</c:v>
                </c:pt>
                <c:pt idx="255">
                  <c:v>92.394810681665135</c:v>
                </c:pt>
                <c:pt idx="256">
                  <c:v>92.036928536537175</c:v>
                </c:pt>
                <c:pt idx="257">
                  <c:v>91.675979668406129</c:v>
                </c:pt>
                <c:pt idx="258">
                  <c:v>91.311996345111609</c:v>
                </c:pt>
                <c:pt idx="259">
                  <c:v>90.945001726524154</c:v>
                </c:pt>
                <c:pt idx="260">
                  <c:v>90.575009999998969</c:v>
                </c:pt>
                <c:pt idx="261">
                  <c:v>90.202026534217609</c:v>
                </c:pt>
                <c:pt idx="262">
                  <c:v>89.826048049195023</c:v>
                </c:pt>
                <c:pt idx="263">
                  <c:v>89.447062800373246</c:v>
                </c:pt>
                <c:pt idx="264">
                  <c:v>89.065050774834347</c:v>
                </c:pt>
                <c:pt idx="265">
                  <c:v>88.679983897793704</c:v>
                </c:pt>
                <c:pt idx="266">
                  <c:v>88.29182624768184</c:v>
                </c:pt>
                <c:pt idx="267">
                  <c:v>87.900534278248884</c:v>
                </c:pt>
                <c:pt idx="268">
                  <c:v>87.50605704627263</c:v>
                </c:pt>
                <c:pt idx="269">
                  <c:v>87.108336443587604</c:v>
                </c:pt>
                <c:pt idx="270">
                  <c:v>86.707307432285091</c:v>
                </c:pt>
                <c:pt idx="271">
                  <c:v>86.30289828207421</c:v>
                </c:pt>
                <c:pt idx="272">
                  <c:v>85.895030808919657</c:v>
                </c:pt>
                <c:pt idx="273">
                  <c:v>85.483620614199438</c:v>
                </c:pt>
                <c:pt idx="274">
                  <c:v>85.068577323742915</c:v>
                </c:pt>
                <c:pt idx="275">
                  <c:v>84.649804826230309</c:v>
                </c:pt>
                <c:pt idx="276">
                  <c:v>84.22720151053602</c:v>
                </c:pt>
                <c:pt idx="277">
                  <c:v>83.800660501709103</c:v>
                </c:pt>
                <c:pt idx="278">
                  <c:v>83.370069895372794</c:v>
                </c:pt>
                <c:pt idx="279">
                  <c:v>82.935312990420726</c:v>
                </c:pt>
                <c:pt idx="280">
                  <c:v>82.496268519971053</c:v>
                </c:pt>
                <c:pt idx="281">
                  <c:v>82.052810880610807</c:v>
                </c:pt>
                <c:pt idx="282">
                  <c:v>81.604810360044141</c:v>
                </c:pt>
                <c:pt idx="283">
                  <c:v>81.152133363315144</c:v>
                </c:pt>
                <c:pt idx="284">
                  <c:v>80.694642637836736</c:v>
                </c:pt>
                <c:pt idx="285">
                  <c:v>80.232197497514278</c:v>
                </c:pt>
                <c:pt idx="286">
                  <c:v>79.764654046294552</c:v>
                </c:pt>
                <c:pt idx="287">
                  <c:v>79.29186540151801</c:v>
                </c:pt>
                <c:pt idx="288">
                  <c:v>78.813681917485113</c:v>
                </c:pt>
                <c:pt idx="289">
                  <c:v>78.329951409676625</c:v>
                </c:pt>
                <c:pt idx="290">
                  <c:v>77.840519380106571</c:v>
                </c:pt>
                <c:pt idx="291">
                  <c:v>77.345229244285974</c:v>
                </c:pt>
                <c:pt idx="292">
                  <c:v>76.843922560312507</c:v>
                </c:pt>
                <c:pt idx="293">
                  <c:v>76.336439260601935</c:v>
                </c:pt>
                <c:pt idx="294">
                  <c:v>75.822617886777394</c:v>
                </c:pt>
                <c:pt idx="295">
                  <c:v>75.302295828249385</c:v>
                </c:pt>
                <c:pt idx="296">
                  <c:v>74.775309564999105</c:v>
                </c:pt>
                <c:pt idx="297">
                  <c:v>74.241494915076458</c:v>
                </c:pt>
                <c:pt idx="298">
                  <c:v>73.700687287309336</c:v>
                </c:pt>
                <c:pt idx="299">
                  <c:v>73.152721939691972</c:v>
                </c:pt>
                <c:pt idx="300">
                  <c:v>72.597434243909603</c:v>
                </c:pt>
                <c:pt idx="301">
                  <c:v>72.034659956409826</c:v>
                </c:pt>
                <c:pt idx="302">
                  <c:v>71.46423549639583</c:v>
                </c:pt>
                <c:pt idx="303">
                  <c:v>70.885998231091293</c:v>
                </c:pt>
                <c:pt idx="304">
                  <c:v>70.299786768540031</c:v>
                </c:pt>
                <c:pt idx="305">
                  <c:v>69.705441258191954</c:v>
                </c:pt>
                <c:pt idx="306">
                  <c:v>69.10280369941988</c:v>
                </c:pt>
                <c:pt idx="307">
                  <c:v>68.491718258080411</c:v>
                </c:pt>
                <c:pt idx="308">
                  <c:v>67.872031591123147</c:v>
                </c:pt>
                <c:pt idx="309">
                  <c:v>67.243593179195798</c:v>
                </c:pt>
                <c:pt idx="310">
                  <c:v>66.606255667081626</c:v>
                </c:pt>
                <c:pt idx="311">
                  <c:v>65.959875211723229</c:v>
                </c:pt>
                <c:pt idx="312">
                  <c:v>65.304311837474359</c:v>
                </c:pt>
                <c:pt idx="313">
                  <c:v>64.639429798118769</c:v>
                </c:pt>
                <c:pt idx="314">
                  <c:v>63.965097945071818</c:v>
                </c:pt>
                <c:pt idx="315">
                  <c:v>63.281190101068688</c:v>
                </c:pt>
                <c:pt idx="316">
                  <c:v>62.587585438508981</c:v>
                </c:pt>
                <c:pt idx="317">
                  <c:v>61.884168861505998</c:v>
                </c:pt>
                <c:pt idx="318">
                  <c:v>61.17083139055228</c:v>
                </c:pt>
                <c:pt idx="319">
                  <c:v>60.447470548580824</c:v>
                </c:pt>
                <c:pt idx="320">
                  <c:v>59.713990747067328</c:v>
                </c:pt>
                <c:pt idx="321">
                  <c:v>58.97030367068551</c:v>
                </c:pt>
                <c:pt idx="322">
                  <c:v>58.216328658901091</c:v>
                </c:pt>
                <c:pt idx="323">
                  <c:v>57.451993082755251</c:v>
                </c:pt>
                <c:pt idx="324">
                  <c:v>56.677232714982665</c:v>
                </c:pt>
                <c:pt idx="325">
                  <c:v>55.891992091488163</c:v>
                </c:pt>
                <c:pt idx="326">
                  <c:v>55.096224862111242</c:v>
                </c:pt>
                <c:pt idx="327">
                  <c:v>54.289894128526754</c:v>
                </c:pt>
                <c:pt idx="328">
                  <c:v>53.472972767049598</c:v>
                </c:pt>
                <c:pt idx="329">
                  <c:v>52.64544373407125</c:v>
                </c:pt>
                <c:pt idx="330">
                  <c:v>51.807300351818668</c:v>
                </c:pt>
                <c:pt idx="331">
                  <c:v>50.95854657212027</c:v>
                </c:pt>
                <c:pt idx="332">
                  <c:v>50.099197215882512</c:v>
                </c:pt>
                <c:pt idx="333">
                  <c:v>49.229278186026491</c:v>
                </c:pt>
                <c:pt idx="334">
                  <c:v>48.34882665170413</c:v>
                </c:pt>
                <c:pt idx="335">
                  <c:v>47.457891201724181</c:v>
                </c:pt>
                <c:pt idx="336">
                  <c:v>46.556531965254777</c:v>
                </c:pt>
                <c:pt idx="337">
                  <c:v>45.644820698028198</c:v>
                </c:pt>
                <c:pt idx="338">
                  <c:v>44.722840832492906</c:v>
                </c:pt>
                <c:pt idx="339">
                  <c:v>43.790687490573418</c:v>
                </c:pt>
                <c:pt idx="340">
                  <c:v>42.848467457970798</c:v>
                </c:pt>
                <c:pt idx="341">
                  <c:v>41.896299119226782</c:v>
                </c:pt>
                <c:pt idx="342">
                  <c:v>40.934312353097923</c:v>
                </c:pt>
                <c:pt idx="343">
                  <c:v>39.962648388113934</c:v>
                </c:pt>
                <c:pt idx="344">
                  <c:v>38.981459618572572</c:v>
                </c:pt>
                <c:pt idx="345">
                  <c:v>37.990909381584544</c:v>
                </c:pt>
                <c:pt idx="346">
                  <c:v>36.991171696171932</c:v>
                </c:pt>
                <c:pt idx="347">
                  <c:v>35.982430965809939</c:v>
                </c:pt>
                <c:pt idx="348">
                  <c:v>34.964881646188516</c:v>
                </c:pt>
                <c:pt idx="349">
                  <c:v>33.938727880340778</c:v>
                </c:pt>
                <c:pt idx="350">
                  <c:v>32.904183103654233</c:v>
                </c:pt>
                <c:pt idx="351">
                  <c:v>31.861469621607142</c:v>
                </c:pt>
                <c:pt idx="352">
                  <c:v>30.810818163385761</c:v>
                </c:pt>
                <c:pt idx="353">
                  <c:v>29.752467414814134</c:v>
                </c:pt>
                <c:pt idx="354">
                  <c:v>28.686663534243309</c:v>
                </c:pt>
                <c:pt idx="355">
                  <c:v>27.61365965524692</c:v>
                </c:pt>
                <c:pt idx="356">
                  <c:v>26.533715380080707</c:v>
                </c:pt>
                <c:pt idx="357">
                  <c:v>25.447096267951309</c:v>
                </c:pt>
                <c:pt idx="358">
                  <c:v>24.354073322139641</c:v>
                </c:pt>
                <c:pt idx="359">
                  <c:v>23.254922479986192</c:v>
                </c:pt>
                <c:pt idx="360">
                  <c:v>22.149924109618524</c:v>
                </c:pt>
                <c:pt idx="361">
                  <c:v>21.039362517148447</c:v>
                </c:pt>
                <c:pt idx="362">
                  <c:v>19.923525467800886</c:v>
                </c:pt>
                <c:pt idx="363">
                  <c:v>18.802703724172517</c:v>
                </c:pt>
                <c:pt idx="364">
                  <c:v>17.67719060444773</c:v>
                </c:pt>
                <c:pt idx="365">
                  <c:v>16.54728156300655</c:v>
                </c:pt>
                <c:pt idx="366">
                  <c:v>15.41327379542571</c:v>
                </c:pt>
                <c:pt idx="367">
                  <c:v>14.275465869373505</c:v>
                </c:pt>
                <c:pt idx="368">
                  <c:v>13.134157382415452</c:v>
                </c:pt>
                <c:pt idx="369">
                  <c:v>11.989648647189682</c:v>
                </c:pt>
                <c:pt idx="370">
                  <c:v>10.842240403891054</c:v>
                </c:pt>
                <c:pt idx="371">
                  <c:v>9.6922335594329923</c:v>
                </c:pt>
                <c:pt idx="372">
                  <c:v>8.5399289521272408</c:v>
                </c:pt>
                <c:pt idx="373">
                  <c:v>7.3856271401823221</c:v>
                </c:pt>
                <c:pt idx="374">
                  <c:v>6.2296282118163901</c:v>
                </c:pt>
                <c:pt idx="375">
                  <c:v>5.0722316142980617</c:v>
                </c:pt>
                <c:pt idx="376">
                  <c:v>3.9137359987839488</c:v>
                </c:pt>
                <c:pt idx="377">
                  <c:v>2.7544390774355065</c:v>
                </c:pt>
                <c:pt idx="378">
                  <c:v>1.5946374889357458</c:v>
                </c:pt>
                <c:pt idx="379">
                  <c:v>0.43462666823890572</c:v>
                </c:pt>
                <c:pt idx="380">
                  <c:v>-0.72529928384264508</c:v>
                </c:pt>
                <c:pt idx="381">
                  <c:v>-1.8848477357857973</c:v>
                </c:pt>
                <c:pt idx="382">
                  <c:v>-3.0437276699215658</c:v>
                </c:pt>
                <c:pt idx="383">
                  <c:v>-4.2016498411386181</c:v>
                </c:pt>
                <c:pt idx="384">
                  <c:v>-5.3583269544267011</c:v>
                </c:pt>
                <c:pt idx="385">
                  <c:v>-6.513473865887903</c:v>
                </c:pt>
                <c:pt idx="386">
                  <c:v>-7.6668078116937863</c:v>
                </c:pt>
                <c:pt idx="387">
                  <c:v>-8.8180486692850479</c:v>
                </c:pt>
                <c:pt idx="388">
                  <c:v>-9.9669192548602723</c:v>
                </c:pt>
                <c:pt idx="389">
                  <c:v>-11.113145660917155</c:v>
                </c:pt>
                <c:pt idx="390">
                  <c:v>-12.256457637306283</c:v>
                </c:pt>
                <c:pt idx="391">
                  <c:v>-13.396589018891831</c:v>
                </c:pt>
                <c:pt idx="392">
                  <c:v>-14.533278202581755</c:v>
                </c:pt>
                <c:pt idx="393">
                  <c:v>-15.66626867609483</c:v>
                </c:pt>
                <c:pt idx="394">
                  <c:v>-16.795309600503685</c:v>
                </c:pt>
                <c:pt idx="395">
                  <c:v>-17.920156448214385</c:v>
                </c:pt>
                <c:pt idx="396">
                  <c:v>-19.040571697748987</c:v>
                </c:pt>
                <c:pt idx="397">
                  <c:v>-20.1563255863949</c:v>
                </c:pt>
                <c:pt idx="398">
                  <c:v>-21.267196921571724</c:v>
                </c:pt>
                <c:pt idx="399">
                  <c:v>-22.372973951559374</c:v>
                </c:pt>
                <c:pt idx="400">
                  <c:v>-23.47345529616598</c:v>
                </c:pt>
                <c:pt idx="401">
                  <c:v>-24.568450937854493</c:v>
                </c:pt>
                <c:pt idx="402">
                  <c:v>-25.657783273941192</c:v>
                </c:pt>
                <c:pt idx="403">
                  <c:v>-26.741288230629351</c:v>
                </c:pt>
                <c:pt idx="404">
                  <c:v>-27.818816439926678</c:v>
                </c:pt>
                <c:pt idx="405">
                  <c:v>-28.890234480898357</c:v>
                </c:pt>
                <c:pt idx="406">
                  <c:v>-29.955426187216915</c:v>
                </c:pt>
                <c:pt idx="407">
                  <c:v>-31.01429402365028</c:v>
                </c:pt>
                <c:pt idx="408">
                  <c:v>-32.066760534923844</c:v>
                </c:pt>
                <c:pt idx="409">
                  <c:v>-33.112769871358637</c:v>
                </c:pt>
                <c:pt idx="410">
                  <c:v>-34.152289396817537</c:v>
                </c:pt>
                <c:pt idx="411">
                  <c:v>-35.185311385785411</c:v>
                </c:pt>
                <c:pt idx="412">
                  <c:v>-36.211854817910918</c:v>
                </c:pt>
                <c:pt idx="413">
                  <c:v>-37.231967280021763</c:v>
                </c:pt>
                <c:pt idx="414">
                  <c:v>-38.245726987540337</c:v>
                </c:pt>
                <c:pt idx="415">
                  <c:v>-39.25324493938615</c:v>
                </c:pt>
                <c:pt idx="416">
                  <c:v>-40.254667222861144</c:v>
                </c:pt>
                <c:pt idx="417">
                  <c:v>-41.250177487729843</c:v>
                </c:pt>
                <c:pt idx="418">
                  <c:v>-42.239999611753404</c:v>
                </c:pt>
                <c:pt idx="419">
                  <c:v>-43.22440058333035</c:v>
                </c:pt>
                <c:pt idx="420">
                  <c:v>-44.203693630745136</c:v>
                </c:pt>
                <c:pt idx="421">
                  <c:v>-45.178241631814799</c:v>
                </c:pt>
                <c:pt idx="422">
                  <c:v>-46.148460842579993</c:v>
                </c:pt>
                <c:pt idx="423">
                  <c:v>-47.11482498915251</c:v>
                </c:pt>
                <c:pt idx="424">
                  <c:v>-48.077869773021291</c:v>
                </c:pt>
                <c:pt idx="425">
                  <c:v>-49.038197847101785</c:v>
                </c:pt>
                <c:pt idx="426">
                  <c:v>-49.996484327767391</c:v>
                </c:pt>
                <c:pt idx="427">
                  <c:v>-50.953482917092515</c:v>
                </c:pt>
                <c:pt idx="428">
                  <c:v>-51.910032719766249</c:v>
                </c:pt>
                <c:pt idx="429">
                  <c:v>-52.867065850738527</c:v>
                </c:pt>
                <c:pt idx="430">
                  <c:v>-53.825615942832542</c:v>
                </c:pt>
                <c:pt idx="431">
                  <c:v>-54.786827678448333</c:v>
                </c:pt>
                <c:pt idx="432">
                  <c:v>-55.751967486333044</c:v>
                </c:pt>
                <c:pt idx="433">
                  <c:v>-56.722435563273621</c:v>
                </c:pt>
                <c:pt idx="434">
                  <c:v>-57.699779401726772</c:v>
                </c:pt>
                <c:pt idx="435">
                  <c:v>-58.685709027740131</c:v>
                </c:pt>
                <c:pt idx="436">
                  <c:v>-59.682114179106918</c:v>
                </c:pt>
                <c:pt idx="437">
                  <c:v>-60.691083681096856</c:v>
                </c:pt>
                <c:pt idx="438">
                  <c:v>-61.714927305822059</c:v>
                </c:pt>
                <c:pt idx="439">
                  <c:v>-62.756200430080497</c:v>
                </c:pt>
                <c:pt idx="440">
                  <c:v>-63.817731833542666</c:v>
                </c:pt>
                <c:pt idx="441">
                  <c:v>-64.902655001316717</c:v>
                </c:pt>
                <c:pt idx="442">
                  <c:v>-66.01444330752156</c:v>
                </c:pt>
                <c:pt idx="443">
                  <c:v>-67.156949452332256</c:v>
                </c:pt>
                <c:pt idx="444">
                  <c:v>-68.334449493275955</c:v>
                </c:pt>
                <c:pt idx="445">
                  <c:v>-69.551691736567705</c:v>
                </c:pt>
                <c:pt idx="446">
                  <c:v>-70.813950612959076</c:v>
                </c:pt>
                <c:pt idx="447">
                  <c:v>-72.127085421862674</c:v>
                </c:pt>
                <c:pt idx="448">
                  <c:v>-73.497603440509749</c:v>
                </c:pt>
                <c:pt idx="449">
                  <c:v>-74.932726295980984</c:v>
                </c:pt>
                <c:pt idx="450">
                  <c:v>-76.440457597059265</c:v>
                </c:pt>
                <c:pt idx="451">
                  <c:v>-78.029648499224507</c:v>
                </c:pt>
                <c:pt idx="452">
                  <c:v>-79.710055973248544</c:v>
                </c:pt>
                <c:pt idx="453">
                  <c:v>-81.492385872615216</c:v>
                </c:pt>
                <c:pt idx="454">
                  <c:v>-83.388309227781036</c:v>
                </c:pt>
                <c:pt idx="455">
                  <c:v>-85.410435322606133</c:v>
                </c:pt>
                <c:pt idx="456">
                  <c:v>-87.572218897457006</c:v>
                </c:pt>
                <c:pt idx="457">
                  <c:v>-89.887771368866851</c:v>
                </c:pt>
                <c:pt idx="458">
                  <c:v>-92.371537833636395</c:v>
                </c:pt>
                <c:pt idx="459">
                  <c:v>-95.037794291846936</c:v>
                </c:pt>
                <c:pt idx="460">
                  <c:v>-97.899915846499837</c:v>
                </c:pt>
                <c:pt idx="461">
                  <c:v>-100.96937144222767</c:v>
                </c:pt>
                <c:pt idx="462">
                  <c:v>-104.25442096190908</c:v>
                </c:pt>
                <c:pt idx="463">
                  <c:v>-107.75853441591408</c:v>
                </c:pt>
                <c:pt idx="464">
                  <c:v>-111.47862689095537</c:v>
                </c:pt>
                <c:pt idx="465">
                  <c:v>-115.4033052446015</c:v>
                </c:pt>
                <c:pt idx="466">
                  <c:v>-119.51143525247619</c:v>
                </c:pt>
                <c:pt idx="467">
                  <c:v>-123.77142067450362</c:v>
                </c:pt>
                <c:pt idx="468">
                  <c:v>-128.14158095338018</c:v>
                </c:pt>
                <c:pt idx="469">
                  <c:v>-132.57187187870264</c:v>
                </c:pt>
                <c:pt idx="470">
                  <c:v>-137.00691080714245</c:v>
                </c:pt>
                <c:pt idx="471">
                  <c:v>-141.38991930789479</c:v>
                </c:pt>
                <c:pt idx="472">
                  <c:v>-145.66691738304792</c:v>
                </c:pt>
                <c:pt idx="473">
                  <c:v>-149.79042278581477</c:v>
                </c:pt>
                <c:pt idx="474">
                  <c:v>-153.72206588878043</c:v>
                </c:pt>
                <c:pt idx="475">
                  <c:v>-157.43384916046367</c:v>
                </c:pt>
                <c:pt idx="476">
                  <c:v>-160.90812004628157</c:v>
                </c:pt>
                <c:pt idx="477">
                  <c:v>-164.13656609080147</c:v>
                </c:pt>
                <c:pt idx="478">
                  <c:v>-167.11863400012595</c:v>
                </c:pt>
                <c:pt idx="479">
                  <c:v>-169.85974316291572</c:v>
                </c:pt>
                <c:pt idx="480">
                  <c:v>-172.36956552212052</c:v>
                </c:pt>
                <c:pt idx="481">
                  <c:v>-174.66053110776096</c:v>
                </c:pt>
                <c:pt idx="482">
                  <c:v>-176.7466246958777</c:v>
                </c:pt>
                <c:pt idx="483">
                  <c:v>-178.64247553462917</c:v>
                </c:pt>
                <c:pt idx="484">
                  <c:v>-180.3627069652029</c:v>
                </c:pt>
                <c:pt idx="485">
                  <c:v>-181.9214985634008</c:v>
                </c:pt>
                <c:pt idx="486">
                  <c:v>-183.33231213162861</c:v>
                </c:pt>
                <c:pt idx="487">
                  <c:v>-184.60773820060945</c:v>
                </c:pt>
                <c:pt idx="488">
                  <c:v>-185.75942753460146</c:v>
                </c:pt>
                <c:pt idx="489">
                  <c:v>-186.79808014164698</c:v>
                </c:pt>
                <c:pt idx="490">
                  <c:v>-187.73347136303181</c:v>
                </c:pt>
                <c:pt idx="491">
                  <c:v>-188.57450037508872</c:v>
                </c:pt>
                <c:pt idx="492">
                  <c:v>-189.32925088547901</c:v>
                </c:pt>
                <c:pt idx="493">
                  <c:v>-190.00505711671201</c:v>
                </c:pt>
                <c:pt idx="494">
                  <c:v>-190.60857056334117</c:v>
                </c:pt>
                <c:pt idx="495">
                  <c:v>-191.14582469878832</c:v>
                </c:pt>
                <c:pt idx="496">
                  <c:v>-191.62229597449704</c:v>
                </c:pt>
                <c:pt idx="497">
                  <c:v>-192.04296024223098</c:v>
                </c:pt>
                <c:pt idx="498">
                  <c:v>-192.41234424958725</c:v>
                </c:pt>
                <c:pt idx="499">
                  <c:v>-192.7345721904976</c:v>
                </c:pt>
                <c:pt idx="500">
                  <c:v>-192.74656119377789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22-463D-81A0-68F554CF810C}"/>
            </c:ext>
          </c:extLst>
        </c:ser>
        <c:ser>
          <c:idx val="7"/>
          <c:order val="5"/>
          <c:tx>
            <c:strRef>
              <c:f>'Small Signal'!$AE$3</c:f>
              <c:strCache>
                <c:ptCount val="1"/>
                <c:pt idx="0">
                  <c:v>Phase Gea</c:v>
                </c:pt>
              </c:strCache>
            </c:strRef>
          </c:tx>
          <c:spPr>
            <a:ln w="38100">
              <a:solidFill>
                <a:schemeClr val="accent5"/>
              </a:solidFill>
              <a:prstDash val="sysDash"/>
            </a:ln>
          </c:spPr>
          <c:marker>
            <c:symbol val="none"/>
          </c:marker>
          <c:xVal>
            <c:numRef>
              <c:f>'Small Signal'!$K$4:$K$504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Signal'!$AE$4:$AE$504</c:f>
              <c:numCache>
                <c:formatCode>##0.0E+0</c:formatCode>
                <c:ptCount val="501"/>
                <c:pt idx="0">
                  <c:v>93.455041335630582</c:v>
                </c:pt>
                <c:pt idx="1">
                  <c:v>93.409586618145497</c:v>
                </c:pt>
                <c:pt idx="2">
                  <c:v>93.365842289308532</c:v>
                </c:pt>
                <c:pt idx="3">
                  <c:v>93.323786812314793</c:v>
                </c:pt>
                <c:pt idx="4">
                  <c:v>93.283399466971588</c:v>
                </c:pt>
                <c:pt idx="5">
                  <c:v>93.244660341397804</c:v>
                </c:pt>
                <c:pt idx="6">
                  <c:v>93.207550323985743</c:v>
                </c:pt>
                <c:pt idx="7">
                  <c:v>93.172051095630138</c:v>
                </c:pt>
                <c:pt idx="8">
                  <c:v>93.138145122228849</c:v>
                </c:pt>
                <c:pt idx="9">
                  <c:v>93.105815647458797</c:v>
                </c:pt>
                <c:pt idx="10">
                  <c:v>93.075046685831197</c:v>
                </c:pt>
                <c:pt idx="11">
                  <c:v>93.045823016028407</c:v>
                </c:pt>
                <c:pt idx="12">
                  <c:v>93.018130174525965</c:v>
                </c:pt>
                <c:pt idx="13">
                  <c:v>92.991954449501918</c:v>
                </c:pt>
                <c:pt idx="14">
                  <c:v>92.96728287503575</c:v>
                </c:pt>
                <c:pt idx="15">
                  <c:v>92.944103225599008</c:v>
                </c:pt>
                <c:pt idx="16">
                  <c:v>92.922404010839344</c:v>
                </c:pt>
                <c:pt idx="17">
                  <c:v>92.902174470659574</c:v>
                </c:pt>
                <c:pt idx="18">
                  <c:v>92.8834045705931</c:v>
                </c:pt>
                <c:pt idx="19">
                  <c:v>92.866084997476932</c:v>
                </c:pt>
                <c:pt idx="20">
                  <c:v>92.850207155423547</c:v>
                </c:pt>
                <c:pt idx="21">
                  <c:v>92.835763162092178</c:v>
                </c:pt>
                <c:pt idx="22">
                  <c:v>92.822745845260684</c:v>
                </c:pt>
                <c:pt idx="23">
                  <c:v>92.811148739698538</c:v>
                </c:pt>
                <c:pt idx="24">
                  <c:v>92.800966084341582</c:v>
                </c:pt>
                <c:pt idx="25">
                  <c:v>92.792192819768957</c:v>
                </c:pt>
                <c:pt idx="26">
                  <c:v>92.784824585982889</c:v>
                </c:pt>
                <c:pt idx="27">
                  <c:v>92.778857720491359</c:v>
                </c:pt>
                <c:pt idx="28">
                  <c:v>92.774289256694203</c:v>
                </c:pt>
                <c:pt idx="29">
                  <c:v>92.771116922572745</c:v>
                </c:pt>
                <c:pt idx="30">
                  <c:v>92.769339139683112</c:v>
                </c:pt>
                <c:pt idx="31">
                  <c:v>92.768955022453426</c:v>
                </c:pt>
                <c:pt idx="32">
                  <c:v>92.769964377784959</c:v>
                </c:pt>
                <c:pt idx="33">
                  <c:v>92.772367704957048</c:v>
                </c:pt>
                <c:pt idx="34">
                  <c:v>92.776166195835941</c:v>
                </c:pt>
                <c:pt idx="35">
                  <c:v>92.781361735387478</c:v>
                </c:pt>
                <c:pt idx="36">
                  <c:v>92.787956902493434</c:v>
                </c:pt>
                <c:pt idx="37">
                  <c:v>92.795954971071097</c:v>
                </c:pt>
                <c:pt idx="38">
                  <c:v>92.805359911496481</c:v>
                </c:pt>
                <c:pt idx="39">
                  <c:v>92.81617639232995</c:v>
                </c:pt>
                <c:pt idx="40">
                  <c:v>92.828409782344906</c:v>
                </c:pt>
                <c:pt idx="41">
                  <c:v>92.842066152858195</c:v>
                </c:pt>
                <c:pt idx="42">
                  <c:v>92.85715228036247</c:v>
                </c:pt>
                <c:pt idx="43">
                  <c:v>92.873675649459372</c:v>
                </c:pt>
                <c:pt idx="44">
                  <c:v>92.891644456093161</c:v>
                </c:pt>
                <c:pt idx="45">
                  <c:v>92.911067611083965</c:v>
                </c:pt>
                <c:pt idx="46">
                  <c:v>92.931954743959764</c:v>
                </c:pt>
                <c:pt idx="47">
                  <c:v>92.954316207086009</c:v>
                </c:pt>
                <c:pt idx="48">
                  <c:v>92.978163080091747</c:v>
                </c:pt>
                <c:pt idx="49">
                  <c:v>93.003507174591334</c:v>
                </c:pt>
                <c:pt idx="50">
                  <c:v>93.030361039199477</c:v>
                </c:pt>
                <c:pt idx="51">
                  <c:v>93.058737964838841</c:v>
                </c:pt>
                <c:pt idx="52">
                  <c:v>93.088651990337752</c:v>
                </c:pt>
                <c:pt idx="53">
                  <c:v>93.120117908316288</c:v>
                </c:pt>
                <c:pt idx="54">
                  <c:v>93.153151271358183</c:v>
                </c:pt>
                <c:pt idx="55">
                  <c:v>93.18776839846619</c:v>
                </c:pt>
                <c:pt idx="56">
                  <c:v>93.223986381797914</c:v>
                </c:pt>
                <c:pt idx="57">
                  <c:v>93.261823093678927</c:v>
                </c:pt>
                <c:pt idx="58">
                  <c:v>93.30129719388961</c:v>
                </c:pt>
                <c:pt idx="59">
                  <c:v>93.342428137221916</c:v>
                </c:pt>
                <c:pt idx="60">
                  <c:v>93.385236181301536</c:v>
                </c:pt>
                <c:pt idx="61">
                  <c:v>93.429742394670839</c:v>
                </c:pt>
                <c:pt idx="62">
                  <c:v>93.475968665127127</c:v>
                </c:pt>
                <c:pt idx="63">
                  <c:v>93.523937708310697</c:v>
                </c:pt>
                <c:pt idx="64">
                  <c:v>93.57367307653594</c:v>
                </c:pt>
                <c:pt idx="65">
                  <c:v>93.625199167858753</c:v>
                </c:pt>
                <c:pt idx="66">
                  <c:v>93.678541235372421</c:v>
                </c:pt>
                <c:pt idx="67">
                  <c:v>93.733725396723869</c:v>
                </c:pt>
                <c:pt idx="68">
                  <c:v>93.790778643840369</c:v>
                </c:pt>
                <c:pt idx="69">
                  <c:v>93.849728852857709</c:v>
                </c:pt>
                <c:pt idx="70">
                  <c:v>93.910604794237884</c:v>
                </c:pt>
                <c:pt idx="71">
                  <c:v>93.973436143065086</c:v>
                </c:pt>
                <c:pt idx="72">
                  <c:v>94.038253489506573</c:v>
                </c:pt>
                <c:pt idx="73">
                  <c:v>94.105088349424662</c:v>
                </c:pt>
                <c:pt idx="74">
                  <c:v>94.173973175124104</c:v>
                </c:pt>
                <c:pt idx="75">
                  <c:v>94.244941366218868</c:v>
                </c:pt>
                <c:pt idx="76">
                  <c:v>94.318027280599495</c:v>
                </c:pt>
                <c:pt idx="77">
                  <c:v>94.393266245482309</c:v>
                </c:pt>
                <c:pt idx="78">
                  <c:v>94.470694568518908</c:v>
                </c:pt>
                <c:pt idx="79">
                  <c:v>94.550349548943203</c:v>
                </c:pt>
                <c:pt idx="80">
                  <c:v>94.632269488731808</c:v>
                </c:pt>
                <c:pt idx="81">
                  <c:v>94.71649370375043</c:v>
                </c:pt>
                <c:pt idx="82">
                  <c:v>94.803062534858427</c:v>
                </c:pt>
                <c:pt idx="83">
                  <c:v>94.892017358940194</c:v>
                </c:pt>
                <c:pt idx="84">
                  <c:v>94.983400599830475</c:v>
                </c:pt>
                <c:pt idx="85">
                  <c:v>95.077255739097652</c:v>
                </c:pt>
                <c:pt idx="86">
                  <c:v>95.173627326646795</c:v>
                </c:pt>
                <c:pt idx="87">
                  <c:v>95.272560991101301</c:v>
                </c:pt>
                <c:pt idx="88">
                  <c:v>95.374103449918962</c:v>
                </c:pt>
                <c:pt idx="89">
                  <c:v>95.478302519194912</c:v>
                </c:pt>
                <c:pt idx="90">
                  <c:v>95.585207123100815</c:v>
                </c:pt>
                <c:pt idx="91">
                  <c:v>95.694867302906005</c:v>
                </c:pt>
                <c:pt idx="92">
                  <c:v>95.807334225522325</c:v>
                </c:pt>
                <c:pt idx="93">
                  <c:v>95.92266019151073</c:v>
                </c:pt>
                <c:pt idx="94">
                  <c:v>96.040898642482929</c:v>
                </c:pt>
                <c:pt idx="95">
                  <c:v>96.162104167827721</c:v>
                </c:pt>
                <c:pt idx="96">
                  <c:v>96.286332510686123</c:v>
                </c:pt>
                <c:pt idx="97">
                  <c:v>96.413640573095179</c:v>
                </c:pt>
                <c:pt idx="98">
                  <c:v>96.544086420214242</c:v>
                </c:pt>
                <c:pt idx="99">
                  <c:v>96.677729283543044</c:v>
                </c:pt>
                <c:pt idx="100">
                  <c:v>96.814629563034501</c:v>
                </c:pt>
                <c:pt idx="101">
                  <c:v>96.954848827999214</c:v>
                </c:pt>
                <c:pt idx="102">
                  <c:v>97.098449816692707</c:v>
                </c:pt>
                <c:pt idx="103">
                  <c:v>97.245496434469558</c:v>
                </c:pt>
                <c:pt idx="104">
                  <c:v>97.396053750381213</c:v>
                </c:pt>
                <c:pt idx="105">
                  <c:v>97.550187992089207</c:v>
                </c:pt>
                <c:pt idx="106">
                  <c:v>97.707966538954423</c:v>
                </c:pt>
                <c:pt idx="107">
                  <c:v>97.869457913159721</c:v>
                </c:pt>
                <c:pt idx="108">
                  <c:v>98.034731768711779</c:v>
                </c:pt>
                <c:pt idx="109">
                  <c:v>98.203858878161071</c:v>
                </c:pt>
                <c:pt idx="110">
                  <c:v>98.376911116871369</c:v>
                </c:pt>
                <c:pt idx="111">
                  <c:v>98.553961444660047</c:v>
                </c:pt>
                <c:pt idx="112">
                  <c:v>98.735083884621602</c:v>
                </c:pt>
                <c:pt idx="113">
                  <c:v>98.920353498939733</c:v>
                </c:pt>
                <c:pt idx="114">
                  <c:v>99.109846361480592</c:v>
                </c:pt>
                <c:pt idx="115">
                  <c:v>99.303639526955365</c:v>
                </c:pt>
                <c:pt idx="116">
                  <c:v>99.501810996424524</c:v>
                </c:pt>
                <c:pt idx="117">
                  <c:v>99.704439678913985</c:v>
                </c:pt>
                <c:pt idx="118">
                  <c:v>99.911605348898277</c:v>
                </c:pt>
                <c:pt idx="119">
                  <c:v>100.12338859939889</c:v>
                </c:pt>
                <c:pt idx="120">
                  <c:v>100.33987079043806</c:v>
                </c:pt>
                <c:pt idx="121">
                  <c:v>100.56113399257676</c:v>
                </c:pt>
                <c:pt idx="122">
                  <c:v>100.7872609252597</c:v>
                </c:pt>
                <c:pt idx="123">
                  <c:v>101.01833488968181</c:v>
                </c:pt>
                <c:pt idx="124">
                  <c:v>101.25443969588105</c:v>
                </c:pt>
                <c:pt idx="125">
                  <c:v>101.49565958376003</c:v>
                </c:pt>
                <c:pt idx="126">
                  <c:v>101.74207913773076</c:v>
                </c:pt>
                <c:pt idx="127">
                  <c:v>101.99378319467053</c:v>
                </c:pt>
                <c:pt idx="128">
                  <c:v>102.25085674487849</c:v>
                </c:pt>
                <c:pt idx="129">
                  <c:v>102.51338482571636</c:v>
                </c:pt>
                <c:pt idx="130">
                  <c:v>102.78145240761823</c:v>
                </c:pt>
                <c:pt idx="131">
                  <c:v>103.05514427215562</c:v>
                </c:pt>
                <c:pt idx="132">
                  <c:v>103.33454488184876</c:v>
                </c:pt>
                <c:pt idx="133">
                  <c:v>103.61973824142018</c:v>
                </c:pt>
                <c:pt idx="134">
                  <c:v>103.91080775019442</c:v>
                </c:pt>
                <c:pt idx="135">
                  <c:v>104.20783604536363</c:v>
                </c:pt>
                <c:pt idx="136">
                  <c:v>104.51090483584734</c:v>
                </c:pt>
                <c:pt idx="137">
                  <c:v>104.82009472650216</c:v>
                </c:pt>
                <c:pt idx="138">
                  <c:v>105.13548503244721</c:v>
                </c:pt>
                <c:pt idx="139">
                  <c:v>105.45715358331449</c:v>
                </c:pt>
                <c:pt idx="140">
                  <c:v>105.78517651724623</c:v>
                </c:pt>
                <c:pt idx="141">
                  <c:v>106.11962806451301</c:v>
                </c:pt>
                <c:pt idx="142">
                  <c:v>106.46058032065882</c:v>
                </c:pt>
                <c:pt idx="143">
                  <c:v>106.80810300912968</c:v>
                </c:pt>
                <c:pt idx="144">
                  <c:v>107.16226323339379</c:v>
                </c:pt>
                <c:pt idx="145">
                  <c:v>107.52312521862393</c:v>
                </c:pt>
                <c:pt idx="146">
                  <c:v>107.89075004307008</c:v>
                </c:pt>
                <c:pt idx="147">
                  <c:v>108.26519535933478</c:v>
                </c:pt>
                <c:pt idx="148">
                  <c:v>108.64651510582797</c:v>
                </c:pt>
                <c:pt idx="149">
                  <c:v>109.03475920877717</c:v>
                </c:pt>
                <c:pt idx="150">
                  <c:v>109.42997327525232</c:v>
                </c:pt>
                <c:pt idx="151">
                  <c:v>109.83219827776644</c:v>
                </c:pt>
                <c:pt idx="152">
                  <c:v>110.24147023112312</c:v>
                </c:pt>
                <c:pt idx="153">
                  <c:v>110.6578198622863</c:v>
                </c:pt>
                <c:pt idx="154">
                  <c:v>111.08127227417496</c:v>
                </c:pt>
                <c:pt idx="155">
                  <c:v>111.51184660440195</c:v>
                </c:pt>
                <c:pt idx="156">
                  <c:v>111.9495556801085</c:v>
                </c:pt>
                <c:pt idx="157">
                  <c:v>112.3944056701776</c:v>
                </c:pt>
                <c:pt idx="158">
                  <c:v>112.84639573624455</c:v>
                </c:pt>
                <c:pt idx="159">
                  <c:v>113.30551768405876</c:v>
                </c:pt>
                <c:pt idx="160">
                  <c:v>113.77175561689083</c:v>
                </c:pt>
                <c:pt idx="161">
                  <c:v>114.2450855928126</c:v>
                </c:pt>
                <c:pt idx="162">
                  <c:v>114.72547528781072</c:v>
                </c:pt>
                <c:pt idx="163">
                  <c:v>115.2128836668259</c:v>
                </c:pt>
                <c:pt idx="164">
                  <c:v>115.70726066492446</c:v>
                </c:pt>
                <c:pt idx="165">
                  <c:v>116.20854688092902</c:v>
                </c:pt>
                <c:pt idx="166">
                  <c:v>116.71667328592542</c:v>
                </c:pt>
                <c:pt idx="167">
                  <c:v>117.23156094915936</c:v>
                </c:pt>
                <c:pt idx="168">
                  <c:v>117.753120783895</c:v>
                </c:pt>
                <c:pt idx="169">
                  <c:v>118.28125331586619</c:v>
                </c:pt>
                <c:pt idx="170">
                  <c:v>118.81584847697378</c:v>
                </c:pt>
                <c:pt idx="171">
                  <c:v>119.35678542688649</c:v>
                </c:pt>
                <c:pt idx="172">
                  <c:v>119.9039324051836</c:v>
                </c:pt>
                <c:pt idx="173">
                  <c:v>120.45714661661916</c:v>
                </c:pt>
                <c:pt idx="174">
                  <c:v>121.01627415200929</c:v>
                </c:pt>
                <c:pt idx="175">
                  <c:v>121.58114994712827</c:v>
                </c:pt>
                <c:pt idx="176">
                  <c:v>122.15159778184625</c:v>
                </c:pt>
                <c:pt idx="177">
                  <c:v>122.72743032156328</c:v>
                </c:pt>
                <c:pt idx="178">
                  <c:v>123.30844920277167</c:v>
                </c:pt>
                <c:pt idx="179">
                  <c:v>123.894445164329</c:v>
                </c:pt>
                <c:pt idx="180">
                  <c:v>124.48519822573748</c:v>
                </c:pt>
                <c:pt idx="181">
                  <c:v>125.08047791341028</c:v>
                </c:pt>
                <c:pt idx="182">
                  <c:v>125.68004353555472</c:v>
                </c:pt>
                <c:pt idx="183">
                  <c:v>126.28364450593466</c:v>
                </c:pt>
                <c:pt idx="184">
                  <c:v>126.89102071637629</c:v>
                </c:pt>
                <c:pt idx="185">
                  <c:v>127.50190295747016</c:v>
                </c:pt>
                <c:pt idx="186">
                  <c:v>128.11601338649331</c:v>
                </c:pt>
                <c:pt idx="187">
                  <c:v>128.73306604114532</c:v>
                </c:pt>
                <c:pt idx="188">
                  <c:v>129.3527673972514</c:v>
                </c:pt>
                <c:pt idx="189">
                  <c:v>129.97481696815976</c:v>
                </c:pt>
                <c:pt idx="190">
                  <c:v>130.59890794313367</c:v>
                </c:pt>
                <c:pt idx="191">
                  <c:v>131.22472786164209</c:v>
                </c:pt>
                <c:pt idx="192">
                  <c:v>131.85195932006849</c:v>
                </c:pt>
                <c:pt idx="193">
                  <c:v>132.48028070701093</c:v>
                </c:pt>
                <c:pt idx="194">
                  <c:v>133.10936696303543</c:v>
                </c:pt>
                <c:pt idx="195">
                  <c:v>133.73889036046901</c:v>
                </c:pt>
                <c:pt idx="196">
                  <c:v>134.36852129859889</c:v>
                </c:pt>
                <c:pt idx="197">
                  <c:v>134.99792910946692</c:v>
                </c:pt>
                <c:pt idx="198">
                  <c:v>135.62678286932675</c:v>
                </c:pt>
                <c:pt idx="199">
                  <c:v>136.25475221077124</c:v>
                </c:pt>
                <c:pt idx="200">
                  <c:v>136.8815081305209</c:v>
                </c:pt>
                <c:pt idx="201">
                  <c:v>137.50672378791811</c:v>
                </c:pt>
                <c:pt idx="202">
                  <c:v>138.13007528927949</c:v>
                </c:pt>
                <c:pt idx="203">
                  <c:v>138.75124245340905</c:v>
                </c:pt>
                <c:pt idx="204">
                  <c:v>139.36990955379338</c:v>
                </c:pt>
                <c:pt idx="205">
                  <c:v>139.98576603325068</c:v>
                </c:pt>
                <c:pt idx="206">
                  <c:v>140.59850718711832</c:v>
                </c:pt>
                <c:pt idx="207">
                  <c:v>141.207834811384</c:v>
                </c:pt>
                <c:pt idx="208">
                  <c:v>141.81345781255561</c:v>
                </c:pt>
                <c:pt idx="209">
                  <c:v>142.41509277644914</c:v>
                </c:pt>
                <c:pt idx="210">
                  <c:v>143.01246449349262</c:v>
                </c:pt>
                <c:pt idx="211">
                  <c:v>143.60530643857498</c:v>
                </c:pt>
                <c:pt idx="212">
                  <c:v>144.19336120390483</c:v>
                </c:pt>
                <c:pt idx="213">
                  <c:v>144.77638088377302</c:v>
                </c:pt>
                <c:pt idx="214">
                  <c:v>145.35412741054969</c:v>
                </c:pt>
                <c:pt idx="215">
                  <c:v>145.9263728416588</c:v>
                </c:pt>
                <c:pt idx="216">
                  <c:v>146.49289959767691</c:v>
                </c:pt>
                <c:pt idx="217">
                  <c:v>147.05350065208046</c:v>
                </c:pt>
                <c:pt idx="218">
                  <c:v>147.60797967352036</c:v>
                </c:pt>
                <c:pt idx="219">
                  <c:v>148.15615112183147</c:v>
                </c:pt>
                <c:pt idx="220">
                  <c:v>148.69784029927462</c:v>
                </c:pt>
                <c:pt idx="221">
                  <c:v>149.23288335877368</c:v>
                </c:pt>
                <c:pt idx="222">
                  <c:v>149.76112727114145</c:v>
                </c:pt>
                <c:pt idx="223">
                  <c:v>150.28242975347348</c:v>
                </c:pt>
                <c:pt idx="224">
                  <c:v>150.79665916105705</c:v>
                </c:pt>
                <c:pt idx="225">
                  <c:v>151.3036943452619</c:v>
                </c:pt>
                <c:pt idx="226">
                  <c:v>151.80342447997245</c:v>
                </c:pt>
                <c:pt idx="227">
                  <c:v>152.2957488591868</c:v>
                </c:pt>
                <c:pt idx="228">
                  <c:v>152.78057666843057</c:v>
                </c:pt>
                <c:pt idx="229">
                  <c:v>153.25782673264885</c:v>
                </c:pt>
                <c:pt idx="230">
                  <c:v>153.72742724320653</c:v>
                </c:pt>
                <c:pt idx="231">
                  <c:v>154.18931546659394</c:v>
                </c:pt>
                <c:pt idx="232">
                  <c:v>154.64343743736373</c:v>
                </c:pt>
                <c:pt idx="233">
                  <c:v>155.08974763775041</c:v>
                </c:pt>
                <c:pt idx="234">
                  <c:v>155.52820866631811</c:v>
                </c:pt>
                <c:pt idx="235">
                  <c:v>155.95879089788474</c:v>
                </c:pt>
                <c:pt idx="236">
                  <c:v>156.38147213684508</c:v>
                </c:pt>
                <c:pt idx="237">
                  <c:v>156.79623726588994</c:v>
                </c:pt>
                <c:pt idx="238">
                  <c:v>157.20307789198912</c:v>
                </c:pt>
                <c:pt idx="239">
                  <c:v>157.6019919913692</c:v>
                </c:pt>
                <c:pt idx="240">
                  <c:v>157.99298355507938</c:v>
                </c:pt>
                <c:pt idx="241">
                  <c:v>158.37606223660327</c:v>
                </c:pt>
                <c:pt idx="242">
                  <c:v>158.75124300283696</c:v>
                </c:pt>
                <c:pt idx="243">
                  <c:v>159.11854578962146</c:v>
                </c:pt>
                <c:pt idx="244">
                  <c:v>159.47799516288774</c:v>
                </c:pt>
                <c:pt idx="245">
                  <c:v>159.82961998634647</c:v>
                </c:pt>
                <c:pt idx="246">
                  <c:v>160.17345309653632</c:v>
                </c:pt>
                <c:pt idx="247">
                  <c:v>160.50953098592862</c:v>
                </c:pt>
                <c:pt idx="248">
                  <c:v>160.83789349468208</c:v>
                </c:pt>
                <c:pt idx="249">
                  <c:v>161.15858351153253</c:v>
                </c:pt>
                <c:pt idx="250">
                  <c:v>161.47164668421919</c:v>
                </c:pt>
                <c:pt idx="251">
                  <c:v>161.7771311397504</c:v>
                </c:pt>
                <c:pt idx="252">
                  <c:v>162.07508721473897</c:v>
                </c:pt>
                <c:pt idx="253">
                  <c:v>162.36556719595893</c:v>
                </c:pt>
                <c:pt idx="254">
                  <c:v>162.64862507121165</c:v>
                </c:pt>
                <c:pt idx="255">
                  <c:v>162.92431629052368</c:v>
                </c:pt>
                <c:pt idx="256">
                  <c:v>163.19269753765158</c:v>
                </c:pt>
                <c:pt idx="257">
                  <c:v>163.45382651181185</c:v>
                </c:pt>
                <c:pt idx="258">
                  <c:v>163.70776171951908</c:v>
                </c:pt>
                <c:pt idx="259">
                  <c:v>163.95456227637263</c:v>
                </c:pt>
                <c:pt idx="260">
                  <c:v>164.1942877186018</c:v>
                </c:pt>
                <c:pt idx="261">
                  <c:v>164.42699782415255</c:v>
                </c:pt>
                <c:pt idx="262">
                  <c:v>164.65275244307276</c:v>
                </c:pt>
                <c:pt idx="263">
                  <c:v>164.87161133693689</c:v>
                </c:pt>
                <c:pt idx="264">
                  <c:v>165.08363402703299</c:v>
                </c:pt>
                <c:pt idx="265">
                  <c:v>165.28887965102314</c:v>
                </c:pt>
                <c:pt idx="266">
                  <c:v>165.48740682777984</c:v>
                </c:pt>
                <c:pt idx="267">
                  <c:v>165.67927353009458</c:v>
                </c:pt>
                <c:pt idx="268">
                  <c:v>165.86453696494948</c:v>
                </c:pt>
                <c:pt idx="269">
                  <c:v>166.04325346104295</c:v>
                </c:pt>
                <c:pt idx="270">
                  <c:v>166.21547836325976</c:v>
                </c:pt>
                <c:pt idx="271">
                  <c:v>166.38126593377797</c:v>
                </c:pt>
                <c:pt idx="272">
                  <c:v>166.54066925950914</c:v>
                </c:pt>
                <c:pt idx="273">
                  <c:v>166.69374016557319</c:v>
                </c:pt>
                <c:pt idx="274">
                  <c:v>166.84052913451558</c:v>
                </c:pt>
                <c:pt idx="275">
                  <c:v>166.98108523098082</c:v>
                </c:pt>
                <c:pt idx="276">
                  <c:v>167.115456031566</c:v>
                </c:pt>
                <c:pt idx="277">
                  <c:v>167.24368755958537</c:v>
                </c:pt>
                <c:pt idx="278">
                  <c:v>167.36582422448654</c:v>
                </c:pt>
                <c:pt idx="279">
                  <c:v>167.48190876567</c:v>
                </c:pt>
                <c:pt idx="280">
                  <c:v>167.59198220047224</c:v>
                </c:pt>
                <c:pt idx="281">
                  <c:v>167.69608377608455</c:v>
                </c:pt>
                <c:pt idx="282">
                  <c:v>167.79425092518974</c:v>
                </c:pt>
                <c:pt idx="283">
                  <c:v>167.88651922511039</c:v>
                </c:pt>
                <c:pt idx="284">
                  <c:v>167.97292236027326</c:v>
                </c:pt>
                <c:pt idx="285">
                  <c:v>168.05349208780552</c:v>
                </c:pt>
                <c:pt idx="286">
                  <c:v>168.12825820608941</c:v>
                </c:pt>
                <c:pt idx="287">
                  <c:v>168.19724852611432</c:v>
                </c:pt>
                <c:pt idx="288">
                  <c:v>168.26048884547478</c:v>
                </c:pt>
                <c:pt idx="289">
                  <c:v>168.31800292487509</c:v>
                </c:pt>
                <c:pt idx="290">
                  <c:v>168.36981246701225</c:v>
                </c:pt>
                <c:pt idx="291">
                  <c:v>168.41593709771925</c:v>
                </c:pt>
                <c:pt idx="292">
                  <c:v>168.45639434926218</c:v>
                </c:pt>
                <c:pt idx="293">
                  <c:v>168.49119964569553</c:v>
                </c:pt>
                <c:pt idx="294">
                  <c:v>168.5203662901894</c:v>
                </c:pt>
                <c:pt idx="295">
                  <c:v>168.54390545425585</c:v>
                </c:pt>
                <c:pt idx="296">
                  <c:v>168.56182616880827</c:v>
                </c:pt>
                <c:pt idx="297">
                  <c:v>168.57413531700169</c:v>
                </c:pt>
                <c:pt idx="298">
                  <c:v>168.5808376288096</c:v>
                </c:pt>
                <c:pt idx="299">
                  <c:v>168.58193567730518</c:v>
                </c:pt>
                <c:pt idx="300">
                  <c:v>168.57742987662408</c:v>
                </c:pt>
                <c:pt idx="301">
                  <c:v>168.56731848159583</c:v>
                </c:pt>
                <c:pt idx="302">
                  <c:v>168.55159758904264</c:v>
                </c:pt>
                <c:pt idx="303">
                  <c:v>168.530261140753</c:v>
                </c:pt>
                <c:pt idx="304">
                  <c:v>168.50330092814812</c:v>
                </c:pt>
                <c:pt idx="305">
                  <c:v>168.47070659867126</c:v>
                </c:pt>
                <c:pt idx="306">
                  <c:v>168.43246566393708</c:v>
                </c:pt>
                <c:pt idx="307">
                  <c:v>168.38856350969135</c:v>
                </c:pt>
                <c:pt idx="308">
                  <c:v>168.33898340764048</c:v>
                </c:pt>
                <c:pt idx="309">
                  <c:v>168.28370652922112</c:v>
                </c:pt>
                <c:pt idx="310">
                  <c:v>168.22271196139027</c:v>
                </c:pt>
                <c:pt idx="311">
                  <c:v>168.1559767245277</c:v>
                </c:pt>
                <c:pt idx="312">
                  <c:v>168.0834757925526</c:v>
                </c:pt>
                <c:pt idx="313">
                  <c:v>168.00518211536746</c:v>
                </c:pt>
                <c:pt idx="314">
                  <c:v>167.92106664375331</c:v>
                </c:pt>
                <c:pt idx="315">
                  <c:v>167.83109835685116</c:v>
                </c:pt>
                <c:pt idx="316">
                  <c:v>167.735244292375</c:v>
                </c:pt>
                <c:pt idx="317">
                  <c:v>167.63346957971501</c:v>
                </c:pt>
                <c:pt idx="318">
                  <c:v>167.52573747609759</c:v>
                </c:pt>
                <c:pt idx="319">
                  <c:v>167.4120094059829</c:v>
                </c:pt>
                <c:pt idx="320">
                  <c:v>167.29224500389043</c:v>
                </c:pt>
                <c:pt idx="321">
                  <c:v>167.16640216085383</c:v>
                </c:pt>
                <c:pt idx="322">
                  <c:v>167.03443707471916</c:v>
                </c:pt>
                <c:pt idx="323">
                  <c:v>166.89630430450885</c:v>
                </c:pt>
                <c:pt idx="324">
                  <c:v>166.75195682908699</c:v>
                </c:pt>
                <c:pt idx="325">
                  <c:v>166.60134611037094</c:v>
                </c:pt>
                <c:pt idx="326">
                  <c:v>166.44442216134294</c:v>
                </c:pt>
                <c:pt idx="327">
                  <c:v>166.2811336191279</c:v>
                </c:pt>
                <c:pt idx="328">
                  <c:v>166.11142782340994</c:v>
                </c:pt>
                <c:pt idx="329">
                  <c:v>165.93525090047038</c:v>
                </c:pt>
                <c:pt idx="330">
                  <c:v>165.75254785313555</c:v>
                </c:pt>
                <c:pt idx="331">
                  <c:v>165.56326265693261</c:v>
                </c:pt>
                <c:pt idx="332">
                  <c:v>165.36733836275275</c:v>
                </c:pt>
                <c:pt idx="333">
                  <c:v>165.16471720633024</c:v>
                </c:pt>
                <c:pt idx="334">
                  <c:v>164.95534072484338</c:v>
                </c:pt>
                <c:pt idx="335">
                  <c:v>164.73914988094973</c:v>
                </c:pt>
                <c:pt idx="336">
                  <c:v>164.51608519456317</c:v>
                </c:pt>
                <c:pt idx="337">
                  <c:v>164.28608688267911</c:v>
                </c:pt>
                <c:pt idx="338">
                  <c:v>164.04909500754891</c:v>
                </c:pt>
                <c:pt idx="339">
                  <c:v>163.80504963349676</c:v>
                </c:pt>
                <c:pt idx="340">
                  <c:v>163.55389099265949</c:v>
                </c:pt>
                <c:pt idx="341">
                  <c:v>163.29555965991869</c:v>
                </c:pt>
                <c:pt idx="342">
                  <c:v>163.02999673727354</c:v>
                </c:pt>
                <c:pt idx="343">
                  <c:v>162.75714404788405</c:v>
                </c:pt>
                <c:pt idx="344">
                  <c:v>162.47694433998521</c:v>
                </c:pt>
                <c:pt idx="345">
                  <c:v>162.18934150084658</c:v>
                </c:pt>
                <c:pt idx="346">
                  <c:v>161.89428078091134</c:v>
                </c:pt>
                <c:pt idx="347">
                  <c:v>161.59170902821239</c:v>
                </c:pt>
                <c:pt idx="348">
                  <c:v>161.28157493311542</c:v>
                </c:pt>
                <c:pt idx="349">
                  <c:v>160.96382928338676</c:v>
                </c:pt>
                <c:pt idx="350">
                  <c:v>160.63842522952527</c:v>
                </c:pt>
                <c:pt idx="351">
                  <c:v>160.30531856023657</c:v>
                </c:pt>
                <c:pt idx="352">
                  <c:v>159.9644679878491</c:v>
                </c:pt>
                <c:pt idx="353">
                  <c:v>159.61583544340508</c:v>
                </c:pt>
                <c:pt idx="354">
                  <c:v>159.25938638106192</c:v>
                </c:pt>
                <c:pt idx="355">
                  <c:v>158.89509009136069</c:v>
                </c:pt>
                <c:pt idx="356">
                  <c:v>158.52292002280814</c:v>
                </c:pt>
                <c:pt idx="357">
                  <c:v>158.14285411112363</c:v>
                </c:pt>
                <c:pt idx="358">
                  <c:v>157.75487511538324</c:v>
                </c:pt>
                <c:pt idx="359">
                  <c:v>157.35897096018292</c:v>
                </c:pt>
                <c:pt idx="360">
                  <c:v>156.95513508280985</c:v>
                </c:pt>
                <c:pt idx="361">
                  <c:v>156.54336678429632</c:v>
                </c:pt>
                <c:pt idx="362">
                  <c:v>156.12367158308462</c:v>
                </c:pt>
                <c:pt idx="363">
                  <c:v>155.69606156990679</c:v>
                </c:pt>
                <c:pt idx="364">
                  <c:v>155.26055576234282</c:v>
                </c:pt>
                <c:pt idx="365">
                  <c:v>154.81718045738151</c:v>
                </c:pt>
                <c:pt idx="366">
                  <c:v>154.36596958017472</c:v>
                </c:pt>
                <c:pt idx="367">
                  <c:v>153.90696502704313</c:v>
                </c:pt>
                <c:pt idx="368">
                  <c:v>153.44021700065719</c:v>
                </c:pt>
                <c:pt idx="369">
                  <c:v>152.9657843352033</c:v>
                </c:pt>
                <c:pt idx="370">
                  <c:v>152.48373480922561</c:v>
                </c:pt>
                <c:pt idx="371">
                  <c:v>151.99414544373383</c:v>
                </c:pt>
                <c:pt idx="372">
                  <c:v>151.49710278308194</c:v>
                </c:pt>
                <c:pt idx="373">
                  <c:v>150.99270315604775</c:v>
                </c:pt>
                <c:pt idx="374">
                  <c:v>150.48105291449593</c:v>
                </c:pt>
                <c:pt idx="375">
                  <c:v>149.96226864696843</c:v>
                </c:pt>
                <c:pt idx="376">
                  <c:v>149.43647736454787</c:v>
                </c:pt>
                <c:pt idx="377">
                  <c:v>148.903816656354</c:v>
                </c:pt>
                <c:pt idx="378">
                  <c:v>148.36443481208403</c:v>
                </c:pt>
                <c:pt idx="379">
                  <c:v>147.81849090908381</c:v>
                </c:pt>
                <c:pt idx="380">
                  <c:v>147.26615486155151</c:v>
                </c:pt>
                <c:pt idx="381">
                  <c:v>146.70760742962094</c:v>
                </c:pt>
                <c:pt idx="382">
                  <c:v>146.14304018624324</c:v>
                </c:pt>
                <c:pt idx="383">
                  <c:v>145.57265544001012</c:v>
                </c:pt>
                <c:pt idx="384">
                  <c:v>144.99666611230094</c:v>
                </c:pt>
                <c:pt idx="385">
                  <c:v>144.41529556742339</c:v>
                </c:pt>
                <c:pt idx="386">
                  <c:v>143.82877739472684</c:v>
                </c:pt>
                <c:pt idx="387">
                  <c:v>143.23735514201022</c:v>
                </c:pt>
                <c:pt idx="388">
                  <c:v>142.6412819999199</c:v>
                </c:pt>
                <c:pt idx="389">
                  <c:v>142.04082043742045</c:v>
                </c:pt>
                <c:pt idx="390">
                  <c:v>141.43624178883505</c:v>
                </c:pt>
                <c:pt idx="391">
                  <c:v>140.82782579337592</c:v>
                </c:pt>
                <c:pt idx="392">
                  <c:v>140.21586008851799</c:v>
                </c:pt>
                <c:pt idx="393">
                  <c:v>139.60063965901105</c:v>
                </c:pt>
                <c:pt idx="394">
                  <c:v>138.98246624374556</c:v>
                </c:pt>
                <c:pt idx="395">
                  <c:v>138.36164770312251</c:v>
                </c:pt>
                <c:pt idx="396">
                  <c:v>137.73849734997486</c:v>
                </c:pt>
                <c:pt idx="397">
                  <c:v>137.11333324747508</c:v>
                </c:pt>
                <c:pt idx="398">
                  <c:v>136.48647747780888</c:v>
                </c:pt>
                <c:pt idx="399">
                  <c:v>135.85825538572809</c:v>
                </c:pt>
                <c:pt idx="400">
                  <c:v>135.22899480135118</c:v>
                </c:pt>
                <c:pt idx="401">
                  <c:v>134.59902524682906</c:v>
                </c:pt>
                <c:pt idx="402">
                  <c:v>133.96867713166424</c:v>
                </c:pt>
                <c:pt idx="403">
                  <c:v>133.33828094160214</c:v>
                </c:pt>
                <c:pt idx="404">
                  <c:v>132.70816642608918</c:v>
                </c:pt>
                <c:pt idx="405">
                  <c:v>132.07866178929771</c:v>
                </c:pt>
                <c:pt idx="406">
                  <c:v>131.4500928896916</c:v>
                </c:pt>
                <c:pt idx="407">
                  <c:v>130.8227824529929</c:v>
                </c:pt>
                <c:pt idx="408">
                  <c:v>130.19704930326648</c:v>
                </c:pt>
                <c:pt idx="409">
                  <c:v>129.57320761663652</c:v>
                </c:pt>
                <c:pt idx="410">
                  <c:v>128.95156620188877</c:v>
                </c:pt>
                <c:pt idx="411">
                  <c:v>128.33242781192538</c:v>
                </c:pt>
                <c:pt idx="412">
                  <c:v>127.71608848969827</c:v>
                </c:pt>
                <c:pt idx="413">
                  <c:v>127.10283695188227</c:v>
                </c:pt>
                <c:pt idx="414">
                  <c:v>126.49295401315743</c:v>
                </c:pt>
                <c:pt idx="415">
                  <c:v>125.88671205355175</c:v>
                </c:pt>
                <c:pt idx="416">
                  <c:v>125.28437453087082</c:v>
                </c:pt>
                <c:pt idx="417">
                  <c:v>124.68619553980969</c:v>
                </c:pt>
                <c:pt idx="418">
                  <c:v>124.09241941889167</c:v>
                </c:pt>
                <c:pt idx="419">
                  <c:v>123.5032804059727</c:v>
                </c:pt>
                <c:pt idx="420">
                  <c:v>122.91900234260771</c:v>
                </c:pt>
                <c:pt idx="421">
                  <c:v>122.33979842718578</c:v>
                </c:pt>
                <c:pt idx="422">
                  <c:v>121.76587101635235</c:v>
                </c:pt>
                <c:pt idx="423">
                  <c:v>121.19741147388487</c:v>
                </c:pt>
                <c:pt idx="424">
                  <c:v>120.63460006584683</c:v>
                </c:pt>
                <c:pt idx="425">
                  <c:v>120.07760590056482</c:v>
                </c:pt>
                <c:pt idx="426">
                  <c:v>119.52658691168735</c:v>
                </c:pt>
                <c:pt idx="427">
                  <c:v>118.98168988236404</c:v>
                </c:pt>
                <c:pt idx="428">
                  <c:v>118.44305050838302</c:v>
                </c:pt>
                <c:pt idx="429">
                  <c:v>117.91079349793768</c:v>
                </c:pt>
                <c:pt idx="430">
                  <c:v>117.38503270556862</c:v>
                </c:pt>
                <c:pt idx="431">
                  <c:v>116.86587129772792</c:v>
                </c:pt>
                <c:pt idx="432">
                  <c:v>116.35340194734938</c:v>
                </c:pt>
                <c:pt idx="433">
                  <c:v>115.84770705477101</c:v>
                </c:pt>
                <c:pt idx="434">
                  <c:v>115.34885899234973</c:v>
                </c:pt>
                <c:pt idx="435">
                  <c:v>114.85692037013075</c:v>
                </c:pt>
                <c:pt idx="436">
                  <c:v>114.37194431996303</c:v>
                </c:pt>
                <c:pt idx="437">
                  <c:v>113.89397479552987</c:v>
                </c:pt>
                <c:pt idx="438">
                  <c:v>113.42304688582949</c:v>
                </c:pt>
                <c:pt idx="439">
                  <c:v>112.95918713973867</c:v>
                </c:pt>
                <c:pt idx="440">
                  <c:v>112.50241389940587</c:v>
                </c:pt>
                <c:pt idx="441">
                  <c:v>112.0527376403263</c:v>
                </c:pt>
                <c:pt idx="442">
                  <c:v>111.61016131608756</c:v>
                </c:pt>
                <c:pt idx="443">
                  <c:v>111.17468070589915</c:v>
                </c:pt>
                <c:pt idx="444">
                  <c:v>110.74628476315392</c:v>
                </c:pt>
                <c:pt idx="445">
                  <c:v>110.32495596341423</c:v>
                </c:pt>
                <c:pt idx="446">
                  <c:v>109.91067065033974</c:v>
                </c:pt>
                <c:pt idx="447">
                  <c:v>109.50339937822271</c:v>
                </c:pt>
                <c:pt idx="448">
                  <c:v>109.10310724992289</c:v>
                </c:pt>
                <c:pt idx="449">
                  <c:v>108.70975424912629</c:v>
                </c:pt>
                <c:pt idx="450">
                  <c:v>108.32329556597773</c:v>
                </c:pt>
                <c:pt idx="451">
                  <c:v>107.94368191525975</c:v>
                </c:pt>
                <c:pt idx="452">
                  <c:v>107.57085984640098</c:v>
                </c:pt>
                <c:pt idx="453">
                  <c:v>107.20477204471092</c:v>
                </c:pt>
                <c:pt idx="454">
                  <c:v>106.8453576233355</c:v>
                </c:pt>
                <c:pt idx="455">
                  <c:v>106.49255240552708</c:v>
                </c:pt>
                <c:pt idx="456">
                  <c:v>106.14628919690817</c:v>
                </c:pt>
                <c:pt idx="457">
                  <c:v>105.80649804749174</c:v>
                </c:pt>
                <c:pt idx="458">
                  <c:v>105.4731065032946</c:v>
                </c:pt>
                <c:pt idx="459">
                  <c:v>105.14603984744947</c:v>
                </c:pt>
                <c:pt idx="460">
                  <c:v>104.82522133078176</c:v>
                </c:pt>
                <c:pt idx="461">
                  <c:v>104.51057239187458</c:v>
                </c:pt>
                <c:pt idx="462">
                  <c:v>104.20201286669258</c:v>
                </c:pt>
                <c:pt idx="463">
                  <c:v>103.89946118788066</c:v>
                </c:pt>
                <c:pt idx="464">
                  <c:v>103.60283457389126</c:v>
                </c:pt>
                <c:pt idx="465">
                  <c:v>103.31204920812762</c:v>
                </c:pt>
                <c:pt idx="466">
                  <c:v>103.02702040831829</c:v>
                </c:pt>
                <c:pt idx="467">
                  <c:v>102.74766278636378</c:v>
                </c:pt>
                <c:pt idx="468">
                  <c:v>102.47389039891435</c:v>
                </c:pt>
                <c:pt idx="469">
                  <c:v>102.20561688895694</c:v>
                </c:pt>
                <c:pt idx="470">
                  <c:v>101.94275561870093</c:v>
                </c:pt>
                <c:pt idx="471">
                  <c:v>101.68521979406079</c:v>
                </c:pt>
                <c:pt idx="472">
                  <c:v>101.43292258104572</c:v>
                </c:pt>
                <c:pt idx="473">
                  <c:v>101.18577721436564</c:v>
                </c:pt>
                <c:pt idx="474">
                  <c:v>100.94369709856873</c:v>
                </c:pt>
                <c:pt idx="475">
                  <c:v>100.7065959020259</c:v>
                </c:pt>
                <c:pt idx="476">
                  <c:v>100.47438764407514</c:v>
                </c:pt>
                <c:pt idx="477">
                  <c:v>100.2469867756372</c:v>
                </c:pt>
                <c:pt idx="478">
                  <c:v>100.02430825360887</c:v>
                </c:pt>
                <c:pt idx="479">
                  <c:v>99.806267609336444</c:v>
                </c:pt>
                <c:pt idx="480">
                  <c:v>99.592781011464112</c:v>
                </c:pt>
                <c:pt idx="481">
                  <c:v>99.383765323446212</c:v>
                </c:pt>
                <c:pt idx="482">
                  <c:v>99.179138156003901</c:v>
                </c:pt>
                <c:pt idx="483">
                  <c:v>98.978817914799677</c:v>
                </c:pt>
                <c:pt idx="484">
                  <c:v>98.782723843593146</c:v>
                </c:pt>
                <c:pt idx="485">
                  <c:v>98.590776063133035</c:v>
                </c:pt>
                <c:pt idx="486">
                  <c:v>98.40289560603297</c:v>
                </c:pt>
                <c:pt idx="487">
                  <c:v>98.219004447865373</c:v>
                </c:pt>
                <c:pt idx="488">
                  <c:v>98.039025534703271</c:v>
                </c:pt>
                <c:pt idx="489">
                  <c:v>97.862882807325917</c:v>
                </c:pt>
                <c:pt idx="490">
                  <c:v>97.690501222297897</c:v>
                </c:pt>
                <c:pt idx="491">
                  <c:v>97.521806770120889</c:v>
                </c:pt>
                <c:pt idx="492">
                  <c:v>97.356726490647958</c:v>
                </c:pt>
                <c:pt idx="493">
                  <c:v>97.195188485941756</c:v>
                </c:pt>
                <c:pt idx="494">
                  <c:v>97.037121930748583</c:v>
                </c:pt>
                <c:pt idx="495">
                  <c:v>96.882457080753227</c:v>
                </c:pt>
                <c:pt idx="496">
                  <c:v>96.731125278769056</c:v>
                </c:pt>
                <c:pt idx="497">
                  <c:v>96.583058959010401</c:v>
                </c:pt>
                <c:pt idx="498">
                  <c:v>96.438191649588916</c:v>
                </c:pt>
                <c:pt idx="499">
                  <c:v>96.296457973363275</c:v>
                </c:pt>
                <c:pt idx="500">
                  <c:v>96.157793647268718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B22-463D-81A0-68F554CF8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209800192"/>
        <c:scaling>
          <c:logBase val="10"/>
          <c:orientation val="minMax"/>
          <c:max val="1000000"/>
          <c:min val="1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60"/>
          <c:min val="-6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Gain 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800192"/>
        <c:crosses val="autoZero"/>
        <c:crossBetween val="midCat"/>
      </c:valAx>
      <c:valAx>
        <c:axId val="3"/>
        <c:scaling>
          <c:logBase val="10"/>
          <c:orientation val="minMax"/>
          <c:max val="1000000"/>
          <c:min val="10"/>
        </c:scaling>
        <c:delete val="0"/>
        <c:axPos val="b"/>
        <c:majorGridlines/>
        <c:numFmt formatCode="General" sourceLinked="1"/>
        <c:majorTickMark val="none"/>
        <c:minorTickMark val="none"/>
        <c:tickLblPos val="none"/>
        <c:crossAx val="4"/>
        <c:crosses val="autoZero"/>
        <c:crossBetween val="midCat"/>
      </c:valAx>
      <c:valAx>
        <c:axId val="4"/>
        <c:scaling>
          <c:orientation val="minMax"/>
          <c:max val="180"/>
          <c:min val="-180"/>
        </c:scaling>
        <c:delete val="0"/>
        <c:axPos val="r"/>
        <c:min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Phase (deg)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midCat"/>
        <c:majorUnit val="60"/>
        <c:minorUnit val="30"/>
      </c:valAx>
    </c:plotArea>
    <c:legend>
      <c:legendPos val="b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332" l="0.70000000000000062" r="0.70000000000000062" t="0.7500000000000133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Small Signal Response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890149102601483E-2"/>
          <c:y val="6.7741019379933418E-2"/>
          <c:w val="0.86378579098067365"/>
          <c:h val="0.71958369787109944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'Small Signal'!$AB$3</c:f>
              <c:strCache>
                <c:ptCount val="1"/>
                <c:pt idx="0">
                  <c:v>Gain Gvc CCM</c:v>
                </c:pt>
              </c:strCache>
            </c:strRef>
          </c:tx>
          <c:spPr>
            <a:ln w="38100"/>
          </c:spPr>
          <c:marker>
            <c:symbol val="none"/>
          </c:marker>
          <c:xVal>
            <c:numRef>
              <c:f>'Small Signal'!$K$4:$K$504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Signal'!$AB$4:$AB$504</c:f>
              <c:numCache>
                <c:formatCode>General</c:formatCode>
                <c:ptCount val="501"/>
                <c:pt idx="0">
                  <c:v>23.658026266542738</c:v>
                </c:pt>
                <c:pt idx="1">
                  <c:v>23.658016814604391</c:v>
                </c:pt>
                <c:pt idx="2">
                  <c:v>23.658006928614842</c:v>
                </c:pt>
                <c:pt idx="3">
                  <c:v>23.657996588642341</c:v>
                </c:pt>
                <c:pt idx="4">
                  <c:v>23.657985773840643</c:v>
                </c:pt>
                <c:pt idx="5">
                  <c:v>23.657974462405953</c:v>
                </c:pt>
                <c:pt idx="6">
                  <c:v>23.657962631533287</c:v>
                </c:pt>
                <c:pt idx="7">
                  <c:v>23.657950257371052</c:v>
                </c:pt>
                <c:pt idx="8">
                  <c:v>23.657937314972099</c:v>
                </c:pt>
                <c:pt idx="9">
                  <c:v>23.657923778244438</c:v>
                </c:pt>
                <c:pt idx="10">
                  <c:v>23.657909619897566</c:v>
                </c:pt>
                <c:pt idx="11">
                  <c:v>23.657894811388431</c:v>
                </c:pt>
                <c:pt idx="12">
                  <c:v>23.65787932286343</c:v>
                </c:pt>
                <c:pt idx="13">
                  <c:v>23.657863123098409</c:v>
                </c:pt>
                <c:pt idx="14">
                  <c:v>23.657846179435886</c:v>
                </c:pt>
                <c:pt idx="15">
                  <c:v>23.657828457718871</c:v>
                </c:pt>
                <c:pt idx="16">
                  <c:v>23.657809922222526</c:v>
                </c:pt>
                <c:pt idx="17">
                  <c:v>23.657790535581945</c:v>
                </c:pt>
                <c:pt idx="18">
                  <c:v>23.657770258716688</c:v>
                </c:pt>
                <c:pt idx="19">
                  <c:v>23.657749050752884</c:v>
                </c:pt>
                <c:pt idx="20">
                  <c:v>23.657726868939946</c:v>
                </c:pt>
                <c:pt idx="21">
                  <c:v>23.657703668565073</c:v>
                </c:pt>
                <c:pt idx="22">
                  <c:v>23.657679402862794</c:v>
                </c:pt>
                <c:pt idx="23">
                  <c:v>23.657654022921385</c:v>
                </c:pt>
                <c:pt idx="24">
                  <c:v>23.657627477583809</c:v>
                </c:pt>
                <c:pt idx="25">
                  <c:v>23.65759971334526</c:v>
                </c:pt>
                <c:pt idx="26">
                  <c:v>23.657570674244827</c:v>
                </c:pt>
                <c:pt idx="27">
                  <c:v>23.657540301753293</c:v>
                </c:pt>
                <c:pt idx="28">
                  <c:v>23.657508534655371</c:v>
                </c:pt>
                <c:pt idx="29">
                  <c:v>23.657475308926049</c:v>
                </c:pt>
                <c:pt idx="30">
                  <c:v>23.657440557602428</c:v>
                </c:pt>
                <c:pt idx="31">
                  <c:v>23.657404210648</c:v>
                </c:pt>
                <c:pt idx="32">
                  <c:v>23.657366194813008</c:v>
                </c:pt>
                <c:pt idx="33">
                  <c:v>23.657326433485917</c:v>
                </c:pt>
                <c:pt idx="34">
                  <c:v>23.657284846539788</c:v>
                </c:pt>
                <c:pt idx="35">
                  <c:v>23.657241350171255</c:v>
                </c:pt>
                <c:pt idx="36">
                  <c:v>23.657195856731498</c:v>
                </c:pt>
                <c:pt idx="37">
                  <c:v>23.657148274550721</c:v>
                </c:pt>
                <c:pt idx="38">
                  <c:v>23.657098507752934</c:v>
                </c:pt>
                <c:pt idx="39">
                  <c:v>23.657046456063785</c:v>
                </c:pt>
                <c:pt idx="40">
                  <c:v>23.656992014609088</c:v>
                </c:pt>
                <c:pt idx="41">
                  <c:v>23.656935073703316</c:v>
                </c:pt>
                <c:pt idx="42">
                  <c:v>23.656875518630098</c:v>
                </c:pt>
                <c:pt idx="43">
                  <c:v>23.656813229410858</c:v>
                </c:pt>
                <c:pt idx="44">
                  <c:v>23.656748080564583</c:v>
                </c:pt>
                <c:pt idx="45">
                  <c:v>23.656679940855074</c:v>
                </c:pt>
                <c:pt idx="46">
                  <c:v>23.65660867302779</c:v>
                </c:pt>
                <c:pt idx="47">
                  <c:v>23.656534133534052</c:v>
                </c:pt>
                <c:pt idx="48">
                  <c:v>23.656456172243089</c:v>
                </c:pt>
                <c:pt idx="49">
                  <c:v>23.656374632140466</c:v>
                </c:pt>
                <c:pt idx="50">
                  <c:v>23.656289349013203</c:v>
                </c:pt>
                <c:pt idx="51">
                  <c:v>23.656200151120046</c:v>
                </c:pt>
                <c:pt idx="52">
                  <c:v>23.656106858847444</c:v>
                </c:pt>
                <c:pt idx="53">
                  <c:v>23.656009284348617</c:v>
                </c:pt>
                <c:pt idx="54">
                  <c:v>23.655907231167998</c:v>
                </c:pt>
                <c:pt idx="55">
                  <c:v>23.655800493846556</c:v>
                </c:pt>
                <c:pt idx="56">
                  <c:v>23.6556888575107</c:v>
                </c:pt>
                <c:pt idx="57">
                  <c:v>23.655572097441372</c:v>
                </c:pt>
                <c:pt idx="58">
                  <c:v>23.655449978624681</c:v>
                </c:pt>
                <c:pt idx="59">
                  <c:v>23.655322255280655</c:v>
                </c:pt>
                <c:pt idx="60">
                  <c:v>23.655188670372137</c:v>
                </c:pt>
                <c:pt idx="61">
                  <c:v>23.655048955090201</c:v>
                </c:pt>
                <c:pt idx="62">
                  <c:v>23.654902828316441</c:v>
                </c:pt>
                <c:pt idx="63">
                  <c:v>23.654749996061419</c:v>
                </c:pt>
                <c:pt idx="64">
                  <c:v>23.654590150876984</c:v>
                </c:pt>
                <c:pt idx="65">
                  <c:v>23.654422971242258</c:v>
                </c:pt>
                <c:pt idx="66">
                  <c:v>23.654248120921466</c:v>
                </c:pt>
                <c:pt idx="67">
                  <c:v>23.654065248293364</c:v>
                </c:pt>
                <c:pt idx="68">
                  <c:v>23.653873985649717</c:v>
                </c:pt>
                <c:pt idx="69">
                  <c:v>23.653673948461925</c:v>
                </c:pt>
                <c:pt idx="70">
                  <c:v>23.653464734615312</c:v>
                </c:pt>
                <c:pt idx="71">
                  <c:v>23.653245923608029</c:v>
                </c:pt>
                <c:pt idx="72">
                  <c:v>23.653017075714352</c:v>
                </c:pt>
                <c:pt idx="73">
                  <c:v>23.652777731109488</c:v>
                </c:pt>
                <c:pt idx="74">
                  <c:v>23.652527408956068</c:v>
                </c:pt>
                <c:pt idx="75">
                  <c:v>23.652265606448516</c:v>
                </c:pt>
                <c:pt idx="76">
                  <c:v>23.651991797815327</c:v>
                </c:pt>
                <c:pt idx="77">
                  <c:v>23.651705433275389</c:v>
                </c:pt>
                <c:pt idx="78">
                  <c:v>23.65140593794877</c:v>
                </c:pt>
                <c:pt idx="79">
                  <c:v>23.651092710717691</c:v>
                </c:pt>
                <c:pt idx="80">
                  <c:v>23.650765123036926</c:v>
                </c:pt>
                <c:pt idx="81">
                  <c:v>23.650422517690849</c:v>
                </c:pt>
                <c:pt idx="82">
                  <c:v>23.650064207495465</c:v>
                </c:pt>
                <c:pt idx="83">
                  <c:v>23.64968947394118</c:v>
                </c:pt>
                <c:pt idx="84">
                  <c:v>23.649297565777157</c:v>
                </c:pt>
                <c:pt idx="85">
                  <c:v>23.64888769753081</c:v>
                </c:pt>
                <c:pt idx="86">
                  <c:v>23.648459047962316</c:v>
                </c:pt>
                <c:pt idx="87">
                  <c:v>23.648010758451122</c:v>
                </c:pt>
                <c:pt idx="88">
                  <c:v>23.647541931309831</c:v>
                </c:pt>
                <c:pt idx="89">
                  <c:v>23.647051628024414</c:v>
                </c:pt>
                <c:pt idx="90">
                  <c:v>23.646538867416943</c:v>
                </c:pt>
                <c:pt idx="91">
                  <c:v>23.646002623726243</c:v>
                </c:pt>
                <c:pt idx="92">
                  <c:v>23.645441824605751</c:v>
                </c:pt>
                <c:pt idx="93">
                  <c:v>23.644855349032248</c:v>
                </c:pt>
                <c:pt idx="94">
                  <c:v>23.644242025124257</c:v>
                </c:pt>
                <c:pt idx="95">
                  <c:v>23.64360062786357</c:v>
                </c:pt>
                <c:pt idx="96">
                  <c:v>23.64292987671989</c:v>
                </c:pt>
                <c:pt idx="97">
                  <c:v>23.642228433169755</c:v>
                </c:pt>
                <c:pt idx="98">
                  <c:v>23.641494898109951</c:v>
                </c:pt>
                <c:pt idx="99">
                  <c:v>23.640727809158047</c:v>
                </c:pt>
                <c:pt idx="100">
                  <c:v>23.639925637837202</c:v>
                </c:pt>
                <c:pt idx="101">
                  <c:v>23.639086786639751</c:v>
                </c:pt>
                <c:pt idx="102">
                  <c:v>23.638209585965345</c:v>
                </c:pt>
                <c:pt idx="103">
                  <c:v>23.637292290928336</c:v>
                </c:pt>
                <c:pt idx="104">
                  <c:v>23.636333078029676</c:v>
                </c:pt>
                <c:pt idx="105">
                  <c:v>23.635330041687752</c:v>
                </c:pt>
                <c:pt idx="106">
                  <c:v>23.634281190623074</c:v>
                </c:pt>
                <c:pt idx="107">
                  <c:v>23.63318444409089</c:v>
                </c:pt>
                <c:pt idx="108">
                  <c:v>23.632037627956567</c:v>
                </c:pt>
                <c:pt idx="109">
                  <c:v>23.630838470607877</c:v>
                </c:pt>
                <c:pt idx="110">
                  <c:v>23.629584598697218</c:v>
                </c:pt>
                <c:pt idx="111">
                  <c:v>23.628273532709731</c:v>
                </c:pt>
                <c:pt idx="112">
                  <c:v>23.626902682348636</c:v>
                </c:pt>
                <c:pt idx="113">
                  <c:v>23.62546934173357</c:v>
                </c:pt>
                <c:pt idx="114">
                  <c:v>23.62397068440395</c:v>
                </c:pt>
                <c:pt idx="115">
                  <c:v>23.622403758121912</c:v>
                </c:pt>
                <c:pt idx="116">
                  <c:v>23.620765479467217</c:v>
                </c:pt>
                <c:pt idx="117">
                  <c:v>23.619052628218313</c:v>
                </c:pt>
                <c:pt idx="118">
                  <c:v>23.617261841512157</c:v>
                </c:pt>
                <c:pt idx="119">
                  <c:v>23.615389607775747</c:v>
                </c:pt>
                <c:pt idx="120">
                  <c:v>23.613432260423345</c:v>
                </c:pt>
                <c:pt idx="121">
                  <c:v>23.611385971312004</c:v>
                </c:pt>
                <c:pt idx="122">
                  <c:v>23.609246743948397</c:v>
                </c:pt>
                <c:pt idx="123">
                  <c:v>23.607010406440327</c:v>
                </c:pt>
                <c:pt idx="124">
                  <c:v>23.604672604186661</c:v>
                </c:pt>
                <c:pt idx="125">
                  <c:v>23.602228792298025</c:v>
                </c:pt>
                <c:pt idx="126">
                  <c:v>23.599674227743765</c:v>
                </c:pt>
                <c:pt idx="127">
                  <c:v>23.597003961216103</c:v>
                </c:pt>
                <c:pt idx="128">
                  <c:v>23.594212828708578</c:v>
                </c:pt>
                <c:pt idx="129">
                  <c:v>23.591295442800853</c:v>
                </c:pt>
                <c:pt idx="130">
                  <c:v>23.588246183646383</c:v>
                </c:pt>
                <c:pt idx="131">
                  <c:v>23.58505918965626</c:v>
                </c:pt>
                <c:pt idx="132">
                  <c:v>23.581728347876286</c:v>
                </c:pt>
                <c:pt idx="133">
                  <c:v>23.578247284053703</c:v>
                </c:pt>
                <c:pt idx="134">
                  <c:v>23.574609352388926</c:v>
                </c:pt>
                <c:pt idx="135">
                  <c:v>23.570807624971998</c:v>
                </c:pt>
                <c:pt idx="136">
                  <c:v>23.566834880900707</c:v>
                </c:pt>
                <c:pt idx="137">
                  <c:v>23.562683595080575</c:v>
                </c:pt>
                <c:pt idx="138">
                  <c:v>23.55834592670783</c:v>
                </c:pt>
                <c:pt idx="139">
                  <c:v>23.553813707436177</c:v>
                </c:pt>
                <c:pt idx="140">
                  <c:v>23.549078429230995</c:v>
                </c:pt>
                <c:pt idx="141">
                  <c:v>23.544131231916353</c:v>
                </c:pt>
                <c:pt idx="142">
                  <c:v>23.538962890419842</c:v>
                </c:pt>
                <c:pt idx="143">
                  <c:v>23.533563801724554</c:v>
                </c:pt>
                <c:pt idx="144">
                  <c:v>23.527923971537675</c:v>
                </c:pt>
                <c:pt idx="145">
                  <c:v>23.522033000688388</c:v>
                </c:pt>
                <c:pt idx="146">
                  <c:v>23.515880071269205</c:v>
                </c:pt>
                <c:pt idx="147">
                  <c:v>23.509453932539543</c:v>
                </c:pt>
                <c:pt idx="148">
                  <c:v>23.502742886609127</c:v>
                </c:pt>
                <c:pt idx="149">
                  <c:v>23.49573477392639</c:v>
                </c:pt>
                <c:pt idx="150">
                  <c:v>23.488416958598602</c:v>
                </c:pt>
                <c:pt idx="151">
                  <c:v>23.480776313570317</c:v>
                </c:pt>
                <c:pt idx="152">
                  <c:v>23.472799205698713</c:v>
                </c:pt>
                <c:pt idx="153">
                  <c:v>23.464471480759073</c:v>
                </c:pt>
                <c:pt idx="154">
                  <c:v>23.455778448424894</c:v>
                </c:pt>
                <c:pt idx="155">
                  <c:v>23.446704867269045</c:v>
                </c:pt>
                <c:pt idx="156">
                  <c:v>23.437234929835974</c:v>
                </c:pt>
                <c:pt idx="157">
                  <c:v>23.427352247842514</c:v>
                </c:pt>
                <c:pt idx="158">
                  <c:v>23.417039837570059</c:v>
                </c:pt>
                <c:pt idx="159">
                  <c:v>23.406280105512785</c:v>
                </c:pt>
                <c:pt idx="160">
                  <c:v>23.39505483435866</c:v>
                </c:pt>
                <c:pt idx="161">
                  <c:v>23.383345169380124</c:v>
                </c:pt>
                <c:pt idx="162">
                  <c:v>23.371131605322297</c:v>
                </c:pt>
                <c:pt idx="163">
                  <c:v>23.358393973879142</c:v>
                </c:pt>
                <c:pt idx="164">
                  <c:v>23.345111431858037</c:v>
                </c:pt>
                <c:pt idx="165">
                  <c:v>23.331262450138972</c:v>
                </c:pt>
                <c:pt idx="166">
                  <c:v>23.316824803538996</c:v>
                </c:pt>
                <c:pt idx="167">
                  <c:v>23.301775561704424</c:v>
                </c:pt>
                <c:pt idx="168">
                  <c:v>23.286091081154275</c:v>
                </c:pt>
                <c:pt idx="169">
                  <c:v>23.269746998611733</c:v>
                </c:pt>
                <c:pt idx="170">
                  <c:v>23.252718225760187</c:v>
                </c:pt>
                <c:pt idx="171">
                  <c:v>23.234978945572415</c:v>
                </c:pt>
                <c:pt idx="172">
                  <c:v>23.216502610364</c:v>
                </c:pt>
                <c:pt idx="173">
                  <c:v>23.197261941728922</c:v>
                </c:pt>
                <c:pt idx="174">
                  <c:v>23.177228932520187</c:v>
                </c:pt>
                <c:pt idx="175">
                  <c:v>23.156374851042088</c:v>
                </c:pt>
                <c:pt idx="176">
                  <c:v>23.134670247623767</c:v>
                </c:pt>
                <c:pt idx="177">
                  <c:v>23.112084963747911</c:v>
                </c:pt>
                <c:pt idx="178">
                  <c:v>23.088588143906197</c:v>
                </c:pt>
                <c:pt idx="179">
                  <c:v>23.064148250357128</c:v>
                </c:pt>
                <c:pt idx="180">
                  <c:v>23.038733080956764</c:v>
                </c:pt>
                <c:pt idx="181">
                  <c:v>23.01230979023245</c:v>
                </c:pt>
                <c:pt idx="182">
                  <c:v>22.984844913861746</c:v>
                </c:pt>
                <c:pt idx="183">
                  <c:v>22.956304396714906</c:v>
                </c:pt>
                <c:pt idx="184">
                  <c:v>22.926653624607813</c:v>
                </c:pt>
                <c:pt idx="185">
                  <c:v>22.895857459902142</c:v>
                </c:pt>
                <c:pt idx="186">
                  <c:v>22.863880281074987</c:v>
                </c:pt>
                <c:pt idx="187">
                  <c:v>22.830686026365029</c:v>
                </c:pt>
                <c:pt idx="188">
                  <c:v>22.796238241581786</c:v>
                </c:pt>
                <c:pt idx="189">
                  <c:v>22.760500132144816</c:v>
                </c:pt>
                <c:pt idx="190">
                  <c:v>22.723434619393224</c:v>
                </c:pt>
                <c:pt idx="191">
                  <c:v>22.685004401181637</c:v>
                </c:pt>
                <c:pt idx="192">
                  <c:v>22.645172016745448</c:v>
                </c:pt>
                <c:pt idx="193">
                  <c:v>22.603899915789626</c:v>
                </c:pt>
                <c:pt idx="194">
                  <c:v>22.561150531717207</c:v>
                </c:pt>
                <c:pt idx="195">
                  <c:v>22.516886358879415</c:v>
                </c:pt>
                <c:pt idx="196">
                  <c:v>22.471070033688051</c:v>
                </c:pt>
                <c:pt idx="197">
                  <c:v>22.423664419391798</c:v>
                </c:pt>
                <c:pt idx="198">
                  <c:v>22.374632694274112</c:v>
                </c:pt>
                <c:pt idx="199">
                  <c:v>22.323938442990187</c:v>
                </c:pt>
                <c:pt idx="200">
                  <c:v>22.271545750714662</c:v>
                </c:pt>
                <c:pt idx="201">
                  <c:v>22.217419299728896</c:v>
                </c:pt>
                <c:pt idx="202">
                  <c:v>22.161524468036898</c:v>
                </c:pt>
                <c:pt idx="203">
                  <c:v>22.103827429554606</c:v>
                </c:pt>
                <c:pt idx="204">
                  <c:v>22.044295255379829</c:v>
                </c:pt>
                <c:pt idx="205">
                  <c:v>21.982896015615211</c:v>
                </c:pt>
                <c:pt idx="206">
                  <c:v>21.919598881182804</c:v>
                </c:pt>
                <c:pt idx="207">
                  <c:v>21.854374225038853</c:v>
                </c:pt>
                <c:pt idx="208">
                  <c:v>21.787193722178927</c:v>
                </c:pt>
                <c:pt idx="209">
                  <c:v>21.718030447798942</c:v>
                </c:pt>
                <c:pt idx="210">
                  <c:v>21.646858972971366</c:v>
                </c:pt>
                <c:pt idx="211">
                  <c:v>21.573655457187392</c:v>
                </c:pt>
                <c:pt idx="212">
                  <c:v>21.498397737118605</c:v>
                </c:pt>
                <c:pt idx="213">
                  <c:v>21.421065410960583</c:v>
                </c:pt>
                <c:pt idx="214">
                  <c:v>21.341639917738728</c:v>
                </c:pt>
                <c:pt idx="215">
                  <c:v>21.260104610977663</c:v>
                </c:pt>
                <c:pt idx="216">
                  <c:v>21.176444826172865</c:v>
                </c:pt>
                <c:pt idx="217">
                  <c:v>21.09064794153614</c:v>
                </c:pt>
                <c:pt idx="218">
                  <c:v>21.0027034315385</c:v>
                </c:pt>
                <c:pt idx="219">
                  <c:v>20.912602912824305</c:v>
                </c:pt>
                <c:pt idx="220">
                  <c:v>20.820340182127918</c:v>
                </c:pt>
                <c:pt idx="221">
                  <c:v>20.725911245893712</c:v>
                </c:pt>
                <c:pt idx="222">
                  <c:v>20.629314341361138</c:v>
                </c:pt>
                <c:pt idx="223">
                  <c:v>20.530549948956608</c:v>
                </c:pt>
                <c:pt idx="224">
                  <c:v>20.429620795901737</c:v>
                </c:pt>
                <c:pt idx="225">
                  <c:v>20.326531851026594</c:v>
                </c:pt>
                <c:pt idx="226">
                  <c:v>20.221290310852581</c:v>
                </c:pt>
                <c:pt idx="227">
                  <c:v>20.113905577082779</c:v>
                </c:pt>
                <c:pt idx="228">
                  <c:v>20.004389225712586</c:v>
                </c:pt>
                <c:pt idx="229">
                  <c:v>19.892754968041807</c:v>
                </c:pt>
                <c:pt idx="230">
                  <c:v>19.779018603937576</c:v>
                </c:pt>
                <c:pt idx="231">
                  <c:v>19.663197967756304</c:v>
                </c:pt>
                <c:pt idx="232">
                  <c:v>19.545312867389871</c:v>
                </c:pt>
                <c:pt idx="233">
                  <c:v>19.425385016950386</c:v>
                </c:pt>
                <c:pt idx="234">
                  <c:v>19.303437963649138</c:v>
                </c:pt>
                <c:pt idx="235">
                  <c:v>19.179497009461546</c:v>
                </c:pt>
                <c:pt idx="236">
                  <c:v>19.053589128196936</c:v>
                </c:pt>
                <c:pt idx="237">
                  <c:v>18.925742878610457</c:v>
                </c:pt>
                <c:pt idx="238">
                  <c:v>18.795988314210405</c:v>
                </c:pt>
                <c:pt idx="239">
                  <c:v>18.664356890413934</c:v>
                </c:pt>
                <c:pt idx="240">
                  <c:v>18.530881369706108</c:v>
                </c:pt>
                <c:pt idx="241">
                  <c:v>18.395595725445244</c:v>
                </c:pt>
                <c:pt idx="242">
                  <c:v>18.2585350449442</c:v>
                </c:pt>
                <c:pt idx="243">
                  <c:v>18.119735432432858</c:v>
                </c:pt>
                <c:pt idx="244">
                  <c:v>17.979233912484528</c:v>
                </c:pt>
                <c:pt idx="245">
                  <c:v>17.837068334455552</c:v>
                </c:pt>
                <c:pt idx="246">
                  <c:v>17.693277278452364</c:v>
                </c:pt>
                <c:pt idx="247">
                  <c:v>17.547899963304928</c:v>
                </c:pt>
                <c:pt idx="248">
                  <c:v>17.400976156983656</c:v>
                </c:pt>
                <c:pt idx="249">
                  <c:v>17.25254608985453</c:v>
                </c:pt>
                <c:pt idx="250">
                  <c:v>17.102650371126305</c:v>
                </c:pt>
                <c:pt idx="251">
                  <c:v>16.951329908799199</c:v>
                </c:pt>
                <c:pt idx="252">
                  <c:v>16.798625833380477</c:v>
                </c:pt>
                <c:pt idx="253">
                  <c:v>16.644579425592813</c:v>
                </c:pt>
                <c:pt idx="254">
                  <c:v>16.489232048256234</c:v>
                </c:pt>
                <c:pt idx="255">
                  <c:v>16.332625082487983</c:v>
                </c:pt>
                <c:pt idx="256">
                  <c:v>16.174799868324911</c:v>
                </c:pt>
                <c:pt idx="257">
                  <c:v>16.015797649836991</c:v>
                </c:pt>
                <c:pt idx="258">
                  <c:v>15.855659524768962</c:v>
                </c:pt>
                <c:pt idx="259">
                  <c:v>15.694426398714253</c:v>
                </c:pt>
                <c:pt idx="260">
                  <c:v>15.532138943798033</c:v>
                </c:pt>
                <c:pt idx="261">
                  <c:v>15.368837561819731</c:v>
                </c:pt>
                <c:pt idx="262">
                  <c:v>15.204562351784894</c:v>
                </c:pt>
                <c:pt idx="263">
                  <c:v>15.039353081731413</c:v>
                </c:pt>
                <c:pt idx="264">
                  <c:v>14.873249164743036</c:v>
                </c:pt>
                <c:pt idx="265">
                  <c:v>14.706289639023183</c:v>
                </c:pt>
                <c:pt idx="266">
                  <c:v>14.538513151891983</c:v>
                </c:pt>
                <c:pt idx="267">
                  <c:v>14.36995794755803</c:v>
                </c:pt>
                <c:pt idx="268">
                  <c:v>14.200661858507996</c:v>
                </c:pt>
                <c:pt idx="269">
                  <c:v>14.030662300351121</c:v>
                </c:pt>
                <c:pt idx="270">
                  <c:v>13.859996269950267</c:v>
                </c:pt>
                <c:pt idx="271">
                  <c:v>13.688700346668149</c:v>
                </c:pt>
                <c:pt idx="272">
                  <c:v>13.516810696557043</c:v>
                </c:pt>
                <c:pt idx="273">
                  <c:v>13.344363079317548</c:v>
                </c:pt>
                <c:pt idx="274">
                  <c:v>13.171392857854347</c:v>
                </c:pt>
                <c:pt idx="275">
                  <c:v>12.997935010258209</c:v>
                </c:pt>
                <c:pt idx="276">
                  <c:v>12.824024144044721</c:v>
                </c:pt>
                <c:pt idx="277">
                  <c:v>12.649694512485187</c:v>
                </c:pt>
                <c:pt idx="278">
                  <c:v>12.474980032865744</c:v>
                </c:pt>
                <c:pt idx="279">
                  <c:v>12.29991430651766</c:v>
                </c:pt>
                <c:pt idx="280">
                  <c:v>12.124530640463316</c:v>
                </c:pt>
                <c:pt idx="281">
                  <c:v>11.948862070526792</c:v>
                </c:pt>
                <c:pt idx="282">
                  <c:v>11.772941385763776</c:v>
                </c:pt>
                <c:pt idx="283">
                  <c:v>11.596801154067668</c:v>
                </c:pt>
                <c:pt idx="284">
                  <c:v>11.420473748811919</c:v>
                </c:pt>
                <c:pt idx="285">
                  <c:v>11.243991376396103</c:v>
                </c:pt>
                <c:pt idx="286">
                  <c:v>11.067386104561356</c:v>
                </c:pt>
                <c:pt idx="287">
                  <c:v>10.890689891347012</c:v>
                </c:pt>
                <c:pt idx="288">
                  <c:v>10.713934614563103</c:v>
                </c:pt>
                <c:pt idx="289">
                  <c:v>10.537152101652191</c:v>
                </c:pt>
                <c:pt idx="290">
                  <c:v>10.360374159819287</c:v>
                </c:pt>
                <c:pt idx="291">
                  <c:v>10.183632606307922</c:v>
                </c:pt>
                <c:pt idx="292">
                  <c:v>10.006959298700114</c:v>
                </c:pt>
                <c:pt idx="293">
                  <c:v>9.8303861651207747</c:v>
                </c:pt>
                <c:pt idx="294">
                  <c:v>9.6539452342234675</c:v>
                </c:pt>
                <c:pt idx="295">
                  <c:v>9.4776686648359902</c:v>
                </c:pt>
                <c:pt idx="296">
                  <c:v>9.3015887751410116</c:v>
                </c:pt>
                <c:pt idx="297">
                  <c:v>9.1257380712665874</c:v>
                </c:pt>
                <c:pt idx="298">
                  <c:v>8.9501492751575586</c:v>
                </c:pt>
                <c:pt idx="299">
                  <c:v>8.7748553515964325</c:v>
                </c:pt>
                <c:pt idx="300">
                  <c:v>8.5998895342409334</c:v>
                </c:pt>
                <c:pt idx="301">
                  <c:v>8.4252853505382568</c:v>
                </c:pt>
                <c:pt idx="302">
                  <c:v>8.2510766453766458</c:v>
                </c:pt>
                <c:pt idx="303">
                  <c:v>8.0772976033266151</c:v>
                </c:pt>
                <c:pt idx="304">
                  <c:v>7.9039827693256628</c:v>
                </c:pt>
                <c:pt idx="305">
                  <c:v>7.7311670676492872</c:v>
                </c:pt>
                <c:pt idx="306">
                  <c:v>7.5588858190147779</c:v>
                </c:pt>
                <c:pt idx="307">
                  <c:v>7.3871747556542253</c:v>
                </c:pt>
                <c:pt idx="308">
                  <c:v>7.2160700341943773</c:v>
                </c:pt>
                <c:pt idx="309">
                  <c:v>7.0456082461754042</c:v>
                </c:pt>
                <c:pt idx="310">
                  <c:v>6.8758264260397652</c:v>
                </c:pt>
                <c:pt idx="311">
                  <c:v>6.7067620564203336</c:v>
                </c:pt>
                <c:pt idx="312">
                  <c:v>6.5384530705571855</c:v>
                </c:pt>
                <c:pt idx="313">
                  <c:v>6.3709378516705701</c:v>
                </c:pt>
                <c:pt idx="314">
                  <c:v>6.2042552291234854</c:v>
                </c:pt>
                <c:pt idx="315">
                  <c:v>6.0384444712056933</c:v>
                </c:pt>
                <c:pt idx="316">
                  <c:v>5.8735452743807315</c:v>
                </c:pt>
                <c:pt idx="317">
                  <c:v>5.7095977488380392</c:v>
                </c:pt>
                <c:pt idx="318">
                  <c:v>5.5466424002081274</c:v>
                </c:pt>
                <c:pt idx="319">
                  <c:v>5.3847201073014483</c:v>
                </c:pt>
                <c:pt idx="320">
                  <c:v>5.2238720957524762</c:v>
                </c:pt>
                <c:pt idx="321">
                  <c:v>5.0641399074571858</c:v>
                </c:pt>
                <c:pt idx="322">
                  <c:v>4.905565365717985</c:v>
                </c:pt>
                <c:pt idx="323">
                  <c:v>4.74819053602537</c:v>
                </c:pt>
                <c:pt idx="324">
                  <c:v>4.592057682429564</c:v>
                </c:pt>
                <c:pt idx="325">
                  <c:v>4.4372092194820745</c:v>
                </c:pt>
                <c:pt idx="326">
                  <c:v>4.2836876597554365</c:v>
                </c:pt>
                <c:pt idx="327">
                  <c:v>4.1315355569788252</c:v>
                </c:pt>
                <c:pt idx="328">
                  <c:v>3.9807954448630962</c:v>
                </c:pt>
                <c:pt idx="329">
                  <c:v>3.8315097717225202</c:v>
                </c:pt>
                <c:pt idx="330">
                  <c:v>3.6837208310400871</c:v>
                </c:pt>
                <c:pt idx="331">
                  <c:v>3.5374706881631006</c:v>
                </c:pt>
                <c:pt idx="332">
                  <c:v>3.3928011033551297</c:v>
                </c:pt>
                <c:pt idx="333">
                  <c:v>3.2497534514779343</c:v>
                </c:pt>
                <c:pt idx="334">
                  <c:v>3.1083686386137916</c:v>
                </c:pt>
                <c:pt idx="335">
                  <c:v>2.9686870159880892</c:v>
                </c:pt>
                <c:pt idx="336">
                  <c:v>2.8307482915921311</c:v>
                </c:pt>
                <c:pt idx="337">
                  <c:v>2.694591439948586</c:v>
                </c:pt>
                <c:pt idx="338">
                  <c:v>2.5602546105040052</c:v>
                </c:pt>
                <c:pt idx="339">
                  <c:v>2.4277750351692498</c:v>
                </c:pt>
                <c:pt idx="340">
                  <c:v>2.2971889355648258</c:v>
                </c:pt>
                <c:pt idx="341">
                  <c:v>2.1685314305600452</c:v>
                </c:pt>
                <c:pt idx="342">
                  <c:v>2.0418364447214579</c:v>
                </c:pt>
                <c:pt idx="343">
                  <c:v>1.9171366183075107</c:v>
                </c:pt>
                <c:pt idx="344">
                  <c:v>1.7944632194640706</c:v>
                </c:pt>
                <c:pt idx="345">
                  <c:v>1.6738460592829483</c:v>
                </c:pt>
                <c:pt idx="346">
                  <c:v>1.5553134103942556</c:v>
                </c:pt>
                <c:pt idx="347">
                  <c:v>1.4388919297510889</c:v>
                </c:pt>
                <c:pt idx="348">
                  <c:v>1.3246065862620828</c:v>
                </c:pt>
                <c:pt idx="349">
                  <c:v>1.2124805939047294</c:v>
                </c:pt>
                <c:pt idx="350">
                  <c:v>1.1025353509241316</c:v>
                </c:pt>
                <c:pt idx="351">
                  <c:v>0.99479038569271327</c:v>
                </c:pt>
                <c:pt idx="352">
                  <c:v>0.88926330976072032</c:v>
                </c:pt>
                <c:pt idx="353">
                  <c:v>0.78596977858163131</c:v>
                </c:pt>
                <c:pt idx="354">
                  <c:v>0.68492346034257934</c:v>
                </c:pt>
                <c:pt idx="355">
                  <c:v>0.58613601326741116</c:v>
                </c:pt>
                <c:pt idx="356">
                  <c:v>0.48961707169752455</c:v>
                </c:pt>
                <c:pt idx="357">
                  <c:v>0.39537424118637093</c:v>
                </c:pt>
                <c:pt idx="358">
                  <c:v>0.30341310276922823</c:v>
                </c:pt>
                <c:pt idx="359">
                  <c:v>0.21373722649965843</c:v>
                </c:pt>
                <c:pt idx="360">
                  <c:v>0.12634819426630331</c:v>
                </c:pt>
                <c:pt idx="361">
                  <c:v>4.1245631830571533E-2</c:v>
                </c:pt>
                <c:pt idx="362">
                  <c:v>-4.1572750048604536E-2</c:v>
                </c:pt>
                <c:pt idx="363">
                  <c:v>-0.12211110560572039</c:v>
                </c:pt>
                <c:pt idx="364">
                  <c:v>-0.20037539544642147</c:v>
                </c:pt>
                <c:pt idx="365">
                  <c:v>-0.27637331964746115</c:v>
                </c:pt>
                <c:pt idx="366">
                  <c:v>-0.35011424296827431</c:v>
                </c:pt>
                <c:pt idx="367">
                  <c:v>-0.42160911261974376</c:v>
                </c:pt>
                <c:pt idx="368">
                  <c:v>-0.49087036907634285</c:v>
                </c:pt>
                <c:pt idx="369">
                  <c:v>-0.55791185045812508</c:v>
                </c:pt>
                <c:pt idx="370">
                  <c:v>-0.62274869104038355</c:v>
                </c:pt>
                <c:pt idx="371">
                  <c:v>-0.68539721446690638</c:v>
                </c:pt>
                <c:pt idx="372">
                  <c:v>-0.74587482226266943</c:v>
                </c:pt>
                <c:pt idx="373">
                  <c:v>-0.80419987824646211</c:v>
                </c:pt>
                <c:pt idx="374">
                  <c:v>-0.86039158944247052</c:v>
                </c:pt>
                <c:pt idx="375">
                  <c:v>-0.91446988408548469</c:v>
                </c:pt>
                <c:pt idx="376">
                  <c:v>-0.96645528729558183</c:v>
                </c:pt>
                <c:pt idx="377">
                  <c:v>-1.0163687949826476</c:v>
                </c:pt>
                <c:pt idx="378">
                  <c:v>-1.0642317465097235</c:v>
                </c:pt>
                <c:pt idx="379">
                  <c:v>-1.1100656966158491</c:v>
                </c:pt>
                <c:pt idx="380">
                  <c:v>-1.1538922870617487</c:v>
                </c:pt>
                <c:pt idx="381">
                  <c:v>-1.1957331184221882</c:v>
                </c:pt>
                <c:pt idx="382">
                  <c:v>-1.2356096224075959</c:v>
                </c:pt>
                <c:pt idx="383">
                  <c:v>-1.2735429350491245</c:v>
                </c:pt>
                <c:pt idx="384">
                  <c:v>-1.3095537710380567</c:v>
                </c:pt>
                <c:pt idx="385">
                  <c:v>-1.3436622994600467</c:v>
                </c:pt>
                <c:pt idx="386">
                  <c:v>-1.3758880211185427</c:v>
                </c:pt>
                <c:pt idx="387">
                  <c:v>-1.4062496475912711</c:v>
                </c:pt>
                <c:pt idx="388">
                  <c:v>-1.4347649821169255</c:v>
                </c:pt>
                <c:pt idx="389">
                  <c:v>-1.4614508023636883</c:v>
                </c:pt>
                <c:pt idx="390">
                  <c:v>-1.4863227450820826</c:v>
                </c:pt>
                <c:pt idx="391">
                  <c:v>-1.5093951926061804</c:v>
                </c:pt>
                <c:pt idx="392">
                  <c:v>-1.5306811611198903</c:v>
                </c:pt>
                <c:pt idx="393">
                  <c:v>-1.5501921905694449</c:v>
                </c:pt>
                <c:pt idx="394">
                  <c:v>-1.5679382360628562</c:v>
                </c:pt>
                <c:pt idx="395">
                  <c:v>-1.5839275605638581</c:v>
                </c:pt>
                <c:pt idx="396">
                  <c:v>-1.5981666286529848</c:v>
                </c:pt>
                <c:pt idx="397">
                  <c:v>-1.6106600011004388</c:v>
                </c:pt>
                <c:pt idx="398">
                  <c:v>-1.6214102299647037</c:v>
                </c:pt>
                <c:pt idx="399">
                  <c:v>-1.6304177539071683</c:v>
                </c:pt>
                <c:pt idx="400">
                  <c:v>-1.6376807933889626</c:v>
                </c:pt>
                <c:pt idx="401">
                  <c:v>-1.6431952453952796</c:v>
                </c:pt>
                <c:pt idx="402">
                  <c:v>-1.6469545773131777</c:v>
                </c:pt>
                <c:pt idx="403">
                  <c:v>-1.6489497195730833</c:v>
                </c:pt>
                <c:pt idx="404">
                  <c:v>-1.6491689566510002</c:v>
                </c:pt>
                <c:pt idx="405">
                  <c:v>-1.647597816013489</c:v>
                </c:pt>
                <c:pt idx="406">
                  <c:v>-1.6442189545822983</c:v>
                </c:pt>
                <c:pt idx="407">
                  <c:v>-1.6390120422859495</c:v>
                </c:pt>
                <c:pt idx="408">
                  <c:v>-1.6319536422643872</c:v>
                </c:pt>
                <c:pt idx="409">
                  <c:v>-1.6230170872918006</c:v>
                </c:pt>
                <c:pt idx="410">
                  <c:v>-1.6121723519864202</c:v>
                </c:pt>
                <c:pt idx="411">
                  <c:v>-1.5993859203887641</c:v>
                </c:pt>
                <c:pt idx="412">
                  <c:v>-1.5846206485011336</c:v>
                </c:pt>
                <c:pt idx="413">
                  <c:v>-1.5678356214071545</c:v>
                </c:pt>
                <c:pt idx="414">
                  <c:v>-1.5489860046215798</c:v>
                </c:pt>
                <c:pt idx="415">
                  <c:v>-1.5280228893643883</c:v>
                </c:pt>
                <c:pt idx="416">
                  <c:v>-1.5048931315114</c:v>
                </c:pt>
                <c:pt idx="417">
                  <c:v>-1.4795391840505554</c:v>
                </c:pt>
                <c:pt idx="418">
                  <c:v>-1.4518989229714239</c:v>
                </c:pt>
                <c:pt idx="419">
                  <c:v>-1.4219054666426261</c:v>
                </c:pt>
                <c:pt idx="420">
                  <c:v>-1.3894869888942185</c:v>
                </c:pt>
                <c:pt idx="421">
                  <c:v>-1.3545665262294591</c:v>
                </c:pt>
                <c:pt idx="422">
                  <c:v>-1.3170617798510056</c:v>
                </c:pt>
                <c:pt idx="423">
                  <c:v>-1.2768849135189853</c:v>
                </c:pt>
                <c:pt idx="424">
                  <c:v>-1.2339423486767591</c:v>
                </c:pt>
                <c:pt idx="425">
                  <c:v>-1.1881345588056589</c:v>
                </c:pt>
                <c:pt idx="426">
                  <c:v>-1.1393558656351126</c:v>
                </c:pt>
                <c:pt idx="427">
                  <c:v>-1.0874942406683559</c:v>
                </c:pt>
                <c:pt idx="428">
                  <c:v>-1.0324311165340445</c:v>
                </c:pt>
                <c:pt idx="429">
                  <c:v>-0.97404121399173771</c:v>
                </c:pt>
                <c:pt idx="430">
                  <c:v>-0.91219239207960956</c:v>
                </c:pt>
                <c:pt idx="431">
                  <c:v>-0.84674553097941485</c:v>
                </c:pt>
                <c:pt idx="432">
                  <c:v>-0.77755445979092686</c:v>
                </c:pt>
                <c:pt idx="433">
                  <c:v>-0.70446594471768764</c:v>
                </c:pt>
                <c:pt idx="434">
                  <c:v>-0.62731975731255996</c:v>
                </c:pt>
                <c:pt idx="435">
                  <c:v>-0.54594884766812224</c:v>
                </c:pt>
                <c:pt idx="436">
                  <c:v>-0.4601796540257605</c:v>
                </c:pt>
                <c:pt idx="437">
                  <c:v>-0.36983258858893192</c:v>
                </c:pt>
                <c:pt idx="438">
                  <c:v>-0.2747227497877609</c:v>
                </c:pt>
                <c:pt idx="439">
                  <c:v>-0.17466092444446912</c:v>
                </c:pt>
                <c:pt idx="440">
                  <c:v>-6.9454959898767196E-2</c:v>
                </c:pt>
                <c:pt idx="441">
                  <c:v>4.1088392933549552E-2</c:v>
                </c:pt>
                <c:pt idx="442">
                  <c:v>0.15716103833264231</c:v>
                </c:pt>
                <c:pt idx="443">
                  <c:v>0.27895033623762155</c:v>
                </c:pt>
                <c:pt idx="444">
                  <c:v>0.40663494318735571</c:v>
                </c:pt>
                <c:pt idx="445">
                  <c:v>0.5403794415525367</c:v>
                </c:pt>
                <c:pt idx="446">
                  <c:v>0.68032744208025964</c:v>
                </c:pt>
                <c:pt idx="447">
                  <c:v>0.82659276828208939</c:v>
                </c:pt>
                <c:pt idx="448">
                  <c:v>0.97924823944585393</c:v>
                </c:pt>
                <c:pt idx="449">
                  <c:v>1.1383114614643828</c:v>
                </c:pt>
                <c:pt idx="450">
                  <c:v>1.3037269127413877</c:v>
                </c:pt>
                <c:pt idx="451">
                  <c:v>1.4753434815177462</c:v>
                </c:pt>
                <c:pt idx="452">
                  <c:v>1.6528864833436518</c:v>
                </c:pt>
                <c:pt idx="453">
                  <c:v>1.8359230867636369</c:v>
                </c:pt>
                <c:pt idx="454">
                  <c:v>2.0238200435081968</c:v>
                </c:pt>
                <c:pt idx="455">
                  <c:v>2.2156927259860768</c:v>
                </c:pt>
                <c:pt idx="456">
                  <c:v>2.4103448281922031</c:v>
                </c:pt>
                <c:pt idx="457">
                  <c:v>2.606198845717191</c:v>
                </c:pt>
                <c:pt idx="458">
                  <c:v>2.801218832883162</c:v>
                </c:pt>
                <c:pt idx="459">
                  <c:v>2.9928292015397817</c:v>
                </c:pt>
                <c:pt idx="460">
                  <c:v>3.1778367294374972</c:v>
                </c:pt>
                <c:pt idx="461">
                  <c:v>3.352367601183917</c:v>
                </c:pt>
                <c:pt idx="462">
                  <c:v>3.5118369475667039</c:v>
                </c:pt>
                <c:pt idx="463">
                  <c:v>3.6509739789525582</c:v>
                </c:pt>
                <c:pt idx="464">
                  <c:v>3.7639293099799676</c:v>
                </c:pt>
                <c:pt idx="465">
                  <c:v>3.8444891063768334</c:v>
                </c:pt>
                <c:pt idx="466">
                  <c:v>3.8864093602657319</c:v>
                </c:pt>
                <c:pt idx="467">
                  <c:v>3.883860433696908</c:v>
                </c:pt>
                <c:pt idx="468">
                  <c:v>3.8319389892876159</c:v>
                </c:pt>
                <c:pt idx="469">
                  <c:v>3.7271705169078744</c:v>
                </c:pt>
                <c:pt idx="470">
                  <c:v>3.567905735647396</c:v>
                </c:pt>
                <c:pt idx="471">
                  <c:v>3.3545223021678678</c:v>
                </c:pt>
                <c:pt idx="472">
                  <c:v>3.0893830609025112</c:v>
                </c:pt>
                <c:pt idx="473">
                  <c:v>2.7765610960163061</c:v>
                </c:pt>
                <c:pt idx="474">
                  <c:v>2.4213967326542116</c:v>
                </c:pt>
                <c:pt idx="475">
                  <c:v>2.0299814416907203</c:v>
                </c:pt>
                <c:pt idx="476">
                  <c:v>1.6086612579333426</c:v>
                </c:pt>
                <c:pt idx="477">
                  <c:v>1.1636259163776752</c:v>
                </c:pt>
                <c:pt idx="478">
                  <c:v>0.70061485390285549</c:v>
                </c:pt>
                <c:pt idx="479">
                  <c:v>0.22474087084633038</c:v>
                </c:pt>
                <c:pt idx="480">
                  <c:v>-0.25958689316395428</c:v>
                </c:pt>
                <c:pt idx="481">
                  <c:v>-0.74866680933720275</c:v>
                </c:pt>
                <c:pt idx="482">
                  <c:v>-1.2394612826789884</c:v>
                </c:pt>
                <c:pt idx="483">
                  <c:v>-1.7295272669683701</c:v>
                </c:pt>
                <c:pt idx="484">
                  <c:v>-2.2169362831358521</c:v>
                </c:pt>
                <c:pt idx="485">
                  <c:v>-2.7001940732881784</c:v>
                </c:pt>
                <c:pt idx="486">
                  <c:v>-3.1781657816701596</c:v>
                </c:pt>
                <c:pt idx="487">
                  <c:v>-3.6500095538559862</c:v>
                </c:pt>
                <c:pt idx="488">
                  <c:v>-4.1151195048298099</c:v>
                </c:pt>
                <c:pt idx="489">
                  <c:v>-4.5730778599143553</c:v>
                </c:pt>
                <c:pt idx="490">
                  <c:v>-5.0236154700301396</c:v>
                </c:pt>
                <c:pt idx="491">
                  <c:v>-5.4665796469954566</c:v>
                </c:pt>
                <c:pt idx="492">
                  <c:v>-5.9019082142272019</c:v>
                </c:pt>
                <c:pt idx="493">
                  <c:v>-6.3296087291970737</c:v>
                </c:pt>
                <c:pt idx="494">
                  <c:v>-6.7497419473228124</c:v>
                </c:pt>
                <c:pt idx="495">
                  <c:v>-7.1624087277076658</c:v>
                </c:pt>
                <c:pt idx="496">
                  <c:v>-7.5677397100737007</c:v>
                </c:pt>
                <c:pt idx="497">
                  <c:v>-7.9658872097924904</c:v>
                </c:pt>
                <c:pt idx="498">
                  <c:v>-8.3570188803177725</c:v>
                </c:pt>
                <c:pt idx="499">
                  <c:v>-8.7413127789123166</c:v>
                </c:pt>
                <c:pt idx="500">
                  <c:v>-9.1377732565456977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41-4D19-9DBC-690DDB1D00CA}"/>
            </c:ext>
          </c:extLst>
        </c:ser>
        <c:ser>
          <c:idx val="4"/>
          <c:order val="2"/>
          <c:tx>
            <c:strRef>
              <c:f>'Small Signal'!$AF$3</c:f>
              <c:strCache>
                <c:ptCount val="1"/>
                <c:pt idx="0">
                  <c:v>Total Gain</c:v>
                </c:pt>
              </c:strCache>
            </c:strRef>
          </c:tx>
          <c:spPr>
            <a:ln w="381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'Small Signal'!$Q$4:$Q$504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Signal'!$AF$4:$AF$504</c:f>
              <c:numCache>
                <c:formatCode>General</c:formatCode>
                <c:ptCount val="501"/>
                <c:pt idx="0">
                  <c:v>52.281342293925064</c:v>
                </c:pt>
                <c:pt idx="1">
                  <c:v>52.08680277150259</c:v>
                </c:pt>
                <c:pt idx="2">
                  <c:v>51.892244796441197</c:v>
                </c:pt>
                <c:pt idx="3">
                  <c:v>51.69766925941844</c:v>
                </c:pt>
                <c:pt idx="4">
                  <c:v>51.503077016173023</c:v>
                </c:pt>
                <c:pt idx="5">
                  <c:v>51.308468889188212</c:v>
                </c:pt>
                <c:pt idx="6">
                  <c:v>51.113845669313221</c:v>
                </c:pt>
                <c:pt idx="7">
                  <c:v>50.919208117323947</c:v>
                </c:pt>
                <c:pt idx="8">
                  <c:v>50.724556965425002</c:v>
                </c:pt>
                <c:pt idx="9">
                  <c:v>50.529892918698081</c:v>
                </c:pt>
                <c:pt idx="10">
                  <c:v>50.335216656496343</c:v>
                </c:pt>
                <c:pt idx="11">
                  <c:v>50.140528833790981</c:v>
                </c:pt>
                <c:pt idx="12">
                  <c:v>49.945830082469186</c:v>
                </c:pt>
                <c:pt idx="13">
                  <c:v>49.751121012588129</c:v>
                </c:pt>
                <c:pt idx="14">
                  <c:v>49.55640221358631</c:v>
                </c:pt>
                <c:pt idx="15">
                  <c:v>49.361674255454865</c:v>
                </c:pt>
                <c:pt idx="16">
                  <c:v>49.166937689870949</c:v>
                </c:pt>
                <c:pt idx="17">
                  <c:v>48.972193051295903</c:v>
                </c:pt>
                <c:pt idx="18">
                  <c:v>48.777440858038688</c:v>
                </c:pt>
                <c:pt idx="19">
                  <c:v>48.582681613289807</c:v>
                </c:pt>
                <c:pt idx="20">
                  <c:v>48.387915806123061</c:v>
                </c:pt>
                <c:pt idx="21">
                  <c:v>48.193143912471953</c:v>
                </c:pt>
                <c:pt idx="22">
                  <c:v>47.998366396078538</c:v>
                </c:pt>
                <c:pt idx="23">
                  <c:v>47.803583709420167</c:v>
                </c:pt>
                <c:pt idx="24">
                  <c:v>47.608796294612318</c:v>
                </c:pt>
                <c:pt idx="25">
                  <c:v>47.414004584292314</c:v>
                </c:pt>
                <c:pt idx="26">
                  <c:v>47.219209002483623</c:v>
                </c:pt>
                <c:pt idx="27">
                  <c:v>47.02440996544351</c:v>
                </c:pt>
                <c:pt idx="28">
                  <c:v>46.829607882495665</c:v>
                </c:pt>
                <c:pt idx="29">
                  <c:v>46.634803156848001</c:v>
                </c:pt>
                <c:pt idx="30">
                  <c:v>46.439996186400158</c:v>
                </c:pt>
                <c:pt idx="31">
                  <c:v>46.245187364538104</c:v>
                </c:pt>
                <c:pt idx="32">
                  <c:v>46.050377080922523</c:v>
                </c:pt>
                <c:pt idx="33">
                  <c:v>45.855565722266746</c:v>
                </c:pt>
                <c:pt idx="34">
                  <c:v>45.660753673111415</c:v>
                </c:pt>
                <c:pt idx="35">
                  <c:v>45.465941316593124</c:v>
                </c:pt>
                <c:pt idx="36">
                  <c:v>45.271129035210208</c:v>
                </c:pt>
                <c:pt idx="37">
                  <c:v>45.076317211588531</c:v>
                </c:pt>
                <c:pt idx="38">
                  <c:v>44.881506229245055</c:v>
                </c:pt>
                <c:pt idx="39">
                  <c:v>44.686696473354843</c:v>
                </c:pt>
                <c:pt idx="40">
                  <c:v>44.491888331520656</c:v>
                </c:pt>
                <c:pt idx="41">
                  <c:v>44.297082194546022</c:v>
                </c:pt>
                <c:pt idx="42">
                  <c:v>44.102278457216158</c:v>
                </c:pt>
                <c:pt idx="43">
                  <c:v>43.907477519084317</c:v>
                </c:pt>
                <c:pt idx="44">
                  <c:v>43.712679785269543</c:v>
                </c:pt>
                <c:pt idx="45">
                  <c:v>43.517885667262732</c:v>
                </c:pt>
                <c:pt idx="46">
                  <c:v>43.323095583746444</c:v>
                </c:pt>
                <c:pt idx="47">
                  <c:v>43.128309961427519</c:v>
                </c:pt>
                <c:pt idx="48">
                  <c:v>42.933529235885601</c:v>
                </c:pt>
                <c:pt idx="49">
                  <c:v>42.738753852438052</c:v>
                </c:pt>
                <c:pt idx="50">
                  <c:v>42.543984267023738</c:v>
                </c:pt>
                <c:pt idx="51">
                  <c:v>42.34922094710678</c:v>
                </c:pt>
                <c:pt idx="52">
                  <c:v>42.154464372602654</c:v>
                </c:pt>
                <c:pt idx="53">
                  <c:v>41.959715036827006</c:v>
                </c:pt>
                <c:pt idx="54">
                  <c:v>41.764973447471505</c:v>
                </c:pt>
                <c:pt idx="55">
                  <c:v>41.570240127604912</c:v>
                </c:pt>
                <c:pt idx="56">
                  <c:v>41.375515616704952</c:v>
                </c:pt>
                <c:pt idx="57">
                  <c:v>41.180800471719742</c:v>
                </c:pt>
                <c:pt idx="58">
                  <c:v>40.986095268163609</c:v>
                </c:pt>
                <c:pt idx="59">
                  <c:v>40.791400601246039</c:v>
                </c:pt>
                <c:pt idx="60">
                  <c:v>40.596717087039274</c:v>
                </c:pt>
                <c:pt idx="61">
                  <c:v>40.402045363683712</c:v>
                </c:pt>
                <c:pt idx="62">
                  <c:v>40.207386092634685</c:v>
                </c:pt>
                <c:pt idx="63">
                  <c:v>40.012739959953201</c:v>
                </c:pt>
                <c:pt idx="64">
                  <c:v>39.818107677641486</c:v>
                </c:pt>
                <c:pt idx="65">
                  <c:v>39.623489985026922</c:v>
                </c:pt>
                <c:pt idx="66">
                  <c:v>39.428887650195925</c:v>
                </c:pt>
                <c:pt idx="67">
                  <c:v>39.234301471481089</c:v>
                </c:pt>
                <c:pt idx="68">
                  <c:v>39.039732279003189</c:v>
                </c:pt>
                <c:pt idx="69">
                  <c:v>38.845180936270779</c:v>
                </c:pt>
                <c:pt idx="70">
                  <c:v>38.650648341841006</c:v>
                </c:pt>
                <c:pt idx="71">
                  <c:v>38.456135431042952</c:v>
                </c:pt>
                <c:pt idx="72">
                  <c:v>38.261643177767397</c:v>
                </c:pt>
                <c:pt idx="73">
                  <c:v>38.067172596324539</c:v>
                </c:pt>
                <c:pt idx="74">
                  <c:v>37.872724743374732</c:v>
                </c:pt>
                <c:pt idx="75">
                  <c:v>37.678300719933048</c:v>
                </c:pt>
                <c:pt idx="76">
                  <c:v>37.48390167345179</c:v>
                </c:pt>
                <c:pt idx="77">
                  <c:v>37.289528799984026</c:v>
                </c:pt>
                <c:pt idx="78">
                  <c:v>37.095183346431277</c:v>
                </c:pt>
                <c:pt idx="79">
                  <c:v>36.900866612878005</c:v>
                </c:pt>
                <c:pt idx="80">
                  <c:v>36.706579955018114</c:v>
                </c:pt>
                <c:pt idx="81">
                  <c:v>36.512324786673361</c:v>
                </c:pt>
                <c:pt idx="82">
                  <c:v>36.318102582411875</c:v>
                </c:pt>
                <c:pt idx="83">
                  <c:v>36.123914880264735</c:v>
                </c:pt>
                <c:pt idx="84">
                  <c:v>35.929763284549843</c:v>
                </c:pt>
                <c:pt idx="85">
                  <c:v>35.735649468801462</c:v>
                </c:pt>
                <c:pt idx="86">
                  <c:v>35.541575178812437</c:v>
                </c:pt>
                <c:pt idx="87">
                  <c:v>35.347542235791856</c:v>
                </c:pt>
                <c:pt idx="88">
                  <c:v>35.153552539640472</c:v>
                </c:pt>
                <c:pt idx="89">
                  <c:v>34.959608072348956</c:v>
                </c:pt>
                <c:pt idx="90">
                  <c:v>34.765710901522844</c:v>
                </c:pt>
                <c:pt idx="91">
                  <c:v>34.571863184035038</c:v>
                </c:pt>
                <c:pt idx="92">
                  <c:v>34.378067169813022</c:v>
                </c:pt>
                <c:pt idx="93">
                  <c:v>34.184325205761354</c:v>
                </c:pt>
                <c:pt idx="94">
                  <c:v>33.990639739824275</c:v>
                </c:pt>
                <c:pt idx="95">
                  <c:v>33.797013325190107</c:v>
                </c:pt>
                <c:pt idx="96">
                  <c:v>33.603448624643221</c:v>
                </c:pt>
                <c:pt idx="97">
                  <c:v>33.409948415062708</c:v>
                </c:pt>
                <c:pt idx="98">
                  <c:v>33.216515592073492</c:v>
                </c:pt>
                <c:pt idx="99">
                  <c:v>33.023153174850975</c:v>
                </c:pt>
                <c:pt idx="100">
                  <c:v>32.829864311080939</c:v>
                </c:pt>
                <c:pt idx="101">
                  <c:v>32.636652282077705</c:v>
                </c:pt>
                <c:pt idx="102">
                  <c:v>32.443520508060367</c:v>
                </c:pt>
                <c:pt idx="103">
                  <c:v>32.250472553589475</c:v>
                </c:pt>
                <c:pt idx="104">
                  <c:v>32.057512133163883</c:v>
                </c:pt>
                <c:pt idx="105">
                  <c:v>31.86464311697776</c:v>
                </c:pt>
                <c:pt idx="106">
                  <c:v>31.67186953683704</c:v>
                </c:pt>
                <c:pt idx="107">
                  <c:v>31.479195592233708</c:v>
                </c:pt>
                <c:pt idx="108">
                  <c:v>31.28662565657627</c:v>
                </c:pt>
                <c:pt idx="109">
                  <c:v>31.094164283573107</c:v>
                </c:pt>
                <c:pt idx="110">
                  <c:v>30.901816213763706</c:v>
                </c:pt>
                <c:pt idx="111">
                  <c:v>30.709586381194768</c:v>
                </c:pt>
                <c:pt idx="112">
                  <c:v>30.517479920232788</c:v>
                </c:pt>
                <c:pt idx="113">
                  <c:v>30.325502172506852</c:v>
                </c:pt>
                <c:pt idx="114">
                  <c:v>30.1336586939725</c:v>
                </c:pt>
                <c:pt idx="115">
                  <c:v>29.941955262085827</c:v>
                </c:pt>
                <c:pt idx="116">
                  <c:v>29.750397883076072</c:v>
                </c:pt>
                <c:pt idx="117">
                  <c:v>29.558992799303045</c:v>
                </c:pt>
                <c:pt idx="118">
                  <c:v>29.367746496682244</c:v>
                </c:pt>
                <c:pt idx="119">
                  <c:v>29.176665712161217</c:v>
                </c:pt>
                <c:pt idx="120">
                  <c:v>28.98575744122531</c:v>
                </c:pt>
                <c:pt idx="121">
                  <c:v>28.795028945411417</c:v>
                </c:pt>
                <c:pt idx="122">
                  <c:v>28.604487759803</c:v>
                </c:pt>
                <c:pt idx="123">
                  <c:v>28.414141700478247</c:v>
                </c:pt>
                <c:pt idx="124">
                  <c:v>28.223998871880671</c:v>
                </c:pt>
                <c:pt idx="125">
                  <c:v>28.034067674076294</c:v>
                </c:pt>
                <c:pt idx="126">
                  <c:v>27.844356809860415</c:v>
                </c:pt>
                <c:pt idx="127">
                  <c:v>27.654875291670471</c:v>
                </c:pt>
                <c:pt idx="128">
                  <c:v>27.465632448260909</c:v>
                </c:pt>
                <c:pt idx="129">
                  <c:v>27.276637931088505</c:v>
                </c:pt>
                <c:pt idx="130">
                  <c:v>27.087901720355585</c:v>
                </c:pt>
                <c:pt idx="131">
                  <c:v>26.899434130650228</c:v>
                </c:pt>
                <c:pt idx="132">
                  <c:v>26.711245816121426</c:v>
                </c:pt>
                <c:pt idx="133">
                  <c:v>26.523347775120442</c:v>
                </c:pt>
                <c:pt idx="134">
                  <c:v>26.335751354234088</c:v>
                </c:pt>
                <c:pt idx="135">
                  <c:v>26.148468251631595</c:v>
                </c:pt>
                <c:pt idx="136">
                  <c:v>25.961510519641287</c:v>
                </c:pt>
                <c:pt idx="137">
                  <c:v>25.77489056646559</c:v>
                </c:pt>
                <c:pt idx="138">
                  <c:v>25.588621156942118</c:v>
                </c:pt>
                <c:pt idx="139">
                  <c:v>25.402715412246788</c:v>
                </c:pt>
                <c:pt idx="140">
                  <c:v>25.217186808435226</c:v>
                </c:pt>
                <c:pt idx="141">
                  <c:v>25.032049173709815</c:v>
                </c:pt>
                <c:pt idx="142">
                  <c:v>24.847316684295535</c:v>
                </c:pt>
                <c:pt idx="143">
                  <c:v>24.6630038588026</c:v>
                </c:pt>
                <c:pt idx="144">
                  <c:v>24.479125550950265</c:v>
                </c:pt>
                <c:pt idx="145">
                  <c:v>24.295696940519132</c:v>
                </c:pt>
                <c:pt idx="146">
                  <c:v>24.112733522399495</c:v>
                </c:pt>
                <c:pt idx="147">
                  <c:v>23.930251093597068</c:v>
                </c:pt>
                <c:pt idx="148">
                  <c:v>23.748265738055245</c:v>
                </c:pt>
                <c:pt idx="149">
                  <c:v>23.566793809153538</c:v>
                </c:pt>
                <c:pt idx="150">
                  <c:v>23.385851909740882</c:v>
                </c:pt>
                <c:pt idx="151">
                  <c:v>23.205456869559256</c:v>
                </c:pt>
                <c:pt idx="152">
                  <c:v>23.025625719923237</c:v>
                </c:pt>
                <c:pt idx="153">
                  <c:v>22.846375665515176</c:v>
                </c:pt>
                <c:pt idx="154">
                  <c:v>22.667724053168822</c:v>
                </c:pt>
                <c:pt idx="155">
                  <c:v>22.489688337516725</c:v>
                </c:pt>
                <c:pt idx="156">
                  <c:v>22.312286043386852</c:v>
                </c:pt>
                <c:pt idx="157">
                  <c:v>22.135534724845176</c:v>
                </c:pt>
                <c:pt idx="158">
                  <c:v>21.959451920796575</c:v>
                </c:pt>
                <c:pt idx="159">
                  <c:v>21.784055107066717</c:v>
                </c:pt>
                <c:pt idx="160">
                  <c:v>21.609361644913655</c:v>
                </c:pt>
                <c:pt idx="161">
                  <c:v>21.43538872593248</c:v>
                </c:pt>
                <c:pt idx="162">
                  <c:v>21.262153313345628</c:v>
                </c:pt>
                <c:pt idx="163">
                  <c:v>21.089672079693905</c:v>
                </c:pt>
                <c:pt idx="164">
                  <c:v>20.917961340976778</c:v>
                </c:pt>
                <c:pt idx="165">
                  <c:v>20.74703698732198</c:v>
                </c:pt>
                <c:pt idx="166">
                  <c:v>20.57691441029775</c:v>
                </c:pt>
                <c:pt idx="167">
                  <c:v>20.407608427023501</c:v>
                </c:pt>
                <c:pt idx="168">
                  <c:v>20.239133201270143</c:v>
                </c:pt>
                <c:pt idx="169">
                  <c:v>20.07150216179026</c:v>
                </c:pt>
                <c:pt idx="170">
                  <c:v>19.904727918156329</c:v>
                </c:pt>
                <c:pt idx="171">
                  <c:v>19.738822174437644</c:v>
                </c:pt>
                <c:pt idx="172">
                  <c:v>19.573795641090069</c:v>
                </c:pt>
                <c:pt idx="173">
                  <c:v>19.409657945482568</c:v>
                </c:pt>
                <c:pt idx="174">
                  <c:v>19.246417541532981</c:v>
                </c:pt>
                <c:pt idx="175">
                  <c:v>19.084081618971702</c:v>
                </c:pt>
                <c:pt idx="176">
                  <c:v>18.92265601279837</c:v>
                </c:pt>
                <c:pt idx="177">
                  <c:v>18.762145113542754</c:v>
                </c:pt>
                <c:pt idx="178">
                  <c:v>18.602551778978118</c:v>
                </c:pt>
                <c:pt idx="179">
                  <c:v>18.443877247977078</c:v>
                </c:pt>
                <c:pt idx="180">
                  <c:v>18.286121057229334</c:v>
                </c:pt>
                <c:pt idx="181">
                  <c:v>18.129280961569957</c:v>
                </c:pt>
                <c:pt idx="182">
                  <c:v>17.973352858686397</c:v>
                </c:pt>
                <c:pt idx="183">
                  <c:v>17.818330718986264</c:v>
                </c:pt>
                <c:pt idx="184">
                  <c:v>17.664206521414414</c:v>
                </c:pt>
                <c:pt idx="185">
                  <c:v>17.51097019600466</c:v>
                </c:pt>
                <c:pt idx="186">
                  <c:v>17.358609573936654</c:v>
                </c:pt>
                <c:pt idx="187">
                  <c:v>17.207110345851717</c:v>
                </c:pt>
                <c:pt idx="188">
                  <c:v>17.056456029143384</c:v>
                </c:pt>
                <c:pt idx="189">
                  <c:v>16.906627944901103</c:v>
                </c:pt>
                <c:pt idx="190">
                  <c:v>16.757605205127568</c:v>
                </c:pt>
                <c:pt idx="191">
                  <c:v>16.609364710793919</c:v>
                </c:pt>
                <c:pt idx="192">
                  <c:v>16.461881161215487</c:v>
                </c:pt>
                <c:pt idx="193">
                  <c:v>16.315127075157438</c:v>
                </c:pt>
                <c:pt idx="194">
                  <c:v>16.169072823980599</c:v>
                </c:pt>
                <c:pt idx="195">
                  <c:v>16.023686677045553</c:v>
                </c:pt>
                <c:pt idx="196">
                  <c:v>15.878934859481841</c:v>
                </c:pt>
                <c:pt idx="197">
                  <c:v>15.734781622323057</c:v>
                </c:pt>
                <c:pt idx="198">
                  <c:v>15.591189324887782</c:v>
                </c:pt>
                <c:pt idx="199">
                  <c:v>15.448118529173756</c:v>
                </c:pt>
                <c:pt idx="200">
                  <c:v>15.305528105909998</c:v>
                </c:pt>
                <c:pt idx="201">
                  <c:v>15.163375351792784</c:v>
                </c:pt>
                <c:pt idx="202">
                  <c:v>15.02161611731815</c:v>
                </c:pt>
                <c:pt idx="203">
                  <c:v>14.880204944508584</c:v>
                </c:pt>
                <c:pt idx="204">
                  <c:v>14.739095213724946</c:v>
                </c:pt>
                <c:pt idx="205">
                  <c:v>14.598239298656088</c:v>
                </c:pt>
                <c:pt idx="206">
                  <c:v>14.457588728490197</c:v>
                </c:pt>
                <c:pt idx="207">
                  <c:v>14.317094356185123</c:v>
                </c:pt>
                <c:pt idx="208">
                  <c:v>14.176706531694908</c:v>
                </c:pt>
                <c:pt idx="209">
                  <c:v>14.036375278945698</c:v>
                </c:pt>
                <c:pt idx="210">
                  <c:v>13.896050475316837</c:v>
                </c:pt>
                <c:pt idx="211">
                  <c:v>13.755682032352274</c:v>
                </c:pt>
                <c:pt idx="212">
                  <c:v>13.615220076414053</c:v>
                </c:pt>
                <c:pt idx="213">
                  <c:v>13.474615127990788</c:v>
                </c:pt>
                <c:pt idx="214">
                  <c:v>13.333818278391295</c:v>
                </c:pt>
                <c:pt idx="215">
                  <c:v>13.192781362581206</c:v>
                </c:pt>
                <c:pt idx="216">
                  <c:v>13.051457126970337</c:v>
                </c:pt>
                <c:pt idx="217">
                  <c:v>12.909799391010301</c:v>
                </c:pt>
                <c:pt idx="218">
                  <c:v>12.767763201538859</c:v>
                </c:pt>
                <c:pt idx="219">
                  <c:v>12.625304978885966</c:v>
                </c:pt>
                <c:pt idx="220">
                  <c:v>12.482382653847843</c:v>
                </c:pt>
                <c:pt idx="221">
                  <c:v>12.338955794740892</c:v>
                </c:pt>
                <c:pt idx="222">
                  <c:v>12.194985723848049</c:v>
                </c:pt>
                <c:pt idx="223">
                  <c:v>12.050435622690935</c:v>
                </c:pt>
                <c:pt idx="224">
                  <c:v>11.905270625671513</c:v>
                </c:pt>
                <c:pt idx="225">
                  <c:v>11.759457901749924</c:v>
                </c:pt>
                <c:pt idx="226">
                  <c:v>11.612966723942993</c:v>
                </c:pt>
                <c:pt idx="227">
                  <c:v>11.465768526546036</c:v>
                </c:pt>
                <c:pt idx="228">
                  <c:v>11.317836950095716</c:v>
                </c:pt>
                <c:pt idx="229">
                  <c:v>11.169147874200942</c:v>
                </c:pt>
                <c:pt idx="230">
                  <c:v>11.019679438476807</c:v>
                </c:pt>
                <c:pt idx="231">
                  <c:v>10.869412051910206</c:v>
                </c:pt>
                <c:pt idx="232">
                  <c:v>10.718328391079481</c:v>
                </c:pt>
                <c:pt idx="233">
                  <c:v>10.566413387729593</c:v>
                </c:pt>
                <c:pt idx="234">
                  <c:v>10.413654206275991</c:v>
                </c:pt>
                <c:pt idx="235">
                  <c:v>10.260040211872621</c:v>
                </c:pt>
                <c:pt idx="236">
                  <c:v>10.105562929730951</c:v>
                </c:pt>
                <c:pt idx="237">
                  <c:v>9.9502159964164285</c:v>
                </c:pt>
                <c:pt idx="238">
                  <c:v>9.7939951038827004</c:v>
                </c:pt>
                <c:pt idx="239">
                  <c:v>9.6368979370200911</c:v>
                </c:pt>
                <c:pt idx="240">
                  <c:v>9.4789241055101741</c:v>
                </c:pt>
                <c:pt idx="241">
                  <c:v>9.3200750707770741</c:v>
                </c:pt>
                <c:pt idx="242">
                  <c:v>9.1603540688209577</c:v>
                </c:pt>
                <c:pt idx="243">
                  <c:v>8.9997660297036006</c:v>
                </c:pt>
                <c:pt idx="244">
                  <c:v>8.8383174944341931</c:v>
                </c:pt>
                <c:pt idx="245">
                  <c:v>8.676016529977888</c:v>
                </c:pt>
                <c:pt idx="246">
                  <c:v>8.5128726430713417</c:v>
                </c:pt>
                <c:pt idx="247">
                  <c:v>8.3488966934970517</c:v>
                </c:pt>
                <c:pt idx="248">
                  <c:v>8.1841008074237624</c:v>
                </c:pt>
                <c:pt idx="249">
                  <c:v>8.0184982913755167</c:v>
                </c:pt>
                <c:pt idx="250">
                  <c:v>7.8521035473480172</c:v>
                </c:pt>
                <c:pt idx="251">
                  <c:v>7.6849319895406314</c:v>
                </c:pt>
                <c:pt idx="252">
                  <c:v>7.5169999631258655</c:v>
                </c:pt>
                <c:pt idx="253">
                  <c:v>7.3483246654304573</c:v>
                </c:pt>
                <c:pt idx="254">
                  <c:v>7.178924069852723</c:v>
                </c:pt>
                <c:pt idx="255">
                  <c:v>7.0088168527970502</c:v>
                </c:pt>
                <c:pt idx="256">
                  <c:v>6.8380223238602831</c:v>
                </c:pt>
                <c:pt idx="257">
                  <c:v>6.6665603594623608</c:v>
                </c:pt>
                <c:pt idx="258">
                  <c:v>6.4944513400738639</c:v>
                </c:pt>
                <c:pt idx="259">
                  <c:v>6.3217160911544958</c:v>
                </c:pt>
                <c:pt idx="260">
                  <c:v>6.1483758278814271</c:v>
                </c:pt>
                <c:pt idx="261">
                  <c:v>5.974452103713805</c:v>
                </c:pt>
                <c:pt idx="262">
                  <c:v>5.7999667628114153</c:v>
                </c:pt>
                <c:pt idx="263">
                  <c:v>5.6249418962953648</c:v>
                </c:pt>
                <c:pt idx="264">
                  <c:v>5.4493998023193253</c:v>
                </c:pt>
                <c:pt idx="265">
                  <c:v>5.2733629498937713</c:v>
                </c:pt>
                <c:pt idx="266">
                  <c:v>5.096853946389972</c:v>
                </c:pt>
                <c:pt idx="267">
                  <c:v>4.9198955086334415</c:v>
                </c:pt>
                <c:pt idx="268">
                  <c:v>4.7425104374821831</c:v>
                </c:pt>
                <c:pt idx="269">
                  <c:v>4.5647215957742198</c:v>
                </c:pt>
                <c:pt idx="270">
                  <c:v>4.3865518895188575</c:v>
                </c:pt>
                <c:pt idx="271">
                  <c:v>4.2080242521977436</c:v>
                </c:pt>
                <c:pt idx="272">
                  <c:v>4.029161632037523</c:v>
                </c:pt>
                <c:pt idx="273">
                  <c:v>3.8499869821094173</c:v>
                </c:pt>
                <c:pt idx="274">
                  <c:v>3.6705232531087564</c:v>
                </c:pt>
                <c:pt idx="275">
                  <c:v>3.4907933886655886</c:v>
                </c:pt>
                <c:pt idx="276">
                  <c:v>3.3108203230357489</c:v>
                </c:pt>
                <c:pt idx="277">
                  <c:v>3.1306269810227541</c:v>
                </c:pt>
                <c:pt idx="278">
                  <c:v>2.9502362799799648</c:v>
                </c:pt>
                <c:pt idx="279">
                  <c:v>2.7696711337442252</c:v>
                </c:pt>
                <c:pt idx="280">
                  <c:v>2.5889544583538395</c:v>
                </c:pt>
                <c:pt idx="281">
                  <c:v>2.408109179406134</c:v>
                </c:pt>
                <c:pt idx="282">
                  <c:v>2.227158240908965</c:v>
                </c:pt>
                <c:pt idx="283">
                  <c:v>2.0461246154865993</c:v>
                </c:pt>
                <c:pt idx="284">
                  <c:v>1.8650313157989391</c:v>
                </c:pt>
                <c:pt idx="285">
                  <c:v>1.6839014070385048</c:v>
                </c:pt>
                <c:pt idx="286">
                  <c:v>1.502758020366473</c:v>
                </c:pt>
                <c:pt idx="287">
                  <c:v>1.3216243671564172</c:v>
                </c:pt>
                <c:pt idx="288">
                  <c:v>1.140523753910939</c:v>
                </c:pt>
                <c:pt idx="289">
                  <c:v>0.95947959772021285</c:v>
                </c:pt>
                <c:pt idx="290">
                  <c:v>0.77851544213089952</c:v>
                </c:pt>
                <c:pt idx="291">
                  <c:v>0.59765497329349593</c:v>
                </c:pt>
                <c:pt idx="292">
                  <c:v>0.41692203625819957</c:v>
                </c:pt>
                <c:pt idx="293">
                  <c:v>0.23634065128601023</c:v>
                </c:pt>
                <c:pt idx="294">
                  <c:v>5.5935030042661538E-2</c:v>
                </c:pt>
                <c:pt idx="295">
                  <c:v>-0.12427040845916437</c:v>
                </c:pt>
                <c:pt idx="296">
                  <c:v>-0.30425102230653067</c:v>
                </c:pt>
                <c:pt idx="297">
                  <c:v>-0.48398193165960102</c:v>
                </c:pt>
                <c:pt idx="298">
                  <c:v>-0.66343800439336142</c:v>
                </c:pt>
                <c:pt idx="299">
                  <c:v>-0.84259384255359215</c:v>
                </c:pt>
                <c:pt idx="300">
                  <c:v>-1.0214237697726549</c:v>
                </c:pt>
                <c:pt idx="301">
                  <c:v>-1.1999018197987912</c:v>
                </c:pt>
                <c:pt idx="302">
                  <c:v>-1.3780017262920161</c:v>
                </c:pt>
                <c:pt idx="303">
                  <c:v>-1.5556969140477239</c:v>
                </c:pt>
                <c:pt idx="304">
                  <c:v>-1.7329604918092061</c:v>
                </c:pt>
                <c:pt idx="305">
                  <c:v>-1.9097652468369501</c:v>
                </c:pt>
                <c:pt idx="306">
                  <c:v>-2.0860836414043522</c:v>
                </c:pt>
                <c:pt idx="307">
                  <c:v>-2.2618878113943719</c:v>
                </c:pt>
                <c:pt idx="308">
                  <c:v>-2.4371495671734209</c:v>
                </c:pt>
                <c:pt idx="309">
                  <c:v>-2.6118403969211696</c:v>
                </c:pt>
                <c:pt idx="310">
                  <c:v>-2.7859314725989819</c:v>
                </c:pt>
                <c:pt idx="311">
                  <c:v>-2.9593936587363094</c:v>
                </c:pt>
                <c:pt idx="312">
                  <c:v>-3.1321975242185296</c:v>
                </c:pt>
                <c:pt idx="313">
                  <c:v>-3.304313357256552</c:v>
                </c:pt>
                <c:pt idx="314">
                  <c:v>-3.4757111837150783</c:v>
                </c:pt>
                <c:pt idx="315">
                  <c:v>-3.6463607889753611</c:v>
                </c:pt>
                <c:pt idx="316">
                  <c:v>-3.8162317434963313</c:v>
                </c:pt>
                <c:pt idx="317">
                  <c:v>-3.985293432240379</c:v>
                </c:pt>
                <c:pt idx="318">
                  <c:v>-4.1535150881078744</c:v>
                </c:pt>
                <c:pt idx="319">
                  <c:v>-4.320865829524613</c:v>
                </c:pt>
                <c:pt idx="320">
                  <c:v>-4.4873147023006048</c:v>
                </c:pt>
                <c:pt idx="321">
                  <c:v>-4.6528307258732919</c:v>
                </c:pt>
                <c:pt idx="322">
                  <c:v>-4.8173829440178206</c:v>
                </c:pt>
                <c:pt idx="323">
                  <c:v>-4.9809404800918928</c:v>
                </c:pt>
                <c:pt idx="324">
                  <c:v>-5.1434725968550516</c:v>
                </c:pt>
                <c:pt idx="325">
                  <c:v>-5.3049487608738684</c:v>
                </c:pt>
                <c:pt idx="326">
                  <c:v>-5.4653387114933167</c:v>
                </c:pt>
                <c:pt idx="327">
                  <c:v>-5.6246125343230666</c:v>
                </c:pt>
                <c:pt idx="328">
                  <c:v>-5.7827407391470338</c:v>
                </c:pt>
                <c:pt idx="329">
                  <c:v>-5.9396943421286741</c:v>
                </c:pt>
                <c:pt idx="330">
                  <c:v>-6.0954449521427012</c:v>
                </c:pt>
                <c:pt idx="331">
                  <c:v>-6.2499648610156573</c:v>
                </c:pt>
                <c:pt idx="332">
                  <c:v>-6.4032271374211867</c:v>
                </c:pt>
                <c:pt idx="333">
                  <c:v>-6.555205724117398</c:v>
                </c:pt>
                <c:pt idx="334">
                  <c:v>-6.7058755381777093</c:v>
                </c:pt>
                <c:pt idx="335">
                  <c:v>-6.8552125738079903</c:v>
                </c:pt>
                <c:pt idx="336">
                  <c:v>-7.003194007301536</c:v>
                </c:pt>
                <c:pt idx="337">
                  <c:v>-7.1497983036323687</c:v>
                </c:pt>
                <c:pt idx="338">
                  <c:v>-7.295005324141977</c:v>
                </c:pt>
                <c:pt idx="339">
                  <c:v>-7.4387964347312003</c:v>
                </c:pt>
                <c:pt idx="340">
                  <c:v>-7.5811546139273087</c:v>
                </c:pt>
                <c:pt idx="341">
                  <c:v>-7.7220645601573521</c:v>
                </c:pt>
                <c:pt idx="342">
                  <c:v>-7.8615127975270376</c:v>
                </c:pt>
                <c:pt idx="343">
                  <c:v>-7.999487779374908</c:v>
                </c:pt>
                <c:pt idx="344">
                  <c:v>-8.1359799888478683</c:v>
                </c:pt>
                <c:pt idx="345">
                  <c:v>-8.2709820357295385</c:v>
                </c:pt>
                <c:pt idx="346">
                  <c:v>-8.4044887487374904</c:v>
                </c:pt>
                <c:pt idx="347">
                  <c:v>-8.536497262509247</c:v>
                </c:pt>
                <c:pt idx="348">
                  <c:v>-8.6670070984960947</c:v>
                </c:pt>
                <c:pt idx="349">
                  <c:v>-8.7960202389962916</c:v>
                </c:pt>
                <c:pt idx="350">
                  <c:v>-8.9235411935828388</c:v>
                </c:pt>
                <c:pt idx="351">
                  <c:v>-9.0495770572033383</c:v>
                </c:pt>
                <c:pt idx="352">
                  <c:v>-9.174137559270056</c:v>
                </c:pt>
                <c:pt idx="353">
                  <c:v>-9.2972351030969662</c:v>
                </c:pt>
                <c:pt idx="354">
                  <c:v>-9.4188847950918611</c:v>
                </c:pt>
                <c:pt idx="355">
                  <c:v>-9.5391044631693642</c:v>
                </c:pt>
                <c:pt idx="356">
                  <c:v>-9.6579146639096383</c:v>
                </c:pt>
                <c:pt idx="357">
                  <c:v>-9.775338678056011</c:v>
                </c:pt>
                <c:pt idx="358">
                  <c:v>-9.8914024940177026</c:v>
                </c:pt>
                <c:pt idx="359">
                  <c:v>-10.006134779114586</c:v>
                </c:pt>
                <c:pt idx="360">
                  <c:v>-10.119566838381473</c:v>
                </c:pt>
                <c:pt idx="361">
                  <c:v>-10.231732560825774</c:v>
                </c:pt>
                <c:pt idx="362">
                  <c:v>-10.342668353113002</c:v>
                </c:pt>
                <c:pt idx="363">
                  <c:v>-10.452413060731734</c:v>
                </c:pt>
                <c:pt idx="364">
                  <c:v>-10.561007876766491</c:v>
                </c:pt>
                <c:pt idx="365">
                  <c:v>-10.668496238485529</c:v>
                </c:pt>
                <c:pt idx="366">
                  <c:v>-10.774923712018406</c:v>
                </c:pt>
                <c:pt idx="367">
                  <c:v>-10.880337865471526</c:v>
                </c:pt>
                <c:pt idx="368">
                  <c:v>-10.984788130891131</c:v>
                </c:pt>
                <c:pt idx="369">
                  <c:v>-11.088325655545823</c:v>
                </c:pt>
                <c:pt idx="370">
                  <c:v>-11.191003143057833</c:v>
                </c:pt>
                <c:pt idx="371">
                  <c:v>-11.29287468495821</c:v>
                </c:pt>
                <c:pt idx="372">
                  <c:v>-11.393995583292273</c:v>
                </c:pt>
                <c:pt idx="373">
                  <c:v>-11.494422164939673</c:v>
                </c:pt>
                <c:pt idx="374">
                  <c:v>-11.594211588347145</c:v>
                </c:pt>
                <c:pt idx="375">
                  <c:v>-11.693421643406559</c:v>
                </c:pt>
                <c:pt idx="376">
                  <c:v>-11.792110545231328</c:v>
                </c:pt>
                <c:pt idx="377">
                  <c:v>-11.890336722609852</c:v>
                </c:pt>
                <c:pt idx="378">
                  <c:v>-11.98815860192666</c:v>
                </c:pt>
                <c:pt idx="379">
                  <c:v>-12.085634387355935</c:v>
                </c:pt>
                <c:pt idx="380">
                  <c:v>-12.182821838137889</c:v>
                </c:pt>
                <c:pt idx="381">
                  <c:v>-12.279778043753714</c:v>
                </c:pt>
                <c:pt idx="382">
                  <c:v>-12.376559197812769</c:v>
                </c:pt>
                <c:pt idx="383">
                  <c:v>-12.473220371459304</c:v>
                </c:pt>
                <c:pt idx="384">
                  <c:v>-12.56981528709963</c:v>
                </c:pt>
                <c:pt idx="385">
                  <c:v>-12.666396093235551</c:v>
                </c:pt>
                <c:pt idx="386">
                  <c:v>-12.763013141174765</c:v>
                </c:pt>
                <c:pt idx="387">
                  <c:v>-12.859714764362373</c:v>
                </c:pt>
                <c:pt idx="388">
                  <c:v>-12.956547061057515</c:v>
                </c:pt>
                <c:pt idx="389">
                  <c:v>-13.053553681042384</c:v>
                </c:pt>
                <c:pt idx="390">
                  <c:v>-13.150775617016688</c:v>
                </c:pt>
                <c:pt idx="391">
                  <c:v>-13.24825100129172</c:v>
                </c:pt>
                <c:pt idx="392">
                  <c:v>-13.346014908345575</c:v>
                </c:pt>
                <c:pt idx="393">
                  <c:v>-13.44409916375545</c:v>
                </c:pt>
                <c:pt idx="394">
                  <c:v>-13.542532159960695</c:v>
                </c:pt>
                <c:pt idx="395">
                  <c:v>-13.641338679250318</c:v>
                </c:pt>
                <c:pt idx="396">
                  <c:v>-13.740539724298864</c:v>
                </c:pt>
                <c:pt idx="397">
                  <c:v>-13.840152356503891</c:v>
                </c:pt>
                <c:pt idx="398">
                  <c:v>-13.940189542298031</c:v>
                </c:pt>
                <c:pt idx="399">
                  <c:v>-14.040660007531073</c:v>
                </c:pt>
                <c:pt idx="400">
                  <c:v>-14.14156809992949</c:v>
                </c:pt>
                <c:pt idx="401">
                  <c:v>-14.242913659557042</c:v>
                </c:pt>
                <c:pt idx="402">
                  <c:v>-14.344691897107658</c:v>
                </c:pt>
                <c:pt idx="403">
                  <c:v>-14.446893279775752</c:v>
                </c:pt>
                <c:pt idx="404">
                  <c:v>-14.549503424358736</c:v>
                </c:pt>
                <c:pt idx="405">
                  <c:v>-14.652502997157145</c:v>
                </c:pt>
                <c:pt idx="406">
                  <c:v>-14.75586762015657</c:v>
                </c:pt>
                <c:pt idx="407">
                  <c:v>-14.859567782891705</c:v>
                </c:pt>
                <c:pt idx="408">
                  <c:v>-14.963568759319742</c:v>
                </c:pt>
                <c:pt idx="409">
                  <c:v>-15.067830528961347</c:v>
                </c:pt>
                <c:pt idx="410">
                  <c:v>-15.17230770150711</c:v>
                </c:pt>
                <c:pt idx="411">
                  <c:v>-15.276949444041021</c:v>
                </c:pt>
                <c:pt idx="412">
                  <c:v>-15.381699409991747</c:v>
                </c:pt>
                <c:pt idx="413">
                  <c:v>-15.486495668901572</c:v>
                </c:pt>
                <c:pt idx="414">
                  <c:v>-15.59127063609575</c:v>
                </c:pt>
                <c:pt idx="415">
                  <c:v>-15.695951001347579</c:v>
                </c:pt>
                <c:pt idx="416">
                  <c:v>-15.800457655667302</c:v>
                </c:pt>
                <c:pt idx="417">
                  <c:v>-15.904705615404859</c:v>
                </c:pt>
                <c:pt idx="418">
                  <c:v>-16.00860394294542</c:v>
                </c:pt>
                <c:pt idx="419">
                  <c:v>-16.112055663402344</c:v>
                </c:pt>
                <c:pt idx="420">
                  <c:v>-16.21495767688004</c:v>
                </c:pt>
                <c:pt idx="421">
                  <c:v>-16.317200666098799</c:v>
                </c:pt>
                <c:pt idx="422">
                  <c:v>-16.418668999452642</c:v>
                </c:pt>
                <c:pt idx="423">
                  <c:v>-16.519240629927243</c:v>
                </c:pt>
                <c:pt idx="424">
                  <c:v>-16.618786990751151</c:v>
                </c:pt>
                <c:pt idx="425">
                  <c:v>-16.717172889213604</c:v>
                </c:pt>
                <c:pt idx="426">
                  <c:v>-16.814256400781272</c:v>
                </c:pt>
                <c:pt idx="427">
                  <c:v>-16.909888766520737</c:v>
                </c:pt>
                <c:pt idx="428">
                  <c:v>-17.003914297923753</c:v>
                </c:pt>
                <c:pt idx="429">
                  <c:v>-17.096170294593158</c:v>
                </c:pt>
                <c:pt idx="430">
                  <c:v>-17.186486981949123</c:v>
                </c:pt>
                <c:pt idx="431">
                  <c:v>-17.274687478248765</c:v>
                </c:pt>
                <c:pt idx="432">
                  <c:v>-17.360587802868462</c:v>
                </c:pt>
                <c:pt idx="433">
                  <c:v>-17.443996941152069</c:v>
                </c:pt>
                <c:pt idx="434">
                  <c:v>-17.524716985316356</c:v>
                </c:pt>
                <c:pt idx="435">
                  <c:v>-17.602543376177579</c:v>
                </c:pt>
                <c:pt idx="436">
                  <c:v>-17.677265277091657</c:v>
                </c:pt>
                <c:pt idx="437">
                  <c:v>-17.748666119847094</c:v>
                </c:pt>
                <c:pt idx="438">
                  <c:v>-17.816524372740119</c:v>
                </c:pt>
                <c:pt idx="439">
                  <c:v>-17.880614594297917</c:v>
                </c:pt>
                <c:pt idx="440">
                  <c:v>-17.940708852750056</c:v>
                </c:pt>
                <c:pt idx="441">
                  <c:v>-17.996578612286608</c:v>
                </c:pt>
                <c:pt idx="442">
                  <c:v>-18.047997213427582</c:v>
                </c:pt>
                <c:pt idx="443">
                  <c:v>-18.094743107747821</c:v>
                </c:pt>
                <c:pt idx="444">
                  <c:v>-18.136604048295059</c:v>
                </c:pt>
                <c:pt idx="445">
                  <c:v>-18.173382488021492</c:v>
                </c:pt>
                <c:pt idx="446">
                  <c:v>-18.204902501357196</c:v>
                </c:pt>
                <c:pt idx="447">
                  <c:v>-18.231018620549577</c:v>
                </c:pt>
                <c:pt idx="448">
                  <c:v>-18.251627070152526</c:v>
                </c:pt>
                <c:pt idx="449">
                  <c:v>-18.266679990640252</c:v>
                </c:pt>
                <c:pt idx="450">
                  <c:v>-18.276203364057672</c:v>
                </c:pt>
                <c:pt idx="451">
                  <c:v>-18.280319485536715</c:v>
                </c:pt>
                <c:pt idx="452">
                  <c:v>-18.279274952126279</c:v>
                </c:pt>
                <c:pt idx="453">
                  <c:v>-18.273475241041773</c:v>
                </c:pt>
                <c:pt idx="454">
                  <c:v>-18.263526981208614</c:v>
                </c:pt>
                <c:pt idx="455">
                  <c:v>-18.250288915473469</c:v>
                </c:pt>
                <c:pt idx="456">
                  <c:v>-18.234932197529346</c:v>
                </c:pt>
                <c:pt idx="457">
                  <c:v>-18.219009908026344</c:v>
                </c:pt>
                <c:pt idx="458">
                  <c:v>-18.204534291994793</c:v>
                </c:pt>
                <c:pt idx="459">
                  <c:v>-18.194057953192768</c:v>
                </c:pt>
                <c:pt idx="460">
                  <c:v>-18.190751837600384</c:v>
                </c:pt>
                <c:pt idx="461">
                  <c:v>-18.198468183187909</c:v>
                </c:pt>
                <c:pt idx="462">
                  <c:v>-18.221770970300103</c:v>
                </c:pt>
                <c:pt idx="463">
                  <c:v>-18.265910777067088</c:v>
                </c:pt>
                <c:pt idx="464">
                  <c:v>-18.336717442735019</c:v>
                </c:pt>
                <c:pt idx="465">
                  <c:v>-18.440385908193182</c:v>
                </c:pt>
                <c:pt idx="466">
                  <c:v>-18.583141927430631</c:v>
                </c:pt>
                <c:pt idx="467">
                  <c:v>-18.770797510276715</c:v>
                </c:pt>
                <c:pt idx="468">
                  <c:v>-19.00823897763102</c:v>
                </c:pt>
                <c:pt idx="469">
                  <c:v>-19.298924420321761</c:v>
                </c:pt>
                <c:pt idx="470">
                  <c:v>-19.644487282431641</c:v>
                </c:pt>
                <c:pt idx="471">
                  <c:v>-20.044534638053822</c:v>
                </c:pt>
                <c:pt idx="472">
                  <c:v>-20.496688926077205</c:v>
                </c:pt>
                <c:pt idx="473">
                  <c:v>-20.996862883144583</c:v>
                </c:pt>
                <c:pt idx="474">
                  <c:v>-21.539702527307035</c:v>
                </c:pt>
                <c:pt idx="475">
                  <c:v>-22.119103238207327</c:v>
                </c:pt>
                <c:pt idx="476">
                  <c:v>-22.728706323881944</c:v>
                </c:pt>
                <c:pt idx="477">
                  <c:v>-23.362309869620926</c:v>
                </c:pt>
                <c:pt idx="478">
                  <c:v>-24.014162721530944</c:v>
                </c:pt>
                <c:pt idx="479">
                  <c:v>-24.679140810391218</c:v>
                </c:pt>
                <c:pt idx="480">
                  <c:v>-25.352824161451867</c:v>
                </c:pt>
                <c:pt idx="481">
                  <c:v>-26.031500730413093</c:v>
                </c:pt>
                <c:pt idx="482">
                  <c:v>-26.712122912478527</c:v>
                </c:pt>
                <c:pt idx="483">
                  <c:v>-27.39223804368504</c:v>
                </c:pt>
                <c:pt idx="484">
                  <c:v>-28.069908405906531</c:v>
                </c:pt>
                <c:pt idx="485">
                  <c:v>-28.743630867791257</c:v>
                </c:pt>
                <c:pt idx="486">
                  <c:v>-29.412262052930323</c:v>
                </c:pt>
                <c:pt idx="487">
                  <c:v>-30.074951926560544</c:v>
                </c:pt>
                <c:pt idx="488">
                  <c:v>-30.731086751465991</c:v>
                </c:pt>
                <c:pt idx="489">
                  <c:v>-31.380241217041792</c:v>
                </c:pt>
                <c:pt idx="490">
                  <c:v>-32.022138943006247</c:v>
                </c:pt>
                <c:pt idx="491">
                  <c:v>-32.656620303473154</c:v>
                </c:pt>
                <c:pt idx="492">
                  <c:v>-33.283616466744078</c:v>
                </c:pt>
                <c:pt idx="493">
                  <c:v>-33.903128607175894</c:v>
                </c:pt>
                <c:pt idx="494">
                  <c:v>-34.515211358800769</c:v>
                </c:pt>
                <c:pt idx="495">
                  <c:v>-35.119959711109402</c:v>
                </c:pt>
                <c:pt idx="496">
                  <c:v>-35.717498676340696</c:v>
                </c:pt>
                <c:pt idx="497">
                  <c:v>-36.307975175176786</c:v>
                </c:pt>
                <c:pt idx="498">
                  <c:v>-36.891551690144134</c:v>
                </c:pt>
                <c:pt idx="499">
                  <c:v>-37.468401322607775</c:v>
                </c:pt>
                <c:pt idx="500">
                  <c:v>-38.057523674230502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41-4D19-9DBC-690DDB1D00CA}"/>
            </c:ext>
          </c:extLst>
        </c:ser>
        <c:ser>
          <c:idx val="6"/>
          <c:order val="4"/>
          <c:tx>
            <c:strRef>
              <c:f>'Small Signal'!$AD$3</c:f>
              <c:strCache>
                <c:ptCount val="1"/>
                <c:pt idx="0">
                  <c:v>Gain Gea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'Small Signal'!$K$4:$K$504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Signal'!$AD$4:$AD$504</c:f>
              <c:numCache>
                <c:formatCode>##0.0E+0</c:formatCode>
                <c:ptCount val="501"/>
                <c:pt idx="0">
                  <c:v>28.62331602738233</c:v>
                </c:pt>
                <c:pt idx="1">
                  <c:v>28.428785956898196</c:v>
                </c:pt>
                <c:pt idx="2">
                  <c:v>28.234237867826355</c:v>
                </c:pt>
                <c:pt idx="3">
                  <c:v>28.039672670776099</c:v>
                </c:pt>
                <c:pt idx="4">
                  <c:v>27.84509124233238</c:v>
                </c:pt>
                <c:pt idx="5">
                  <c:v>27.650494426782259</c:v>
                </c:pt>
                <c:pt idx="6">
                  <c:v>27.45588303777993</c:v>
                </c:pt>
                <c:pt idx="7">
                  <c:v>27.261257859952892</c:v>
                </c:pt>
                <c:pt idx="8">
                  <c:v>27.066619650452903</c:v>
                </c:pt>
                <c:pt idx="9">
                  <c:v>26.871969140453643</c:v>
                </c:pt>
                <c:pt idx="10">
                  <c:v>26.677307036598773</c:v>
                </c:pt>
                <c:pt idx="11">
                  <c:v>26.482634022402554</c:v>
                </c:pt>
                <c:pt idx="12">
                  <c:v>26.287950759605753</c:v>
                </c:pt>
                <c:pt idx="13">
                  <c:v>26.093257889489717</c:v>
                </c:pt>
                <c:pt idx="14">
                  <c:v>25.898556034150428</c:v>
                </c:pt>
                <c:pt idx="15">
                  <c:v>25.703845797735994</c:v>
                </c:pt>
                <c:pt idx="16">
                  <c:v>25.509127767648422</c:v>
                </c:pt>
                <c:pt idx="17">
                  <c:v>25.314402515713958</c:v>
                </c:pt>
                <c:pt idx="18">
                  <c:v>25.119670599322003</c:v>
                </c:pt>
                <c:pt idx="19">
                  <c:v>24.92493256253692</c:v>
                </c:pt>
                <c:pt idx="20">
                  <c:v>24.730188937183112</c:v>
                </c:pt>
                <c:pt idx="21">
                  <c:v>24.535440243906883</c:v>
                </c:pt>
                <c:pt idx="22">
                  <c:v>24.340686993215741</c:v>
                </c:pt>
                <c:pt idx="23">
                  <c:v>24.145929686498778</c:v>
                </c:pt>
                <c:pt idx="24">
                  <c:v>23.95116881702851</c:v>
                </c:pt>
                <c:pt idx="25">
                  <c:v>23.756404870947058</c:v>
                </c:pt>
                <c:pt idx="26">
                  <c:v>23.561638328238793</c:v>
                </c:pt>
                <c:pt idx="27">
                  <c:v>23.366869663690217</c:v>
                </c:pt>
                <c:pt idx="28">
                  <c:v>23.172099347840298</c:v>
                </c:pt>
                <c:pt idx="29">
                  <c:v>22.977327847921952</c:v>
                </c:pt>
                <c:pt idx="30">
                  <c:v>22.782555628797731</c:v>
                </c:pt>
                <c:pt idx="31">
                  <c:v>22.587783153890104</c:v>
                </c:pt>
                <c:pt idx="32">
                  <c:v>22.393010886109515</c:v>
                </c:pt>
                <c:pt idx="33">
                  <c:v>22.198239288780833</c:v>
                </c:pt>
                <c:pt idx="34">
                  <c:v>22.003468826571631</c:v>
                </c:pt>
                <c:pt idx="35">
                  <c:v>21.808699966421869</c:v>
                </c:pt>
                <c:pt idx="36">
                  <c:v>21.613933178478714</c:v>
                </c:pt>
                <c:pt idx="37">
                  <c:v>21.41916893703781</c:v>
                </c:pt>
                <c:pt idx="38">
                  <c:v>21.224407721492121</c:v>
                </c:pt>
                <c:pt idx="39">
                  <c:v>21.029650017291061</c:v>
                </c:pt>
                <c:pt idx="40">
                  <c:v>20.834896316911568</c:v>
                </c:pt>
                <c:pt idx="41">
                  <c:v>20.640147120842709</c:v>
                </c:pt>
                <c:pt idx="42">
                  <c:v>20.445402938586057</c:v>
                </c:pt>
                <c:pt idx="43">
                  <c:v>20.250664289673459</c:v>
                </c:pt>
                <c:pt idx="44">
                  <c:v>20.05593170470496</c:v>
                </c:pt>
                <c:pt idx="45">
                  <c:v>19.861205726407654</c:v>
                </c:pt>
                <c:pt idx="46">
                  <c:v>19.666486910718653</c:v>
                </c:pt>
                <c:pt idx="47">
                  <c:v>19.47177582789347</c:v>
                </c:pt>
                <c:pt idx="48">
                  <c:v>19.277073063642515</c:v>
                </c:pt>
                <c:pt idx="49">
                  <c:v>19.082379220297586</c:v>
                </c:pt>
                <c:pt idx="50">
                  <c:v>18.887694918010535</c:v>
                </c:pt>
                <c:pt idx="51">
                  <c:v>18.693020795986733</c:v>
                </c:pt>
                <c:pt idx="52">
                  <c:v>18.498357513755209</c:v>
                </c:pt>
                <c:pt idx="53">
                  <c:v>18.303705752478393</c:v>
                </c:pt>
                <c:pt idx="54">
                  <c:v>18.109066216303503</c:v>
                </c:pt>
                <c:pt idx="55">
                  <c:v>17.914439633758356</c:v>
                </c:pt>
                <c:pt idx="56">
                  <c:v>17.719826759194252</c:v>
                </c:pt>
                <c:pt idx="57">
                  <c:v>17.52522837427837</c:v>
                </c:pt>
                <c:pt idx="58">
                  <c:v>17.330645289538932</c:v>
                </c:pt>
                <c:pt idx="59">
                  <c:v>17.136078345965384</c:v>
                </c:pt>
                <c:pt idx="60">
                  <c:v>16.941528416667136</c:v>
                </c:pt>
                <c:pt idx="61">
                  <c:v>16.746996408593507</c:v>
                </c:pt>
                <c:pt idx="62">
                  <c:v>16.552483264318244</c:v>
                </c:pt>
                <c:pt idx="63">
                  <c:v>16.357989963891782</c:v>
                </c:pt>
                <c:pt idx="64">
                  <c:v>16.163517526764501</c:v>
                </c:pt>
                <c:pt idx="65">
                  <c:v>15.969067013784661</c:v>
                </c:pt>
                <c:pt idx="66">
                  <c:v>15.774639529274461</c:v>
                </c:pt>
                <c:pt idx="67">
                  <c:v>15.580236223187727</c:v>
                </c:pt>
                <c:pt idx="68">
                  <c:v>15.385858293353476</c:v>
                </c:pt>
                <c:pt idx="69">
                  <c:v>15.191506987808856</c:v>
                </c:pt>
                <c:pt idx="70">
                  <c:v>14.997183607225695</c:v>
                </c:pt>
                <c:pt idx="71">
                  <c:v>14.802889507434919</c:v>
                </c:pt>
                <c:pt idx="72">
                  <c:v>14.608626102053041</c:v>
                </c:pt>
                <c:pt idx="73">
                  <c:v>14.41439486521505</c:v>
                </c:pt>
                <c:pt idx="74">
                  <c:v>14.220197334418668</c:v>
                </c:pt>
                <c:pt idx="75">
                  <c:v>14.026035113484534</c:v>
                </c:pt>
                <c:pt idx="76">
                  <c:v>13.831909875636462</c:v>
                </c:pt>
                <c:pt idx="77">
                  <c:v>13.637823366708639</c:v>
                </c:pt>
                <c:pt idx="78">
                  <c:v>13.443777408482507</c:v>
                </c:pt>
                <c:pt idx="79">
                  <c:v>13.249773902160314</c:v>
                </c:pt>
                <c:pt idx="80">
                  <c:v>13.055814831981188</c:v>
                </c:pt>
                <c:pt idx="81">
                  <c:v>12.861902268982508</c:v>
                </c:pt>
                <c:pt idx="82">
                  <c:v>12.668038374916408</c:v>
                </c:pt>
                <c:pt idx="83">
                  <c:v>12.474225406323558</c:v>
                </c:pt>
                <c:pt idx="84">
                  <c:v>12.280465718772685</c:v>
                </c:pt>
                <c:pt idx="85">
                  <c:v>12.086761771270654</c:v>
                </c:pt>
                <c:pt idx="86">
                  <c:v>11.893116130850119</c:v>
                </c:pt>
                <c:pt idx="87">
                  <c:v>11.699531477340734</c:v>
                </c:pt>
                <c:pt idx="88">
                  <c:v>11.506010608330641</c:v>
                </c:pt>
                <c:pt idx="89">
                  <c:v>11.312556444324542</c:v>
                </c:pt>
                <c:pt idx="90">
                  <c:v>11.119172034105899</c:v>
                </c:pt>
                <c:pt idx="91">
                  <c:v>10.925860560308799</c:v>
                </c:pt>
                <c:pt idx="92">
                  <c:v>10.732625345207268</c:v>
                </c:pt>
                <c:pt idx="93">
                  <c:v>10.539469856729106</c:v>
                </c:pt>
                <c:pt idx="94">
                  <c:v>10.346397714700018</c:v>
                </c:pt>
                <c:pt idx="95">
                  <c:v>10.153412697326536</c:v>
                </c:pt>
                <c:pt idx="96">
                  <c:v>9.9605187479233326</c:v>
                </c:pt>
                <c:pt idx="97">
                  <c:v>9.7677199818929505</c:v>
                </c:pt>
                <c:pt idx="98">
                  <c:v>9.5750206939635412</c:v>
                </c:pt>
                <c:pt idx="99">
                  <c:v>9.3824253656929297</c:v>
                </c:pt>
                <c:pt idx="100">
                  <c:v>9.1899386732437414</c:v>
                </c:pt>
                <c:pt idx="101">
                  <c:v>8.9975654954379536</c:v>
                </c:pt>
                <c:pt idx="102">
                  <c:v>8.8053109220950212</c:v>
                </c:pt>
                <c:pt idx="103">
                  <c:v>8.6131802626611353</c:v>
                </c:pt>
                <c:pt idx="104">
                  <c:v>8.4211790551342052</c:v>
                </c:pt>
                <c:pt idx="105">
                  <c:v>8.2293130752900083</c:v>
                </c:pt>
                <c:pt idx="106">
                  <c:v>8.0375883462139655</c:v>
                </c:pt>
                <c:pt idx="107">
                  <c:v>7.8460111481428179</c:v>
                </c:pt>
                <c:pt idx="108">
                  <c:v>7.6545880286197043</c:v>
                </c:pt>
                <c:pt idx="109">
                  <c:v>7.4633258129652305</c:v>
                </c:pt>
                <c:pt idx="110">
                  <c:v>7.272231615066489</c:v>
                </c:pt>
                <c:pt idx="111">
                  <c:v>7.0813128484850374</c:v>
                </c:pt>
                <c:pt idx="112">
                  <c:v>6.8905772378841519</c:v>
                </c:pt>
                <c:pt idx="113">
                  <c:v>6.7000328307732824</c:v>
                </c:pt>
                <c:pt idx="114">
                  <c:v>6.509688009568551</c:v>
                </c:pt>
                <c:pt idx="115">
                  <c:v>6.3195515039639165</c:v>
                </c:pt>
                <c:pt idx="116">
                  <c:v>6.1296324036088548</c:v>
                </c:pt>
                <c:pt idx="117">
                  <c:v>5.939940171084733</c:v>
                </c:pt>
                <c:pt idx="118">
                  <c:v>5.7504846551700863</c:v>
                </c:pt>
                <c:pt idx="119">
                  <c:v>5.5612761043854704</c:v>
                </c:pt>
                <c:pt idx="120">
                  <c:v>5.3723251808019636</c:v>
                </c:pt>
                <c:pt idx="121">
                  <c:v>5.1836429740994152</c:v>
                </c:pt>
                <c:pt idx="122">
                  <c:v>4.9952410158546048</c:v>
                </c:pt>
                <c:pt idx="123">
                  <c:v>4.8071312940379194</c:v>
                </c:pt>
                <c:pt idx="124">
                  <c:v>4.6193262676940101</c:v>
                </c:pt>
                <c:pt idx="125">
                  <c:v>4.431838881778269</c:v>
                </c:pt>
                <c:pt idx="126">
                  <c:v>4.2446825821166509</c:v>
                </c:pt>
                <c:pt idx="127">
                  <c:v>4.0578713304543665</c:v>
                </c:pt>
                <c:pt idx="128">
                  <c:v>3.871419619552332</c:v>
                </c:pt>
                <c:pt idx="129">
                  <c:v>3.6853424882876524</c:v>
                </c:pt>
                <c:pt idx="130">
                  <c:v>3.4996555367092008</c:v>
                </c:pt>
                <c:pt idx="131">
                  <c:v>3.3143749409939662</c:v>
                </c:pt>
                <c:pt idx="132">
                  <c:v>3.1295174682451385</c:v>
                </c:pt>
                <c:pt idx="133">
                  <c:v>2.9451004910667402</c:v>
                </c:pt>
                <c:pt idx="134">
                  <c:v>2.7611420018451622</c:v>
                </c:pt>
                <c:pt idx="135">
                  <c:v>2.5776606266595961</c:v>
                </c:pt>
                <c:pt idx="136">
                  <c:v>2.3946756387405803</c:v>
                </c:pt>
                <c:pt idx="137">
                  <c:v>2.2122069713850161</c:v>
                </c:pt>
                <c:pt idx="138">
                  <c:v>2.0302752302342864</c:v>
                </c:pt>
                <c:pt idx="139">
                  <c:v>1.8489017048106129</c:v>
                </c:pt>
                <c:pt idx="140">
                  <c:v>1.6681083792042317</c:v>
                </c:pt>
                <c:pt idx="141">
                  <c:v>1.4879179417934607</c:v>
                </c:pt>
                <c:pt idx="142">
                  <c:v>1.3083537938756928</c:v>
                </c:pt>
                <c:pt idx="143">
                  <c:v>1.1294400570780472</c:v>
                </c:pt>
                <c:pt idx="144">
                  <c:v>0.95120157941259154</c:v>
                </c:pt>
                <c:pt idx="145">
                  <c:v>0.77366393983074311</c:v>
                </c:pt>
                <c:pt idx="146">
                  <c:v>0.59685345113028943</c:v>
                </c:pt>
                <c:pt idx="147">
                  <c:v>0.4207971610575259</c:v>
                </c:pt>
                <c:pt idx="148">
                  <c:v>0.24552285144611896</c:v>
                </c:pt>
                <c:pt idx="149">
                  <c:v>7.1059035227146891E-2</c:v>
                </c:pt>
                <c:pt idx="150">
                  <c:v>-0.10256504885771968</c:v>
                </c:pt>
                <c:pt idx="151">
                  <c:v>-0.27531944401106001</c:v>
                </c:pt>
                <c:pt idx="152">
                  <c:v>-0.44717348577547678</c:v>
                </c:pt>
                <c:pt idx="153">
                  <c:v>-0.61809581524389579</c:v>
                </c:pt>
                <c:pt idx="154">
                  <c:v>-0.78805439525607379</c:v>
                </c:pt>
                <c:pt idx="155">
                  <c:v>-0.95701652975232143</c:v>
                </c:pt>
                <c:pt idx="156">
                  <c:v>-1.1249488864491233</c:v>
                </c:pt>
                <c:pt idx="157">
                  <c:v>-1.2918175229973365</c:v>
                </c:pt>
                <c:pt idx="158">
                  <c:v>-1.4575879167734829</c:v>
                </c:pt>
                <c:pt idx="159">
                  <c:v>-1.6222249984460668</c:v>
                </c:pt>
                <c:pt idx="160">
                  <c:v>-1.7856931894450052</c:v>
                </c:pt>
                <c:pt idx="161">
                  <c:v>-1.9479564434476435</c:v>
                </c:pt>
                <c:pt idx="162">
                  <c:v>-2.1089782919766695</c:v>
                </c:pt>
                <c:pt idx="163">
                  <c:v>-2.2687218941852367</c:v>
                </c:pt>
                <c:pt idx="164">
                  <c:v>-2.4271500908812604</c:v>
                </c:pt>
                <c:pt idx="165">
                  <c:v>-2.5842254628169927</c:v>
                </c:pt>
                <c:pt idx="166">
                  <c:v>-2.7399103932412454</c:v>
                </c:pt>
                <c:pt idx="167">
                  <c:v>-2.8941671346809246</c:v>
                </c:pt>
                <c:pt idx="168">
                  <c:v>-3.0469578798841308</c:v>
                </c:pt>
                <c:pt idx="169">
                  <c:v>-3.1982448368214724</c:v>
                </c:pt>
                <c:pt idx="170">
                  <c:v>-3.3479903076038586</c:v>
                </c:pt>
                <c:pt idx="171">
                  <c:v>-3.4961567711347725</c:v>
                </c:pt>
                <c:pt idx="172">
                  <c:v>-3.6427069692739309</c:v>
                </c:pt>
                <c:pt idx="173">
                  <c:v>-3.7876039962463532</c:v>
                </c:pt>
                <c:pt idx="174">
                  <c:v>-3.9308113909872064</c:v>
                </c:pt>
                <c:pt idx="175">
                  <c:v>-4.0722932320703862</c:v>
                </c:pt>
                <c:pt idx="176">
                  <c:v>-4.2120142348253982</c:v>
                </c:pt>
                <c:pt idx="177">
                  <c:v>-4.3499398502051569</c:v>
                </c:pt>
                <c:pt idx="178">
                  <c:v>-4.4860363649280801</c:v>
                </c:pt>
                <c:pt idx="179">
                  <c:v>-4.6202710023800524</c:v>
                </c:pt>
                <c:pt idx="180">
                  <c:v>-4.7526120237274307</c:v>
                </c:pt>
                <c:pt idx="181">
                  <c:v>-4.8830288286624937</c:v>
                </c:pt>
                <c:pt idx="182">
                  <c:v>-5.0114920551753492</c:v>
                </c:pt>
                <c:pt idx="183">
                  <c:v>-5.1379736777286418</c:v>
                </c:pt>
                <c:pt idx="184">
                  <c:v>-5.2624471031933986</c:v>
                </c:pt>
                <c:pt idx="185">
                  <c:v>-5.3848872638974825</c:v>
                </c:pt>
                <c:pt idx="186">
                  <c:v>-5.5052707071383313</c:v>
                </c:pt>
                <c:pt idx="187">
                  <c:v>-5.623575680513313</c:v>
                </c:pt>
                <c:pt idx="188">
                  <c:v>-5.739782212438401</c:v>
                </c:pt>
                <c:pt idx="189">
                  <c:v>-5.8538721872437129</c:v>
                </c:pt>
                <c:pt idx="190">
                  <c:v>-5.9658294142656541</c:v>
                </c:pt>
                <c:pt idx="191">
                  <c:v>-6.0756396903877192</c:v>
                </c:pt>
                <c:pt idx="192">
                  <c:v>-6.183290855529961</c:v>
                </c:pt>
                <c:pt idx="193">
                  <c:v>-6.2887728406321877</c:v>
                </c:pt>
                <c:pt idx="194">
                  <c:v>-6.3920777077366084</c:v>
                </c:pt>
                <c:pt idx="195">
                  <c:v>-6.4931996818338602</c:v>
                </c:pt>
                <c:pt idx="196">
                  <c:v>-6.5921351742062084</c:v>
                </c:pt>
                <c:pt idx="197">
                  <c:v>-6.6888827970687412</c:v>
                </c:pt>
                <c:pt idx="198">
                  <c:v>-6.7834433693863305</c:v>
                </c:pt>
                <c:pt idx="199">
                  <c:v>-6.8758199138164304</c:v>
                </c:pt>
                <c:pt idx="200">
                  <c:v>-6.9660176448046638</c:v>
                </c:pt>
                <c:pt idx="201">
                  <c:v>-7.0540439479361128</c:v>
                </c:pt>
                <c:pt idx="202">
                  <c:v>-7.1399083507187475</c:v>
                </c:pt>
                <c:pt idx="203">
                  <c:v>-7.2236224850460218</c:v>
                </c:pt>
                <c:pt idx="204">
                  <c:v>-7.3052000416548832</c:v>
                </c:pt>
                <c:pt idx="205">
                  <c:v>-7.3846567169591228</c:v>
                </c:pt>
                <c:pt idx="206">
                  <c:v>-7.4620101526926064</c:v>
                </c:pt>
                <c:pt idx="207">
                  <c:v>-7.537279868853731</c:v>
                </c:pt>
                <c:pt idx="208">
                  <c:v>-7.6104871904840197</c:v>
                </c:pt>
                <c:pt idx="209">
                  <c:v>-7.6816551688532444</c:v>
                </c:pt>
                <c:pt idx="210">
                  <c:v>-7.7508084976545284</c:v>
                </c:pt>
                <c:pt idx="211">
                  <c:v>-7.8179734248351185</c:v>
                </c:pt>
                <c:pt idx="212">
                  <c:v>-7.8831776607045523</c:v>
                </c:pt>
                <c:pt idx="213">
                  <c:v>-7.9464502829697956</c:v>
                </c:pt>
                <c:pt idx="214">
                  <c:v>-8.0078216393474335</c:v>
                </c:pt>
                <c:pt idx="215">
                  <c:v>-8.0673232483964572</c:v>
                </c:pt>
                <c:pt idx="216">
                  <c:v>-8.1249876992025278</c:v>
                </c:pt>
                <c:pt idx="217">
                  <c:v>-8.1808485505258393</c:v>
                </c:pt>
                <c:pt idx="218">
                  <c:v>-8.2349402299996406</c:v>
                </c:pt>
                <c:pt idx="219">
                  <c:v>-8.2872979339383388</c:v>
                </c:pt>
                <c:pt idx="220">
                  <c:v>-8.3379575282800751</c:v>
                </c:pt>
                <c:pt idx="221">
                  <c:v>-8.3869554511528204</c:v>
                </c:pt>
                <c:pt idx="222">
                  <c:v>-8.4343286175130885</c:v>
                </c:pt>
                <c:pt idx="223">
                  <c:v>-8.4801143262656726</c:v>
                </c:pt>
                <c:pt idx="224">
                  <c:v>-8.5243501702302247</c:v>
                </c:pt>
                <c:pt idx="225">
                  <c:v>-8.5670739492766703</c:v>
                </c:pt>
                <c:pt idx="226">
                  <c:v>-8.608323586909588</c:v>
                </c:pt>
                <c:pt idx="227">
                  <c:v>-8.648137050536743</c:v>
                </c:pt>
                <c:pt idx="228">
                  <c:v>-8.6865522756168705</c:v>
                </c:pt>
                <c:pt idx="229">
                  <c:v>-8.7236070938408652</c:v>
                </c:pt>
                <c:pt idx="230">
                  <c:v>-8.7593391654607693</c:v>
                </c:pt>
                <c:pt idx="231">
                  <c:v>-8.7937859158460974</c:v>
                </c:pt>
                <c:pt idx="232">
                  <c:v>-8.8269844763103897</c:v>
                </c:pt>
                <c:pt idx="233">
                  <c:v>-8.8589716292207932</c:v>
                </c:pt>
                <c:pt idx="234">
                  <c:v>-8.8897837573731469</c:v>
                </c:pt>
                <c:pt idx="235">
                  <c:v>-8.919456797588925</c:v>
                </c:pt>
                <c:pt idx="236">
                  <c:v>-8.9480261984659855</c:v>
                </c:pt>
                <c:pt idx="237">
                  <c:v>-8.9755268821940284</c:v>
                </c:pt>
                <c:pt idx="238">
                  <c:v>-9.0019932103277043</c:v>
                </c:pt>
                <c:pt idx="239">
                  <c:v>-9.0274589533938432</c:v>
                </c:pt>
                <c:pt idx="240">
                  <c:v>-9.0519572641959343</c:v>
                </c:pt>
                <c:pt idx="241">
                  <c:v>-9.0755206546681695</c:v>
                </c:pt>
                <c:pt idx="242">
                  <c:v>-9.0981809761232419</c:v>
                </c:pt>
                <c:pt idx="243">
                  <c:v>-9.1199694027292573</c:v>
                </c:pt>
                <c:pt idx="244">
                  <c:v>-9.1409164180503346</c:v>
                </c:pt>
                <c:pt idx="245">
                  <c:v>-9.1610518044776637</c:v>
                </c:pt>
                <c:pt idx="246">
                  <c:v>-9.1804046353810218</c:v>
                </c:pt>
                <c:pt idx="247">
                  <c:v>-9.1990032698078767</c:v>
                </c:pt>
                <c:pt idx="248">
                  <c:v>-9.2168753495598938</c:v>
                </c:pt>
                <c:pt idx="249">
                  <c:v>-9.234047798479013</c:v>
                </c:pt>
                <c:pt idx="250">
                  <c:v>-9.2505468237782882</c:v>
                </c:pt>
                <c:pt idx="251">
                  <c:v>-9.2663979192585675</c:v>
                </c:pt>
                <c:pt idx="252">
                  <c:v>-9.2816258702546115</c:v>
                </c:pt>
                <c:pt idx="253">
                  <c:v>-9.2962547601623555</c:v>
                </c:pt>
                <c:pt idx="254">
                  <c:v>-9.310307978403511</c:v>
                </c:pt>
                <c:pt idx="255">
                  <c:v>-9.3238082296909326</c:v>
                </c:pt>
                <c:pt idx="256">
                  <c:v>-9.3367775444646277</c:v>
                </c:pt>
                <c:pt idx="257">
                  <c:v>-9.3492372903746297</c:v>
                </c:pt>
                <c:pt idx="258">
                  <c:v>-9.3612081846950979</c:v>
                </c:pt>
                <c:pt idx="259">
                  <c:v>-9.3727103075597569</c:v>
                </c:pt>
                <c:pt idx="260">
                  <c:v>-9.3837631159166062</c:v>
                </c:pt>
                <c:pt idx="261">
                  <c:v>-9.3943854581059263</c:v>
                </c:pt>
                <c:pt idx="262">
                  <c:v>-9.4045955889734785</c:v>
                </c:pt>
                <c:pt idx="263">
                  <c:v>-9.4144111854360482</c:v>
                </c:pt>
                <c:pt idx="264">
                  <c:v>-9.4238493624237112</c:v>
                </c:pt>
                <c:pt idx="265">
                  <c:v>-9.4329266891294115</c:v>
                </c:pt>
                <c:pt idx="266">
                  <c:v>-9.4416592055020114</c:v>
                </c:pt>
                <c:pt idx="267">
                  <c:v>-9.4500624389245882</c:v>
                </c:pt>
                <c:pt idx="268">
                  <c:v>-9.4581514210258124</c:v>
                </c:pt>
                <c:pt idx="269">
                  <c:v>-9.4659407045769015</c:v>
                </c:pt>
                <c:pt idx="270">
                  <c:v>-9.4734443804314097</c:v>
                </c:pt>
                <c:pt idx="271">
                  <c:v>-9.4806760944704056</c:v>
                </c:pt>
                <c:pt idx="272">
                  <c:v>-9.4876490645195197</c:v>
                </c:pt>
                <c:pt idx="273">
                  <c:v>-9.4943760972081304</c:v>
                </c:pt>
                <c:pt idx="274">
                  <c:v>-9.5008696047455903</c:v>
                </c:pt>
                <c:pt idx="275">
                  <c:v>-9.5071416215926199</c:v>
                </c:pt>
                <c:pt idx="276">
                  <c:v>-9.5132038210089718</c:v>
                </c:pt>
                <c:pt idx="277">
                  <c:v>-9.5190675314624329</c:v>
                </c:pt>
                <c:pt idx="278">
                  <c:v>-9.5247437528857795</c:v>
                </c:pt>
                <c:pt idx="279">
                  <c:v>-9.5302431727734351</c:v>
                </c:pt>
                <c:pt idx="280">
                  <c:v>-9.5355761821094767</c:v>
                </c:pt>
                <c:pt idx="281">
                  <c:v>-9.5407528911206576</c:v>
                </c:pt>
                <c:pt idx="282">
                  <c:v>-9.5457831448548109</c:v>
                </c:pt>
                <c:pt idx="283">
                  <c:v>-9.5506765385810688</c:v>
                </c:pt>
                <c:pt idx="284">
                  <c:v>-9.5554424330129795</c:v>
                </c:pt>
                <c:pt idx="285">
                  <c:v>-9.5600899693575982</c:v>
                </c:pt>
                <c:pt idx="286">
                  <c:v>-9.564628084194883</c:v>
                </c:pt>
                <c:pt idx="287">
                  <c:v>-9.5690655241905951</c:v>
                </c:pt>
                <c:pt idx="288">
                  <c:v>-9.5734108606521637</c:v>
                </c:pt>
                <c:pt idx="289">
                  <c:v>-9.5776725039319786</c:v>
                </c:pt>
                <c:pt idx="290">
                  <c:v>-9.5818587176883874</c:v>
                </c:pt>
                <c:pt idx="291">
                  <c:v>-9.5859776330144264</c:v>
                </c:pt>
                <c:pt idx="292">
                  <c:v>-9.5900372624419141</c:v>
                </c:pt>
                <c:pt idx="293">
                  <c:v>-9.5940455138347644</c:v>
                </c:pt>
                <c:pt idx="294">
                  <c:v>-9.598010204180806</c:v>
                </c:pt>
                <c:pt idx="295">
                  <c:v>-9.6019390732951546</c:v>
                </c:pt>
                <c:pt idx="296">
                  <c:v>-9.6058397974475422</c:v>
                </c:pt>
                <c:pt idx="297">
                  <c:v>-9.6097200029261884</c:v>
                </c:pt>
                <c:pt idx="298">
                  <c:v>-9.6135872795509201</c:v>
                </c:pt>
                <c:pt idx="299">
                  <c:v>-9.6174491941500246</c:v>
                </c:pt>
                <c:pt idx="300">
                  <c:v>-9.6213133040135883</c:v>
                </c:pt>
                <c:pt idx="301">
                  <c:v>-9.625187170337048</c:v>
                </c:pt>
                <c:pt idx="302">
                  <c:v>-9.6290783716686619</c:v>
                </c:pt>
                <c:pt idx="303">
                  <c:v>-9.632994517374339</c:v>
                </c:pt>
                <c:pt idx="304">
                  <c:v>-9.6369432611348689</c:v>
                </c:pt>
                <c:pt idx="305">
                  <c:v>-9.6409323144862373</c:v>
                </c:pt>
                <c:pt idx="306">
                  <c:v>-9.6449694604191301</c:v>
                </c:pt>
                <c:pt idx="307">
                  <c:v>-9.6490625670485972</c:v>
                </c:pt>
                <c:pt idx="308">
                  <c:v>-9.6532196013677982</c:v>
                </c:pt>
                <c:pt idx="309">
                  <c:v>-9.6574486430965738</c:v>
                </c:pt>
                <c:pt idx="310">
                  <c:v>-9.6617578986387471</c:v>
                </c:pt>
                <c:pt idx="311">
                  <c:v>-9.6661557151566431</c:v>
                </c:pt>
                <c:pt idx="312">
                  <c:v>-9.6706505947757151</c:v>
                </c:pt>
                <c:pt idx="313">
                  <c:v>-9.6752512089271221</c:v>
                </c:pt>
                <c:pt idx="314">
                  <c:v>-9.6799664128385636</c:v>
                </c:pt>
                <c:pt idx="315">
                  <c:v>-9.6848052601810544</c:v>
                </c:pt>
                <c:pt idx="316">
                  <c:v>-9.6897770178770628</c:v>
                </c:pt>
                <c:pt idx="317">
                  <c:v>-9.6948911810784182</c:v>
                </c:pt>
                <c:pt idx="318">
                  <c:v>-9.7001574883160018</c:v>
                </c:pt>
                <c:pt idx="319">
                  <c:v>-9.7055859368260613</c:v>
                </c:pt>
                <c:pt idx="320">
                  <c:v>-9.711186798053081</c:v>
                </c:pt>
                <c:pt idx="321">
                  <c:v>-9.7169706333304777</c:v>
                </c:pt>
                <c:pt idx="322">
                  <c:v>-9.7229483097358056</c:v>
                </c:pt>
                <c:pt idx="323">
                  <c:v>-9.7291310161172628</c:v>
                </c:pt>
                <c:pt idx="324">
                  <c:v>-9.7355302792846157</c:v>
                </c:pt>
                <c:pt idx="325">
                  <c:v>-9.7421579803559428</c:v>
                </c:pt>
                <c:pt idx="326">
                  <c:v>-9.7490263712487533</c:v>
                </c:pt>
                <c:pt idx="327">
                  <c:v>-9.7561480913018919</c:v>
                </c:pt>
                <c:pt idx="328">
                  <c:v>-9.76353618401013</c:v>
                </c:pt>
                <c:pt idx="329">
                  <c:v>-9.7712041138511943</c:v>
                </c:pt>
                <c:pt idx="330">
                  <c:v>-9.7791657831827887</c:v>
                </c:pt>
                <c:pt idx="331">
                  <c:v>-9.7874355491787579</c:v>
                </c:pt>
                <c:pt idx="332">
                  <c:v>-9.796028240776316</c:v>
                </c:pt>
                <c:pt idx="333">
                  <c:v>-9.8049591755953323</c:v>
                </c:pt>
                <c:pt idx="334">
                  <c:v>-9.814244176791501</c:v>
                </c:pt>
                <c:pt idx="335">
                  <c:v>-9.8238995897960795</c:v>
                </c:pt>
                <c:pt idx="336">
                  <c:v>-9.8339422988936676</c:v>
                </c:pt>
                <c:pt idx="337">
                  <c:v>-9.8443897435809546</c:v>
                </c:pt>
                <c:pt idx="338">
                  <c:v>-9.8552599346459822</c:v>
                </c:pt>
                <c:pt idx="339">
                  <c:v>-9.8665714699004496</c:v>
                </c:pt>
                <c:pt idx="340">
                  <c:v>-9.8783435494921346</c:v>
                </c:pt>
                <c:pt idx="341">
                  <c:v>-9.8905959907173973</c:v>
                </c:pt>
                <c:pt idx="342">
                  <c:v>-9.9033492422484954</c:v>
                </c:pt>
                <c:pt idx="343">
                  <c:v>-9.9166243976824191</c:v>
                </c:pt>
                <c:pt idx="344">
                  <c:v>-9.9304432083119387</c:v>
                </c:pt>
                <c:pt idx="345">
                  <c:v>-9.9448280950124861</c:v>
                </c:pt>
                <c:pt idx="346">
                  <c:v>-9.9598021591317458</c:v>
                </c:pt>
                <c:pt idx="347">
                  <c:v>-9.9753891922603355</c:v>
                </c:pt>
                <c:pt idx="348">
                  <c:v>-9.9916136847581782</c:v>
                </c:pt>
                <c:pt idx="349">
                  <c:v>-10.008500832901021</c:v>
                </c:pt>
                <c:pt idx="350">
                  <c:v>-10.026076544506971</c:v>
                </c:pt>
                <c:pt idx="351">
                  <c:v>-10.044367442896052</c:v>
                </c:pt>
                <c:pt idx="352">
                  <c:v>-10.063400869030776</c:v>
                </c:pt>
                <c:pt idx="353">
                  <c:v>-10.083204881678597</c:v>
                </c:pt>
                <c:pt idx="354">
                  <c:v>-10.103808255434441</c:v>
                </c:pt>
                <c:pt idx="355">
                  <c:v>-10.125240476436776</c:v>
                </c:pt>
                <c:pt idx="356">
                  <c:v>-10.147531735607163</c:v>
                </c:pt>
                <c:pt idx="357">
                  <c:v>-10.170712919242382</c:v>
                </c:pt>
                <c:pt idx="358">
                  <c:v>-10.194815596786931</c:v>
                </c:pt>
                <c:pt idx="359">
                  <c:v>-10.219872005614244</c:v>
                </c:pt>
                <c:pt idx="360">
                  <c:v>-10.245915032647776</c:v>
                </c:pt>
                <c:pt idx="361">
                  <c:v>-10.272978192656346</c:v>
                </c:pt>
                <c:pt idx="362">
                  <c:v>-10.301095603064397</c:v>
                </c:pt>
                <c:pt idx="363">
                  <c:v>-10.330301955126014</c:v>
                </c:pt>
                <c:pt idx="364">
                  <c:v>-10.360632481320069</c:v>
                </c:pt>
                <c:pt idx="365">
                  <c:v>-10.392122918838067</c:v>
                </c:pt>
                <c:pt idx="366">
                  <c:v>-10.424809469050132</c:v>
                </c:pt>
                <c:pt idx="367">
                  <c:v>-10.458728752851783</c:v>
                </c:pt>
                <c:pt idx="368">
                  <c:v>-10.493917761814789</c:v>
                </c:pt>
                <c:pt idx="369">
                  <c:v>-10.530413805087697</c:v>
                </c:pt>
                <c:pt idx="370">
                  <c:v>-10.568254452017449</c:v>
                </c:pt>
                <c:pt idx="371">
                  <c:v>-10.607477470491304</c:v>
                </c:pt>
                <c:pt idx="372">
                  <c:v>-10.648120761029604</c:v>
                </c:pt>
                <c:pt idx="373">
                  <c:v>-10.69022228669321</c:v>
                </c:pt>
                <c:pt idx="374">
                  <c:v>-10.733819998904675</c:v>
                </c:pt>
                <c:pt idx="375">
                  <c:v>-10.778951759321075</c:v>
                </c:pt>
                <c:pt idx="376">
                  <c:v>-10.825655257935745</c:v>
                </c:pt>
                <c:pt idx="377">
                  <c:v>-10.873967927627204</c:v>
                </c:pt>
                <c:pt idx="378">
                  <c:v>-10.923926855416937</c:v>
                </c:pt>
                <c:pt idx="379">
                  <c:v>-10.975568690740085</c:v>
                </c:pt>
                <c:pt idx="380">
                  <c:v>-11.028929551076139</c:v>
                </c:pt>
                <c:pt idx="381">
                  <c:v>-11.084044925331526</c:v>
                </c:pt>
                <c:pt idx="382">
                  <c:v>-11.140949575405173</c:v>
                </c:pt>
                <c:pt idx="383">
                  <c:v>-11.199677436410179</c:v>
                </c:pt>
                <c:pt idx="384">
                  <c:v>-11.260261516061574</c:v>
                </c:pt>
                <c:pt idx="385">
                  <c:v>-11.322733793775505</c:v>
                </c:pt>
                <c:pt idx="386">
                  <c:v>-11.387125120056222</c:v>
                </c:pt>
                <c:pt idx="387">
                  <c:v>-11.453465116771103</c:v>
                </c:pt>
                <c:pt idx="388">
                  <c:v>-11.521782078940589</c:v>
                </c:pt>
                <c:pt idx="389">
                  <c:v>-11.592102878678697</c:v>
                </c:pt>
                <c:pt idx="390">
                  <c:v>-11.664452871934605</c:v>
                </c:pt>
                <c:pt idx="391">
                  <c:v>-11.738855808685539</c:v>
                </c:pt>
                <c:pt idx="392">
                  <c:v>-11.815333747225685</c:v>
                </c:pt>
                <c:pt idx="393">
                  <c:v>-11.893906973186004</c:v>
                </c:pt>
                <c:pt idx="394">
                  <c:v>-11.974593923897839</c:v>
                </c:pt>
                <c:pt idx="395">
                  <c:v>-12.05741111868646</c:v>
                </c:pt>
                <c:pt idx="396">
                  <c:v>-12.14237309564588</c:v>
                </c:pt>
                <c:pt idx="397">
                  <c:v>-12.229492355403453</c:v>
                </c:pt>
                <c:pt idx="398">
                  <c:v>-12.318779312333326</c:v>
                </c:pt>
                <c:pt idx="399">
                  <c:v>-12.410242253623906</c:v>
                </c:pt>
                <c:pt idx="400">
                  <c:v>-12.503887306540527</c:v>
                </c:pt>
                <c:pt idx="401">
                  <c:v>-12.599718414161762</c:v>
                </c:pt>
                <c:pt idx="402">
                  <c:v>-12.697737319794481</c:v>
                </c:pt>
                <c:pt idx="403">
                  <c:v>-12.797943560202668</c:v>
                </c:pt>
                <c:pt idx="404">
                  <c:v>-12.900334467707737</c:v>
                </c:pt>
                <c:pt idx="405">
                  <c:v>-13.004905181143656</c:v>
                </c:pt>
                <c:pt idx="406">
                  <c:v>-13.111648665574272</c:v>
                </c:pt>
                <c:pt idx="407">
                  <c:v>-13.220555740605755</c:v>
                </c:pt>
                <c:pt idx="408">
                  <c:v>-13.331615117055355</c:v>
                </c:pt>
                <c:pt idx="409">
                  <c:v>-13.444813441669545</c:v>
                </c:pt>
                <c:pt idx="410">
                  <c:v>-13.56013534952069</c:v>
                </c:pt>
                <c:pt idx="411">
                  <c:v>-13.677563523652257</c:v>
                </c:pt>
                <c:pt idx="412">
                  <c:v>-13.797078761490614</c:v>
                </c:pt>
                <c:pt idx="413">
                  <c:v>-13.918660047494418</c:v>
                </c:pt>
                <c:pt idx="414">
                  <c:v>-14.042284631474169</c:v>
                </c:pt>
                <c:pt idx="415">
                  <c:v>-14.167928111983191</c:v>
                </c:pt>
                <c:pt idx="416">
                  <c:v>-14.295564524155902</c:v>
                </c:pt>
                <c:pt idx="417">
                  <c:v>-14.425166431354304</c:v>
                </c:pt>
                <c:pt idx="418">
                  <c:v>-14.556705019973995</c:v>
                </c:pt>
                <c:pt idx="419">
                  <c:v>-14.690150196759717</c:v>
                </c:pt>
                <c:pt idx="420">
                  <c:v>-14.825470687985822</c:v>
                </c:pt>
                <c:pt idx="421">
                  <c:v>-14.962634139869341</c:v>
                </c:pt>
                <c:pt idx="422">
                  <c:v>-15.101607219601636</c:v>
                </c:pt>
                <c:pt idx="423">
                  <c:v>-15.242355716408259</c:v>
                </c:pt>
                <c:pt idx="424">
                  <c:v>-15.384844642074393</c:v>
                </c:pt>
                <c:pt idx="425">
                  <c:v>-15.529038330407944</c:v>
                </c:pt>
                <c:pt idx="426">
                  <c:v>-15.674900535146159</c:v>
                </c:pt>
                <c:pt idx="427">
                  <c:v>-15.822394525852379</c:v>
                </c:pt>
                <c:pt idx="428">
                  <c:v>-15.971483181389708</c:v>
                </c:pt>
                <c:pt idx="429">
                  <c:v>-16.122129080601422</c:v>
                </c:pt>
                <c:pt idx="430">
                  <c:v>-16.274294589869513</c:v>
                </c:pt>
                <c:pt idx="431">
                  <c:v>-16.42794194726935</c:v>
                </c:pt>
                <c:pt idx="432">
                  <c:v>-16.583033343077535</c:v>
                </c:pt>
                <c:pt idx="433">
                  <c:v>-16.739530996434382</c:v>
                </c:pt>
                <c:pt idx="434">
                  <c:v>-16.897397228003797</c:v>
                </c:pt>
                <c:pt idx="435">
                  <c:v>-17.056594528509457</c:v>
                </c:pt>
                <c:pt idx="436">
                  <c:v>-17.217085623065895</c:v>
                </c:pt>
                <c:pt idx="437">
                  <c:v>-17.378833531258163</c:v>
                </c:pt>
                <c:pt idx="438">
                  <c:v>-17.541801622952359</c:v>
                </c:pt>
                <c:pt idx="439">
                  <c:v>-17.705953669853447</c:v>
                </c:pt>
                <c:pt idx="440">
                  <c:v>-17.871253892851289</c:v>
                </c:pt>
                <c:pt idx="441">
                  <c:v>-18.037667005220158</c:v>
                </c:pt>
                <c:pt idx="442">
                  <c:v>-18.205158251760224</c:v>
                </c:pt>
                <c:pt idx="443">
                  <c:v>-18.373693443985442</c:v>
                </c:pt>
                <c:pt idx="444">
                  <c:v>-18.543238991482415</c:v>
                </c:pt>
                <c:pt idx="445">
                  <c:v>-18.71376192957403</c:v>
                </c:pt>
                <c:pt idx="446">
                  <c:v>-18.885229943437455</c:v>
                </c:pt>
                <c:pt idx="447">
                  <c:v>-19.057611388831667</c:v>
                </c:pt>
                <c:pt idx="448">
                  <c:v>-19.230875309598382</c:v>
                </c:pt>
                <c:pt idx="449">
                  <c:v>-19.404991452104635</c:v>
                </c:pt>
                <c:pt idx="450">
                  <c:v>-19.579930276799061</c:v>
                </c:pt>
                <c:pt idx="451">
                  <c:v>-19.755662967054462</c:v>
                </c:pt>
                <c:pt idx="452">
                  <c:v>-19.932161435469933</c:v>
                </c:pt>
                <c:pt idx="453">
                  <c:v>-20.109398327805408</c:v>
                </c:pt>
                <c:pt idx="454">
                  <c:v>-20.287347024716812</c:v>
                </c:pt>
                <c:pt idx="455">
                  <c:v>-20.465981641459546</c:v>
                </c:pt>
                <c:pt idx="456">
                  <c:v>-20.645277025721548</c:v>
                </c:pt>
                <c:pt idx="457">
                  <c:v>-20.825208753743535</c:v>
                </c:pt>
                <c:pt idx="458">
                  <c:v>-21.005753124877955</c:v>
                </c:pt>
                <c:pt idx="459">
                  <c:v>-21.186887154732549</c:v>
                </c:pt>
                <c:pt idx="460">
                  <c:v>-21.368588567037882</c:v>
                </c:pt>
                <c:pt idx="461">
                  <c:v>-21.550835784371827</c:v>
                </c:pt>
                <c:pt idx="462">
                  <c:v>-21.733607917866806</c:v>
                </c:pt>
                <c:pt idx="463">
                  <c:v>-21.916884756019645</c:v>
                </c:pt>
                <c:pt idx="464">
                  <c:v>-22.100646752714987</c:v>
                </c:pt>
                <c:pt idx="465">
                  <c:v>-22.284875014570016</c:v>
                </c:pt>
                <c:pt idx="466">
                  <c:v>-22.469551287696362</c:v>
                </c:pt>
                <c:pt idx="467">
                  <c:v>-22.654657943973625</c:v>
                </c:pt>
                <c:pt idx="468">
                  <c:v>-22.840177966918635</c:v>
                </c:pt>
                <c:pt idx="469">
                  <c:v>-23.026094937229637</c:v>
                </c:pt>
                <c:pt idx="470">
                  <c:v>-23.212393018079037</c:v>
                </c:pt>
                <c:pt idx="471">
                  <c:v>-23.399056940221691</c:v>
                </c:pt>
                <c:pt idx="472">
                  <c:v>-23.586071986979714</c:v>
                </c:pt>
                <c:pt idx="473">
                  <c:v>-23.773423979160889</c:v>
                </c:pt>
                <c:pt idx="474">
                  <c:v>-23.961099259961248</c:v>
                </c:pt>
                <c:pt idx="475">
                  <c:v>-24.149084679898046</c:v>
                </c:pt>
                <c:pt idx="476">
                  <c:v>-24.337367581815286</c:v>
                </c:pt>
                <c:pt idx="477">
                  <c:v>-24.525935785998602</c:v>
                </c:pt>
                <c:pt idx="478">
                  <c:v>-24.7147775754338</c:v>
                </c:pt>
                <c:pt idx="479">
                  <c:v>-24.903881681237547</c:v>
                </c:pt>
                <c:pt idx="480">
                  <c:v>-25.093237268287911</c:v>
                </c:pt>
                <c:pt idx="481">
                  <c:v>-25.282833921075891</c:v>
                </c:pt>
                <c:pt idx="482">
                  <c:v>-25.472661629799539</c:v>
                </c:pt>
                <c:pt idx="483">
                  <c:v>-25.662710776716672</c:v>
                </c:pt>
                <c:pt idx="484">
                  <c:v>-25.85297212277068</c:v>
                </c:pt>
                <c:pt idx="485">
                  <c:v>-26.04343679450308</c:v>
                </c:pt>
                <c:pt idx="486">
                  <c:v>-26.234096271260164</c:v>
                </c:pt>
                <c:pt idx="487">
                  <c:v>-26.424942372704557</c:v>
                </c:pt>
                <c:pt idx="488">
                  <c:v>-26.615967246636181</c:v>
                </c:pt>
                <c:pt idx="489">
                  <c:v>-26.807163357127436</c:v>
                </c:pt>
                <c:pt idx="490">
                  <c:v>-26.99852347297611</c:v>
                </c:pt>
                <c:pt idx="491">
                  <c:v>-27.190040656477699</c:v>
                </c:pt>
                <c:pt idx="492">
                  <c:v>-27.381708252516873</c:v>
                </c:pt>
                <c:pt idx="493">
                  <c:v>-27.573519877978821</c:v>
                </c:pt>
                <c:pt idx="494">
                  <c:v>-27.765469411477955</c:v>
                </c:pt>
                <c:pt idx="495">
                  <c:v>-27.957550983401735</c:v>
                </c:pt>
                <c:pt idx="496">
                  <c:v>-28.149758966266994</c:v>
                </c:pt>
                <c:pt idx="497">
                  <c:v>-28.342087965384298</c:v>
                </c:pt>
                <c:pt idx="498">
                  <c:v>-28.534532809826359</c:v>
                </c:pt>
                <c:pt idx="499">
                  <c:v>-28.727088543695455</c:v>
                </c:pt>
                <c:pt idx="500">
                  <c:v>-28.919750417684803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41-4D19-9DBC-690DDB1D00CA}"/>
            </c:ext>
          </c:extLst>
        </c:ser>
        <c:ser>
          <c:idx val="0"/>
          <c:order val="6"/>
          <c:tx>
            <c:strRef>
              <c:f>'Small Signal'!$I$507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'Small Signal'!$I$511:$I$612</c:f>
              <c:numCache>
                <c:formatCode>General</c:formatCode>
                <c:ptCount val="102"/>
                <c:pt idx="0">
                  <c:v>10</c:v>
                </c:pt>
                <c:pt idx="1">
                  <c:v>12.59</c:v>
                </c:pt>
                <c:pt idx="2">
                  <c:v>15.85</c:v>
                </c:pt>
                <c:pt idx="3">
                  <c:v>19.95</c:v>
                </c:pt>
                <c:pt idx="4">
                  <c:v>25.12</c:v>
                </c:pt>
                <c:pt idx="5">
                  <c:v>31.62</c:v>
                </c:pt>
                <c:pt idx="6">
                  <c:v>39.81</c:v>
                </c:pt>
                <c:pt idx="7">
                  <c:v>50.12</c:v>
                </c:pt>
                <c:pt idx="8">
                  <c:v>63.1</c:v>
                </c:pt>
                <c:pt idx="9">
                  <c:v>79.44</c:v>
                </c:pt>
                <c:pt idx="10">
                  <c:v>100</c:v>
                </c:pt>
                <c:pt idx="11">
                  <c:v>125.9</c:v>
                </c:pt>
                <c:pt idx="12">
                  <c:v>158.5</c:v>
                </c:pt>
                <c:pt idx="13">
                  <c:v>199.5</c:v>
                </c:pt>
                <c:pt idx="14">
                  <c:v>251.2</c:v>
                </c:pt>
                <c:pt idx="15">
                  <c:v>316.2</c:v>
                </c:pt>
                <c:pt idx="16">
                  <c:v>398.1</c:v>
                </c:pt>
                <c:pt idx="17">
                  <c:v>501.2</c:v>
                </c:pt>
                <c:pt idx="18">
                  <c:v>631</c:v>
                </c:pt>
                <c:pt idx="19">
                  <c:v>794.4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7944</c:v>
                </c:pt>
                <c:pt idx="30">
                  <c:v>10000</c:v>
                </c:pt>
                <c:pt idx="31">
                  <c:v>12590</c:v>
                </c:pt>
                <c:pt idx="32">
                  <c:v>15850</c:v>
                </c:pt>
                <c:pt idx="33">
                  <c:v>19950</c:v>
                </c:pt>
                <c:pt idx="34">
                  <c:v>25120</c:v>
                </c:pt>
                <c:pt idx="35">
                  <c:v>31620</c:v>
                </c:pt>
                <c:pt idx="36">
                  <c:v>39810</c:v>
                </c:pt>
                <c:pt idx="37">
                  <c:v>50120</c:v>
                </c:pt>
                <c:pt idx="38">
                  <c:v>63100</c:v>
                </c:pt>
                <c:pt idx="39">
                  <c:v>79440</c:v>
                </c:pt>
                <c:pt idx="40">
                  <c:v>100000</c:v>
                </c:pt>
                <c:pt idx="41">
                  <c:v>125900</c:v>
                </c:pt>
                <c:pt idx="42">
                  <c:v>158500</c:v>
                </c:pt>
                <c:pt idx="43">
                  <c:v>199500</c:v>
                </c:pt>
                <c:pt idx="44">
                  <c:v>251200</c:v>
                </c:pt>
                <c:pt idx="45">
                  <c:v>316200</c:v>
                </c:pt>
                <c:pt idx="46">
                  <c:v>398100</c:v>
                </c:pt>
                <c:pt idx="47">
                  <c:v>501200</c:v>
                </c:pt>
                <c:pt idx="48">
                  <c:v>631000</c:v>
                </c:pt>
                <c:pt idx="49">
                  <c:v>794400</c:v>
                </c:pt>
                <c:pt idx="50" formatCode="0.00E+00">
                  <c:v>1000000</c:v>
                </c:pt>
              </c:numCache>
            </c:numRef>
          </c:xVal>
          <c:yVal>
            <c:numRef>
              <c:f>'Small Signal'!$J$511:$J$612</c:f>
              <c:numCache>
                <c:formatCode>General</c:formatCode>
                <c:ptCount val="102"/>
                <c:pt idx="0">
                  <c:v>37.660600000000002</c:v>
                </c:pt>
                <c:pt idx="1">
                  <c:v>40.938000000000002</c:v>
                </c:pt>
                <c:pt idx="2">
                  <c:v>45.019300000000001</c:v>
                </c:pt>
                <c:pt idx="3">
                  <c:v>41.562100000000001</c:v>
                </c:pt>
                <c:pt idx="4">
                  <c:v>43.169699999999999</c:v>
                </c:pt>
                <c:pt idx="5">
                  <c:v>42.245800000000003</c:v>
                </c:pt>
                <c:pt idx="6">
                  <c:v>41.420299999999997</c:v>
                </c:pt>
                <c:pt idx="7">
                  <c:v>41.924500000000002</c:v>
                </c:pt>
                <c:pt idx="8">
                  <c:v>40.187199999999997</c:v>
                </c:pt>
                <c:pt idx="9">
                  <c:v>38.4514</c:v>
                </c:pt>
                <c:pt idx="10">
                  <c:v>36.996499999999997</c:v>
                </c:pt>
                <c:pt idx="11">
                  <c:v>35.101599999999998</c:v>
                </c:pt>
                <c:pt idx="12">
                  <c:v>33.128500000000003</c:v>
                </c:pt>
                <c:pt idx="13">
                  <c:v>31.1892</c:v>
                </c:pt>
                <c:pt idx="14">
                  <c:v>29.313400000000001</c:v>
                </c:pt>
                <c:pt idx="15">
                  <c:v>27.4208</c:v>
                </c:pt>
                <c:pt idx="16">
                  <c:v>25.543299999999999</c:v>
                </c:pt>
                <c:pt idx="17">
                  <c:v>23.7925</c:v>
                </c:pt>
                <c:pt idx="18">
                  <c:v>22.151800000000001</c:v>
                </c:pt>
                <c:pt idx="19">
                  <c:v>20.708300000000001</c:v>
                </c:pt>
                <c:pt idx="20">
                  <c:v>19.408200000000001</c:v>
                </c:pt>
                <c:pt idx="21">
                  <c:v>18.206299999999999</c:v>
                </c:pt>
                <c:pt idx="22">
                  <c:v>16.799600000000002</c:v>
                </c:pt>
                <c:pt idx="23">
                  <c:v>15.136699999999999</c:v>
                </c:pt>
                <c:pt idx="24">
                  <c:v>13.201000000000001</c:v>
                </c:pt>
                <c:pt idx="25">
                  <c:v>11.1213</c:v>
                </c:pt>
                <c:pt idx="26">
                  <c:v>9.0173299999999994</c:v>
                </c:pt>
                <c:pt idx="27">
                  <c:v>6.94102</c:v>
                </c:pt>
                <c:pt idx="28">
                  <c:v>4.9103399999999997</c:v>
                </c:pt>
                <c:pt idx="29">
                  <c:v>2.9131499999999999</c:v>
                </c:pt>
                <c:pt idx="30">
                  <c:v>0.95159800000000005</c:v>
                </c:pt>
                <c:pt idx="31">
                  <c:v>-0.97999400000000003</c:v>
                </c:pt>
                <c:pt idx="32">
                  <c:v>-3.0378500000000002</c:v>
                </c:pt>
                <c:pt idx="33">
                  <c:v>-5.0957600000000003</c:v>
                </c:pt>
                <c:pt idx="34">
                  <c:v>-6.9738800000000003</c:v>
                </c:pt>
                <c:pt idx="35">
                  <c:v>-8.6015200000000007</c:v>
                </c:pt>
                <c:pt idx="36">
                  <c:v>-9.9493500000000008</c:v>
                </c:pt>
                <c:pt idx="37">
                  <c:v>-10.9834</c:v>
                </c:pt>
                <c:pt idx="38">
                  <c:v>-11.75</c:v>
                </c:pt>
                <c:pt idx="39">
                  <c:v>-12.6732</c:v>
                </c:pt>
                <c:pt idx="40">
                  <c:v>-13.494400000000001</c:v>
                </c:pt>
                <c:pt idx="41">
                  <c:v>-14.252599999999999</c:v>
                </c:pt>
                <c:pt idx="42">
                  <c:v>-14.984500000000001</c:v>
                </c:pt>
                <c:pt idx="43">
                  <c:v>-15.6913</c:v>
                </c:pt>
                <c:pt idx="44">
                  <c:v>-16.584</c:v>
                </c:pt>
                <c:pt idx="45">
                  <c:v>-18.080200000000001</c:v>
                </c:pt>
                <c:pt idx="46">
                  <c:v>-23.304200000000002</c:v>
                </c:pt>
                <c:pt idx="47">
                  <c:v>-38.991999999999997</c:v>
                </c:pt>
                <c:pt idx="48">
                  <c:v>-30.333600000000001</c:v>
                </c:pt>
                <c:pt idx="49">
                  <c:v>-25.927700000000002</c:v>
                </c:pt>
                <c:pt idx="50">
                  <c:v>-25.588000000000001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41-4D19-9DBC-690DDB1D00CA}"/>
            </c:ext>
          </c:extLst>
        </c:ser>
        <c:ser>
          <c:idx val="8"/>
          <c:order val="8"/>
          <c:tx>
            <c:strRef>
              <c:f>'Small Signal'!$M$507</c:f>
              <c:strCache>
                <c:ptCount val="1"/>
                <c:pt idx="0">
                  <c:v>Gvc</c:v>
                </c:pt>
              </c:strCache>
            </c:strRef>
          </c:tx>
          <c:marker>
            <c:symbol val="none"/>
          </c:marker>
          <c:xVal>
            <c:numRef>
              <c:f>'Small Signal'!$M$511:$M$612</c:f>
              <c:numCache>
                <c:formatCode>General</c:formatCode>
                <c:ptCount val="102"/>
                <c:pt idx="0">
                  <c:v>10</c:v>
                </c:pt>
                <c:pt idx="1">
                  <c:v>12.59</c:v>
                </c:pt>
                <c:pt idx="2">
                  <c:v>15.85</c:v>
                </c:pt>
                <c:pt idx="3">
                  <c:v>19.95</c:v>
                </c:pt>
                <c:pt idx="4">
                  <c:v>25.12</c:v>
                </c:pt>
                <c:pt idx="5">
                  <c:v>31.62</c:v>
                </c:pt>
                <c:pt idx="6">
                  <c:v>39.81</c:v>
                </c:pt>
                <c:pt idx="7">
                  <c:v>50.12</c:v>
                </c:pt>
                <c:pt idx="8">
                  <c:v>63.1</c:v>
                </c:pt>
                <c:pt idx="9">
                  <c:v>79.44</c:v>
                </c:pt>
                <c:pt idx="10">
                  <c:v>100</c:v>
                </c:pt>
                <c:pt idx="11">
                  <c:v>125.9</c:v>
                </c:pt>
                <c:pt idx="12">
                  <c:v>158.5</c:v>
                </c:pt>
                <c:pt idx="13">
                  <c:v>199.5</c:v>
                </c:pt>
                <c:pt idx="14">
                  <c:v>251.2</c:v>
                </c:pt>
                <c:pt idx="15">
                  <c:v>316.2</c:v>
                </c:pt>
                <c:pt idx="16">
                  <c:v>398.1</c:v>
                </c:pt>
                <c:pt idx="17">
                  <c:v>501.2</c:v>
                </c:pt>
                <c:pt idx="18">
                  <c:v>631</c:v>
                </c:pt>
                <c:pt idx="19">
                  <c:v>794.4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7944</c:v>
                </c:pt>
                <c:pt idx="30">
                  <c:v>10000</c:v>
                </c:pt>
                <c:pt idx="31">
                  <c:v>12590</c:v>
                </c:pt>
                <c:pt idx="32">
                  <c:v>15850</c:v>
                </c:pt>
                <c:pt idx="33">
                  <c:v>19950</c:v>
                </c:pt>
                <c:pt idx="34">
                  <c:v>25120</c:v>
                </c:pt>
                <c:pt idx="35">
                  <c:v>31620</c:v>
                </c:pt>
                <c:pt idx="36">
                  <c:v>39810</c:v>
                </c:pt>
                <c:pt idx="37">
                  <c:v>50120</c:v>
                </c:pt>
                <c:pt idx="38">
                  <c:v>63100</c:v>
                </c:pt>
                <c:pt idx="39">
                  <c:v>79440</c:v>
                </c:pt>
                <c:pt idx="40">
                  <c:v>100000</c:v>
                </c:pt>
                <c:pt idx="41">
                  <c:v>125900</c:v>
                </c:pt>
                <c:pt idx="42">
                  <c:v>158500</c:v>
                </c:pt>
                <c:pt idx="43">
                  <c:v>199500</c:v>
                </c:pt>
                <c:pt idx="44">
                  <c:v>251200</c:v>
                </c:pt>
                <c:pt idx="45">
                  <c:v>316200</c:v>
                </c:pt>
                <c:pt idx="46">
                  <c:v>398100</c:v>
                </c:pt>
                <c:pt idx="47">
                  <c:v>501200</c:v>
                </c:pt>
                <c:pt idx="48">
                  <c:v>631000</c:v>
                </c:pt>
                <c:pt idx="49">
                  <c:v>794400</c:v>
                </c:pt>
                <c:pt idx="50" formatCode="0.00E+00">
                  <c:v>1000000</c:v>
                </c:pt>
              </c:numCache>
            </c:numRef>
          </c:xVal>
          <c:yVal>
            <c:numRef>
              <c:f>'Small Signal'!$N$511:$N$612</c:f>
              <c:numCache>
                <c:formatCode>General</c:formatCode>
                <c:ptCount val="102"/>
                <c:pt idx="0">
                  <c:v>18.21</c:v>
                </c:pt>
                <c:pt idx="1">
                  <c:v>18.2605</c:v>
                </c:pt>
                <c:pt idx="2">
                  <c:v>18.195399999999999</c:v>
                </c:pt>
                <c:pt idx="3">
                  <c:v>18.6417</c:v>
                </c:pt>
                <c:pt idx="4">
                  <c:v>18.401</c:v>
                </c:pt>
                <c:pt idx="5">
                  <c:v>18.456</c:v>
                </c:pt>
                <c:pt idx="6">
                  <c:v>18.449200000000001</c:v>
                </c:pt>
                <c:pt idx="7">
                  <c:v>18.566299999999998</c:v>
                </c:pt>
                <c:pt idx="8">
                  <c:v>18.429400000000001</c:v>
                </c:pt>
                <c:pt idx="9">
                  <c:v>18.380700000000001</c:v>
                </c:pt>
                <c:pt idx="10">
                  <c:v>18.421800000000001</c:v>
                </c:pt>
                <c:pt idx="11">
                  <c:v>18.415299999999998</c:v>
                </c:pt>
                <c:pt idx="12">
                  <c:v>18.372299999999999</c:v>
                </c:pt>
                <c:pt idx="13">
                  <c:v>18.3811</c:v>
                </c:pt>
                <c:pt idx="14">
                  <c:v>18.360399999999998</c:v>
                </c:pt>
                <c:pt idx="15">
                  <c:v>18.352900000000002</c:v>
                </c:pt>
                <c:pt idx="16">
                  <c:v>18.329999999999998</c:v>
                </c:pt>
                <c:pt idx="17">
                  <c:v>18.350000000000001</c:v>
                </c:pt>
                <c:pt idx="18">
                  <c:v>18.415500000000002</c:v>
                </c:pt>
                <c:pt idx="19">
                  <c:v>18.587599999999998</c:v>
                </c:pt>
                <c:pt idx="20">
                  <c:v>18.744800000000001</c:v>
                </c:pt>
                <c:pt idx="21">
                  <c:v>18.844999999999999</c:v>
                </c:pt>
                <c:pt idx="22">
                  <c:v>18.576599999999999</c:v>
                </c:pt>
                <c:pt idx="23">
                  <c:v>17.8185</c:v>
                </c:pt>
                <c:pt idx="24">
                  <c:v>16.533100000000001</c:v>
                </c:pt>
                <c:pt idx="25">
                  <c:v>14.869</c:v>
                </c:pt>
                <c:pt idx="26">
                  <c:v>13.0419</c:v>
                </c:pt>
                <c:pt idx="27">
                  <c:v>11.1648</c:v>
                </c:pt>
                <c:pt idx="28">
                  <c:v>9.2243700000000004</c:v>
                </c:pt>
                <c:pt idx="29">
                  <c:v>7.2900400000000003</c:v>
                </c:pt>
                <c:pt idx="30">
                  <c:v>5.4023700000000003</c:v>
                </c:pt>
                <c:pt idx="31">
                  <c:v>3.5295200000000002</c:v>
                </c:pt>
                <c:pt idx="32">
                  <c:v>1.69167</c:v>
                </c:pt>
                <c:pt idx="33">
                  <c:v>-7.7088799999999999E-2</c:v>
                </c:pt>
                <c:pt idx="34">
                  <c:v>-1.73281</c:v>
                </c:pt>
                <c:pt idx="35">
                  <c:v>-3.2250700000000001</c:v>
                </c:pt>
                <c:pt idx="36">
                  <c:v>-4.5564999999999998</c:v>
                </c:pt>
                <c:pt idx="37">
                  <c:v>-5.5935600000000001</c:v>
                </c:pt>
                <c:pt idx="38">
                  <c:v>-6.4191700000000003</c:v>
                </c:pt>
                <c:pt idx="39">
                  <c:v>-6.9911099999999999</c:v>
                </c:pt>
                <c:pt idx="40">
                  <c:v>-7.3113000000000001</c:v>
                </c:pt>
                <c:pt idx="41">
                  <c:v>-7.4893900000000002</c:v>
                </c:pt>
                <c:pt idx="42">
                  <c:v>-7.4759000000000002</c:v>
                </c:pt>
                <c:pt idx="43">
                  <c:v>-7.1994300000000004</c:v>
                </c:pt>
                <c:pt idx="44">
                  <c:v>-6.92408</c:v>
                </c:pt>
                <c:pt idx="45">
                  <c:v>-6.6042899999999998</c:v>
                </c:pt>
                <c:pt idx="46">
                  <c:v>-8.0669299999999993</c:v>
                </c:pt>
                <c:pt idx="47">
                  <c:v>-13.757400000000001</c:v>
                </c:pt>
                <c:pt idx="48">
                  <c:v>-23.852499999999999</c:v>
                </c:pt>
                <c:pt idx="49">
                  <c:v>-23.9956</c:v>
                </c:pt>
                <c:pt idx="50">
                  <c:v>-14.6715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41-4D19-9DBC-690DDB1D00CA}"/>
            </c:ext>
          </c:extLst>
        </c:ser>
        <c:ser>
          <c:idx val="10"/>
          <c:order val="10"/>
          <c:tx>
            <c:strRef>
              <c:f>'Small Signal'!$Q$507</c:f>
              <c:strCache>
                <c:ptCount val="1"/>
                <c:pt idx="0">
                  <c:v>Gea</c:v>
                </c:pt>
              </c:strCache>
            </c:strRef>
          </c:tx>
          <c:marker>
            <c:symbol val="none"/>
          </c:marker>
          <c:xVal>
            <c:numRef>
              <c:f>'Small Signal'!$Q$511:$Q$612</c:f>
              <c:numCache>
                <c:formatCode>General</c:formatCode>
                <c:ptCount val="102"/>
              </c:numCache>
            </c:numRef>
          </c:xVal>
          <c:yVal>
            <c:numRef>
              <c:f>'Small Signal'!$R$511:$R$612</c:f>
              <c:numCache>
                <c:formatCode>General</c:formatCode>
                <c:ptCount val="10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141-4D19-9DBC-690DDB1D0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96288"/>
        <c:axId val="1"/>
      </c:scatterChart>
      <c:scatterChart>
        <c:scatterStyle val="smoothMarker"/>
        <c:varyColors val="0"/>
        <c:ser>
          <c:idx val="3"/>
          <c:order val="1"/>
          <c:tx>
            <c:strRef>
              <c:f>'Small Signal'!$AC$3</c:f>
              <c:strCache>
                <c:ptCount val="1"/>
                <c:pt idx="0">
                  <c:v>Phase Gvc CCM</c:v>
                </c:pt>
              </c:strCache>
            </c:strRef>
          </c:tx>
          <c:spPr>
            <a:ln w="38100">
              <a:solidFill>
                <a:schemeClr val="accent3"/>
              </a:solidFill>
              <a:prstDash val="sysDash"/>
            </a:ln>
          </c:spPr>
          <c:marker>
            <c:symbol val="none"/>
          </c:marker>
          <c:xVal>
            <c:numRef>
              <c:f>'Small Signal'!$Q$4:$Q$504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Signal'!$AC$4:$AC$504</c:f>
              <c:numCache>
                <c:formatCode>General</c:formatCode>
                <c:ptCount val="501"/>
                <c:pt idx="0">
                  <c:v>-0.41412607948782848</c:v>
                </c:pt>
                <c:pt idx="1">
                  <c:v>-0.42352826806023369</c:v>
                </c:pt>
                <c:pt idx="2">
                  <c:v>-0.43314390717676138</c:v>
                </c:pt>
                <c:pt idx="3">
                  <c:v>-0.4429778416773133</c:v>
                </c:pt>
                <c:pt idx="4">
                  <c:v>-0.45303502630167375</c:v>
                </c:pt>
                <c:pt idx="5">
                  <c:v>-0.46332052817773772</c:v>
                </c:pt>
                <c:pt idx="6">
                  <c:v>-0.47383952936584678</c:v>
                </c:pt>
                <c:pt idx="7">
                  <c:v>-0.48459732946035783</c:v>
                </c:pt>
                <c:pt idx="8">
                  <c:v>-0.49559934824966867</c:v>
                </c:pt>
                <c:pt idx="9">
                  <c:v>-0.50685112843616187</c:v>
                </c:pt>
                <c:pt idx="10">
                  <c:v>-0.51835833841714718</c:v>
                </c:pt>
                <c:pt idx="11">
                  <c:v>-0.53012677512834927</c:v>
                </c:pt>
                <c:pt idx="12">
                  <c:v>-0.54216236695120645</c:v>
                </c:pt>
                <c:pt idx="13">
                  <c:v>-0.55447117668542512</c:v>
                </c:pt>
                <c:pt idx="14">
                  <c:v>-0.56705940458819581</c:v>
                </c:pt>
                <c:pt idx="15">
                  <c:v>-0.57993339148144585</c:v>
                </c:pt>
                <c:pt idx="16">
                  <c:v>-0.59309962192887689</c:v>
                </c:pt>
                <c:pt idx="17">
                  <c:v>-0.60656472748395018</c:v>
                </c:pt>
                <c:pt idx="18">
                  <c:v>-0.62033549001057542</c:v>
                </c:pt>
                <c:pt idx="19">
                  <c:v>-0.63441884507814983</c:v>
                </c:pt>
                <c:pt idx="20">
                  <c:v>-0.64882188543230745</c:v>
                </c:pt>
                <c:pt idx="21">
                  <c:v>-0.66355186454317283</c:v>
                </c:pt>
                <c:pt idx="22">
                  <c:v>-0.67861620023282265</c:v>
                </c:pt>
                <c:pt idx="23">
                  <c:v>-0.69402247838357423</c:v>
                </c:pt>
                <c:pt idx="24">
                  <c:v>-0.70977845672880158</c:v>
                </c:pt>
                <c:pt idx="25">
                  <c:v>-0.72589206872810419</c:v>
                </c:pt>
                <c:pt idx="26">
                  <c:v>-0.74237142752869967</c:v>
                </c:pt>
                <c:pt idx="27">
                  <c:v>-0.75922483001463337</c:v>
                </c:pt>
                <c:pt idx="28">
                  <c:v>-0.77646076094590177</c:v>
                </c:pt>
                <c:pt idx="29">
                  <c:v>-0.7940878971892581</c:v>
                </c:pt>
                <c:pt idx="30">
                  <c:v>-0.81211511204269382</c:v>
                </c:pt>
                <c:pt idx="31">
                  <c:v>-0.83055147965540044</c:v>
                </c:pt>
                <c:pt idx="32">
                  <c:v>-0.84940627954546999</c:v>
                </c:pt>
                <c:pt idx="33">
                  <c:v>-0.86868900121709691</c:v>
                </c:pt>
                <c:pt idx="34">
                  <c:v>-0.88840934887944667</c:v>
                </c:pt>
                <c:pt idx="35">
                  <c:v>-0.9085772462693279</c:v>
                </c:pt>
                <c:pt idx="36">
                  <c:v>-0.92920284157968769</c:v>
                </c:pt>
                <c:pt idx="37">
                  <c:v>-0.95029651249616565</c:v>
                </c:pt>
                <c:pt idx="38">
                  <c:v>-0.97186887134378763</c:v>
                </c:pt>
                <c:pt idx="39">
                  <c:v>-0.99393077034616339</c:v>
                </c:pt>
                <c:pt idx="40">
                  <c:v>-1.0164933069992759</c:v>
                </c:pt>
                <c:pt idx="41">
                  <c:v>-1.0395678295622937</c:v>
                </c:pt>
                <c:pt idx="42">
                  <c:v>-1.0631659426674263</c:v>
                </c:pt>
                <c:pt idx="43">
                  <c:v>-1.0872995130516785</c:v>
                </c:pt>
                <c:pt idx="44">
                  <c:v>-1.111980675412175</c:v>
                </c:pt>
                <c:pt idx="45">
                  <c:v>-1.1372218383880388</c:v>
                </c:pt>
                <c:pt idx="46">
                  <c:v>-1.1630356906709181</c:v>
                </c:pt>
                <c:pt idx="47">
                  <c:v>-1.1894352072465717</c:v>
                </c:pt>
                <c:pt idx="48">
                  <c:v>-1.21643365577022</c:v>
                </c:pt>
                <c:pt idx="49">
                  <c:v>-1.2440446030778012</c:v>
                </c:pt>
                <c:pt idx="50">
                  <c:v>-1.2722819218358579</c:v>
                </c:pt>
                <c:pt idx="51">
                  <c:v>-1.3011597973324909</c:v>
                </c:pt>
                <c:pt idx="52">
                  <c:v>-1.3306927344118844</c:v>
                </c:pt>
                <c:pt idx="53">
                  <c:v>-1.3608955645548271</c:v>
                </c:pt>
                <c:pt idx="54">
                  <c:v>-1.3917834531080331</c:v>
                </c:pt>
                <c:pt idx="55">
                  <c:v>-1.423371906664409</c:v>
                </c:pt>
                <c:pt idx="56">
                  <c:v>-1.4556767805972166</c:v>
                </c:pt>
                <c:pt idx="57">
                  <c:v>-1.488714286750294</c:v>
                </c:pt>
                <c:pt idx="58">
                  <c:v>-1.5225010012871134</c:v>
                </c:pt>
                <c:pt idx="59">
                  <c:v>-1.5570538727010008</c:v>
                </c:pt>
                <c:pt idx="60">
                  <c:v>-1.5923902299891624</c:v>
                </c:pt>
                <c:pt idx="61">
                  <c:v>-1.6285277909928944</c:v>
                </c:pt>
                <c:pt idx="62">
                  <c:v>-1.6654846709062492</c:v>
                </c:pt>
                <c:pt idx="63">
                  <c:v>-1.7032793909560155</c:v>
                </c:pt>
                <c:pt idx="64">
                  <c:v>-1.7419308872547958</c:v>
                </c:pt>
                <c:pt idx="65">
                  <c:v>-1.7814585198298696</c:v>
                </c:pt>
                <c:pt idx="66">
                  <c:v>-1.821882081829965</c:v>
                </c:pt>
                <c:pt idx="67">
                  <c:v>-1.8632218089120232</c:v>
                </c:pt>
                <c:pt idx="68">
                  <c:v>-1.9054983888102461</c:v>
                </c:pt>
                <c:pt idx="69">
                  <c:v>-1.9487329710891452</c:v>
                </c:pt>
                <c:pt idx="70">
                  <c:v>-1.9929471770827729</c:v>
                </c:pt>
                <c:pt idx="71">
                  <c:v>-2.0381631100217472</c:v>
                </c:pt>
                <c:pt idx="72">
                  <c:v>-2.0844033653497456</c:v>
                </c:pt>
                <c:pt idx="73">
                  <c:v>-2.1316910412310226</c:v>
                </c:pt>
                <c:pt idx="74">
                  <c:v>-2.1800497492504674</c:v>
                </c:pt>
                <c:pt idx="75">
                  <c:v>-2.229503625306847</c:v>
                </c:pt>
                <c:pt idx="76">
                  <c:v>-2.2800773407011734</c:v>
                </c:pt>
                <c:pt idx="77">
                  <c:v>-2.3317961134198457</c:v>
                </c:pt>
                <c:pt idx="78">
                  <c:v>-2.3846857196141484</c:v>
                </c:pt>
                <c:pt idx="79">
                  <c:v>-2.4387725052758542</c:v>
                </c:pt>
                <c:pt idx="80">
                  <c:v>-2.4940833981090043</c:v>
                </c:pt>
                <c:pt idx="81">
                  <c:v>-2.5506459195978697</c:v>
                </c:pt>
                <c:pt idx="82">
                  <c:v>-2.6084881972702849</c:v>
                </c:pt>
                <c:pt idx="83">
                  <c:v>-2.6676389771555193</c:v>
                </c:pt>
                <c:pt idx="84">
                  <c:v>-2.7281276364351066</c:v>
                </c:pt>
                <c:pt idx="85">
                  <c:v>-2.7899841962856242</c:v>
                </c:pt>
                <c:pt idx="86">
                  <c:v>-2.8532393349101191</c:v>
                </c:pt>
                <c:pt idx="87">
                  <c:v>-2.9179244007566667</c:v>
                </c:pt>
                <c:pt idx="88">
                  <c:v>-2.9840714259198209</c:v>
                </c:pt>
                <c:pt idx="89">
                  <c:v>-3.0517131397219233</c:v>
                </c:pt>
                <c:pt idx="90">
                  <c:v>-3.1208829824698539</c:v>
                </c:pt>
                <c:pt idx="91">
                  <c:v>-3.1916151193811149</c:v>
                </c:pt>
                <c:pt idx="92">
                  <c:v>-3.2639444546753813</c:v>
                </c:pt>
                <c:pt idx="93">
                  <c:v>-3.3379066458228794</c:v>
                </c:pt>
                <c:pt idx="94">
                  <c:v>-3.4135381179439088</c:v>
                </c:pt>
                <c:pt idx="95">
                  <c:v>-3.4908760783501047</c:v>
                </c:pt>
                <c:pt idx="96">
                  <c:v>-3.5699585312190494</c:v>
                </c:pt>
                <c:pt idx="97">
                  <c:v>-3.650824292391051</c:v>
                </c:pt>
                <c:pt idx="98">
                  <c:v>-3.7335130042780031</c:v>
                </c:pt>
                <c:pt idx="99">
                  <c:v>-3.8180651508703498</c:v>
                </c:pt>
                <c:pt idx="100">
                  <c:v>-3.9045220728296082</c:v>
                </c:pt>
                <c:pt idx="101">
                  <c:v>-3.992925982650382</c:v>
                </c:pt>
                <c:pt idx="102">
                  <c:v>-4.083319979875772</c:v>
                </c:pt>
                <c:pt idx="103">
                  <c:v>-4.1757480663479303</c:v>
                </c:pt>
                <c:pt idx="104">
                  <c:v>-4.2702551614739006</c:v>
                </c:pt>
                <c:pt idx="105">
                  <c:v>-4.3668871174850006</c:v>
                </c:pt>
                <c:pt idx="106">
                  <c:v>-4.465690734666695</c:v>
                </c:pt>
                <c:pt idx="107">
                  <c:v>-4.5667137765329393</c:v>
                </c:pt>
                <c:pt idx="108">
                  <c:v>-4.6700049849177585</c:v>
                </c:pt>
                <c:pt idx="109">
                  <c:v>-4.7756140949544283</c:v>
                </c:pt>
                <c:pt idx="110">
                  <c:v>-4.8835918499089086</c:v>
                </c:pt>
                <c:pt idx="111">
                  <c:v>-4.9939900158336465</c:v>
                </c:pt>
                <c:pt idx="112">
                  <c:v>-5.1068613960039393</c:v>
                </c:pt>
                <c:pt idx="113">
                  <c:v>-5.2222598450953903</c:v>
                </c:pt>
                <c:pt idx="114">
                  <c:v>-5.3402402830602744</c:v>
                </c:pt>
                <c:pt idx="115">
                  <c:v>-5.4608587086541274</c:v>
                </c:pt>
                <c:pt idx="116">
                  <c:v>-5.5841722125641802</c:v>
                </c:pt>
                <c:pt idx="117">
                  <c:v>-5.7102389900836057</c:v>
                </c:pt>
                <c:pt idx="118">
                  <c:v>-5.8391183532744169</c:v>
                </c:pt>
                <c:pt idx="119">
                  <c:v>-5.9708707425580005</c:v>
                </c:pt>
                <c:pt idx="120">
                  <c:v>-6.1055577376646033</c:v>
                </c:pt>
                <c:pt idx="121">
                  <c:v>-6.2432420678724956</c:v>
                </c:pt>
                <c:pt idx="122">
                  <c:v>-6.3839876214612685</c:v>
                </c:pt>
                <c:pt idx="123">
                  <c:v>-6.5278594542964283</c:v>
                </c:pt>
                <c:pt idx="124">
                  <c:v>-6.6749237974612488</c:v>
                </c:pt>
                <c:pt idx="125">
                  <c:v>-6.8252480638428796</c:v>
                </c:pt>
                <c:pt idx="126">
                  <c:v>-6.9789008535757731</c:v>
                </c:pt>
                <c:pt idx="127">
                  <c:v>-7.1359519582378974</c:v>
                </c:pt>
                <c:pt idx="128">
                  <c:v>-7.2964723636901523</c:v>
                </c:pt>
                <c:pt idx="129">
                  <c:v>-7.460534251441711</c:v>
                </c:pt>
                <c:pt idx="130">
                  <c:v>-7.6282109984185968</c:v>
                </c:pt>
                <c:pt idx="131">
                  <c:v>-7.7995771750018505</c:v>
                </c:pt>
                <c:pt idx="132">
                  <c:v>-7.9747085412001342</c:v>
                </c:pt>
                <c:pt idx="133">
                  <c:v>-8.1536820408067072</c:v>
                </c:pt>
                <c:pt idx="134">
                  <c:v>-8.3365757933893772</c:v>
                </c:pt>
                <c:pt idx="135">
                  <c:v>-8.5234690839492444</c:v>
                </c:pt>
                <c:pt idx="136">
                  <c:v>-8.7144423500753732</c:v>
                </c:pt>
                <c:pt idx="137">
                  <c:v>-8.909577166419691</c:v>
                </c:pt>
                <c:pt idx="138">
                  <c:v>-9.1089562262969466</c:v>
                </c:pt>
                <c:pt idx="139">
                  <c:v>-9.3126633202177391</c:v>
                </c:pt>
                <c:pt idx="140">
                  <c:v>-9.5207833111427149</c:v>
                </c:pt>
                <c:pt idx="141">
                  <c:v>-9.7334021062425613</c:v>
                </c:pt>
                <c:pt idx="142">
                  <c:v>-9.9506066249390042</c:v>
                </c:pt>
                <c:pt idx="143">
                  <c:v>-10.172484762989471</c:v>
                </c:pt>
                <c:pt idx="144">
                  <c:v>-10.399125352370797</c:v>
                </c:pt>
                <c:pt idx="145">
                  <c:v>-10.63061811671035</c:v>
                </c:pt>
                <c:pt idx="146">
                  <c:v>-10.867053621998236</c:v>
                </c:pt>
                <c:pt idx="147">
                  <c:v>-11.108523222312778</c:v>
                </c:pt>
                <c:pt idx="148">
                  <c:v>-11.355119000277012</c:v>
                </c:pt>
                <c:pt idx="149">
                  <c:v>-11.60693370196023</c:v>
                </c:pt>
                <c:pt idx="150">
                  <c:v>-11.864060665932012</c:v>
                </c:pt>
                <c:pt idx="151">
                  <c:v>-12.126593746165879</c:v>
                </c:pt>
                <c:pt idx="152">
                  <c:v>-12.394627228488559</c:v>
                </c:pt>
                <c:pt idx="153">
                  <c:v>-12.668255740267179</c:v>
                </c:pt>
                <c:pt idx="154">
                  <c:v>-12.947574153019504</c:v>
                </c:pt>
                <c:pt idx="155">
                  <c:v>-13.232677477637232</c:v>
                </c:pt>
                <c:pt idx="156">
                  <c:v>-13.52366075190686</c:v>
                </c:pt>
                <c:pt idx="157">
                  <c:v>-13.820618920021392</c:v>
                </c:pt>
                <c:pt idx="158">
                  <c:v>-14.123646703776279</c:v>
                </c:pt>
                <c:pt idx="159">
                  <c:v>-14.432838465150695</c:v>
                </c:pt>
                <c:pt idx="160">
                  <c:v>-14.748288059990303</c:v>
                </c:pt>
                <c:pt idx="161">
                  <c:v>-15.070088682513294</c:v>
                </c:pt>
                <c:pt idx="162">
                  <c:v>-15.398332700385437</c:v>
                </c:pt>
                <c:pt idx="163">
                  <c:v>-15.733111480124307</c:v>
                </c:pt>
                <c:pt idx="164">
                  <c:v>-16.074515202620084</c:v>
                </c:pt>
                <c:pt idx="165">
                  <c:v>-16.422632668592527</c:v>
                </c:pt>
                <c:pt idx="166">
                  <c:v>-16.777551093826254</c:v>
                </c:pt>
                <c:pt idx="167">
                  <c:v>-17.139355894080129</c:v>
                </c:pt>
                <c:pt idx="168">
                  <c:v>-17.508130459596764</c:v>
                </c:pt>
                <c:pt idx="169">
                  <c:v>-17.883955919196605</c:v>
                </c:pt>
                <c:pt idx="170">
                  <c:v>-18.266910893993224</c:v>
                </c:pt>
                <c:pt idx="171">
                  <c:v>-18.657071240827371</c:v>
                </c:pt>
                <c:pt idx="172">
                  <c:v>-19.054509785590234</c:v>
                </c:pt>
                <c:pt idx="173">
                  <c:v>-19.459296046674609</c:v>
                </c:pt>
                <c:pt idx="174">
                  <c:v>-19.871495948880877</c:v>
                </c:pt>
                <c:pt idx="175">
                  <c:v>-20.291171528191846</c:v>
                </c:pt>
                <c:pt idx="176">
                  <c:v>-20.718380627920276</c:v>
                </c:pt>
                <c:pt idx="177">
                  <c:v>-21.153176586847376</c:v>
                </c:pt>
                <c:pt idx="178">
                  <c:v>-21.595607920064214</c:v>
                </c:pt>
                <c:pt idx="179">
                  <c:v>-22.045717993358604</c:v>
                </c:pt>
                <c:pt idx="180">
                  <c:v>-22.503544692097535</c:v>
                </c:pt>
                <c:pt idx="181">
                  <c:v>-22.969120085689614</c:v>
                </c:pt>
                <c:pt idx="182">
                  <c:v>-23.442470088841574</c:v>
                </c:pt>
                <c:pt idx="183">
                  <c:v>-23.923614120948685</c:v>
                </c:pt>
                <c:pt idx="184">
                  <c:v>-24.412564765108112</c:v>
                </c:pt>
                <c:pt idx="185">
                  <c:v>-24.909327428371398</c:v>
                </c:pt>
                <c:pt idx="186">
                  <c:v>-25.413900004993781</c:v>
                </c:pt>
                <c:pt idx="187">
                  <c:v>-25.926272544567606</c:v>
                </c:pt>
                <c:pt idx="188">
                  <c:v>-26.446426927070874</c:v>
                </c:pt>
                <c:pt idx="189">
                  <c:v>-26.974336546967809</c:v>
                </c:pt>
                <c:pt idx="190">
                  <c:v>-27.509966008636734</c:v>
                </c:pt>
                <c:pt idx="191">
                  <c:v>-28.05327083548865</c:v>
                </c:pt>
                <c:pt idx="192">
                  <c:v>-28.604197195244911</c:v>
                </c:pt>
                <c:pt idx="193">
                  <c:v>-29.162681643922163</c:v>
                </c:pt>
                <c:pt idx="194">
                  <c:v>-29.728650891122705</c:v>
                </c:pt>
                <c:pt idx="195">
                  <c:v>-30.302021589282152</c:v>
                </c:pt>
                <c:pt idx="196">
                  <c:v>-30.882700149533399</c:v>
                </c:pt>
                <c:pt idx="197">
                  <c:v>-31.470582586843303</c:v>
                </c:pt>
                <c:pt idx="198">
                  <c:v>-32.065554397041623</c:v>
                </c:pt>
                <c:pt idx="199">
                  <c:v>-32.667490468292364</c:v>
                </c:pt>
                <c:pt idx="200">
                  <c:v>-33.276255029470633</c:v>
                </c:pt>
                <c:pt idx="201">
                  <c:v>-33.891701637757706</c:v>
                </c:pt>
                <c:pt idx="202">
                  <c:v>-34.51367320763346</c:v>
                </c:pt>
                <c:pt idx="203">
                  <c:v>-35.14200208320775</c:v>
                </c:pt>
                <c:pt idx="204">
                  <c:v>-35.776510155640374</c:v>
                </c:pt>
                <c:pt idx="205">
                  <c:v>-36.41700902709163</c:v>
                </c:pt>
                <c:pt idx="206">
                  <c:v>-37.063300222381663</c:v>
                </c:pt>
                <c:pt idx="207">
                  <c:v>-37.71517544917706</c:v>
                </c:pt>
                <c:pt idx="208">
                  <c:v>-38.37241690718264</c:v>
                </c:pt>
                <c:pt idx="209">
                  <c:v>-39.034797646431535</c:v>
                </c:pt>
                <c:pt idx="210">
                  <c:v>-39.702081974348992</c:v>
                </c:pt>
                <c:pt idx="211">
                  <c:v>-40.374025910864034</c:v>
                </c:pt>
                <c:pt idx="212">
                  <c:v>-41.050377690402321</c:v>
                </c:pt>
                <c:pt idx="213">
                  <c:v>-41.73087830915405</c:v>
                </c:pt>
                <c:pt idx="214">
                  <c:v>-42.415262115589627</c:v>
                </c:pt>
                <c:pt idx="215">
                  <c:v>-43.103257441750372</c:v>
                </c:pt>
                <c:pt idx="216">
                  <c:v>-43.794587272445796</c:v>
                </c:pt>
                <c:pt idx="217">
                  <c:v>-44.48896994907885</c:v>
                </c:pt>
                <c:pt idx="218">
                  <c:v>-45.186119904467091</c:v>
                </c:pt>
                <c:pt idx="219">
                  <c:v>-45.88574842468735</c:v>
                </c:pt>
                <c:pt idx="220">
                  <c:v>-46.587564433672334</c:v>
                </c:pt>
                <c:pt idx="221">
                  <c:v>-47.291275296053271</c:v>
                </c:pt>
                <c:pt idx="222">
                  <c:v>-47.996587633509158</c:v>
                </c:pt>
                <c:pt idx="223">
                  <c:v>-48.703208149769651</c:v>
                </c:pt>
                <c:pt idx="224">
                  <c:v>-49.410844459285201</c:v>
                </c:pt>
                <c:pt idx="225">
                  <c:v>-50.119205914562933</c:v>
                </c:pt>
                <c:pt idx="226">
                  <c:v>-50.828004427173752</c:v>
                </c:pt>
                <c:pt idx="227">
                  <c:v>-51.536955277501846</c:v>
                </c:pt>
                <c:pt idx="228">
                  <c:v>-52.245777908456944</c:v>
                </c:pt>
                <c:pt idx="229">
                  <c:v>-52.954196698524306</c:v>
                </c:pt>
                <c:pt idx="230">
                  <c:v>-53.661941709778652</c:v>
                </c:pt>
                <c:pt idx="231">
                  <c:v>-54.36874940676492</c:v>
                </c:pt>
                <c:pt idx="232">
                  <c:v>-55.074363342442609</c:v>
                </c:pt>
                <c:pt idx="233">
                  <c:v>-55.778534807778918</c:v>
                </c:pt>
                <c:pt idx="234">
                  <c:v>-56.481023441928151</c:v>
                </c:pt>
                <c:pt idx="235">
                  <c:v>-57.181597800350396</c:v>
                </c:pt>
                <c:pt idx="236">
                  <c:v>-57.880035878649984</c:v>
                </c:pt>
                <c:pt idx="237">
                  <c:v>-58.576125590334733</c:v>
                </c:pt>
                <c:pt idx="238">
                  <c:v>-59.269665197133143</c:v>
                </c:pt>
                <c:pt idx="239">
                  <c:v>-59.960463690947158</c:v>
                </c:pt>
                <c:pt idx="240">
                  <c:v>-60.648341126932294</c:v>
                </c:pt>
                <c:pt idx="241">
                  <c:v>-61.333128907599615</c:v>
                </c:pt>
                <c:pt idx="242">
                  <c:v>-62.014670018247848</c:v>
                </c:pt>
                <c:pt idx="243">
                  <c:v>-62.692819214369429</c:v>
                </c:pt>
                <c:pt idx="244">
                  <c:v>-63.367443162042484</c:v>
                </c:pt>
                <c:pt idx="245">
                  <c:v>-64.038420532602842</c:v>
                </c:pt>
                <c:pt idx="246">
                  <c:v>-64.705642053198488</c:v>
                </c:pt>
                <c:pt idx="247">
                  <c:v>-65.369010515046881</c:v>
                </c:pt>
                <c:pt idx="248">
                  <c:v>-66.028440741437521</c:v>
                </c:pt>
                <c:pt idx="249">
                  <c:v>-66.683859517699958</c:v>
                </c:pt>
                <c:pt idx="250">
                  <c:v>-67.335205485491571</c:v>
                </c:pt>
                <c:pt idx="251">
                  <c:v>-67.98242900386316</c:v>
                </c:pt>
                <c:pt idx="252">
                  <c:v>-68.625491979651542</c:v>
                </c:pt>
                <c:pt idx="253">
                  <c:v>-69.264367669770195</c:v>
                </c:pt>
                <c:pt idx="254">
                  <c:v>-69.899040457999078</c:v>
                </c:pt>
                <c:pt idx="255">
                  <c:v>-70.529505608858543</c:v>
                </c:pt>
                <c:pt idx="256">
                  <c:v>-71.155769001114408</c:v>
                </c:pt>
                <c:pt idx="257">
                  <c:v>-71.777846843405726</c:v>
                </c:pt>
                <c:pt idx="258">
                  <c:v>-72.395765374407475</c:v>
                </c:pt>
                <c:pt idx="259">
                  <c:v>-73.009560549848473</c:v>
                </c:pt>
                <c:pt idx="260">
                  <c:v>-73.619277718602831</c:v>
                </c:pt>
                <c:pt idx="261">
                  <c:v>-74.224971289934942</c:v>
                </c:pt>
                <c:pt idx="262">
                  <c:v>-74.826704393877733</c:v>
                </c:pt>
                <c:pt idx="263">
                  <c:v>-75.424548536563648</c:v>
                </c:pt>
                <c:pt idx="264">
                  <c:v>-76.018583252198638</c:v>
                </c:pt>
                <c:pt idx="265">
                  <c:v>-76.608895753229433</c:v>
                </c:pt>
                <c:pt idx="266">
                  <c:v>-77.195580580097996</c:v>
                </c:pt>
                <c:pt idx="267">
                  <c:v>-77.778739251845693</c:v>
                </c:pt>
                <c:pt idx="268">
                  <c:v>-78.358479918676849</c:v>
                </c:pt>
                <c:pt idx="269">
                  <c:v>-78.934917017455348</c:v>
                </c:pt>
                <c:pt idx="270">
                  <c:v>-79.508170930974671</c:v>
                </c:pt>
                <c:pt idx="271">
                  <c:v>-80.078367651703758</c:v>
                </c:pt>
                <c:pt idx="272">
                  <c:v>-80.645638450589487</c:v>
                </c:pt>
                <c:pt idx="273">
                  <c:v>-81.210119551373751</c:v>
                </c:pt>
                <c:pt idx="274">
                  <c:v>-81.771951810772663</c:v>
                </c:pt>
                <c:pt idx="275">
                  <c:v>-82.331280404750515</c:v>
                </c:pt>
                <c:pt idx="276">
                  <c:v>-82.888254521029978</c:v>
                </c:pt>
                <c:pt idx="277">
                  <c:v>-83.443027057876265</c:v>
                </c:pt>
                <c:pt idx="278">
                  <c:v>-83.995754329113751</c:v>
                </c:pt>
                <c:pt idx="279">
                  <c:v>-84.546595775249273</c:v>
                </c:pt>
                <c:pt idx="280">
                  <c:v>-85.095713680501191</c:v>
                </c:pt>
                <c:pt idx="281">
                  <c:v>-85.643272895473743</c:v>
                </c:pt>
                <c:pt idx="282">
                  <c:v>-86.189440565145603</c:v>
                </c:pt>
                <c:pt idx="283">
                  <c:v>-86.734385861795246</c:v>
                </c:pt>
                <c:pt idx="284">
                  <c:v>-87.278279722436523</c:v>
                </c:pt>
                <c:pt idx="285">
                  <c:v>-87.821294590291245</c:v>
                </c:pt>
                <c:pt idx="286">
                  <c:v>-88.36360415979486</c:v>
                </c:pt>
                <c:pt idx="287">
                  <c:v>-88.905383124596312</c:v>
                </c:pt>
                <c:pt idx="288">
                  <c:v>-89.44680692798967</c:v>
                </c:pt>
                <c:pt idx="289">
                  <c:v>-89.988051515198464</c:v>
                </c:pt>
                <c:pt idx="290">
                  <c:v>-90.529293086905682</c:v>
                </c:pt>
                <c:pt idx="291">
                  <c:v>-91.070707853433277</c:v>
                </c:pt>
                <c:pt idx="292">
                  <c:v>-91.612471788949676</c:v>
                </c:pt>
                <c:pt idx="293">
                  <c:v>-92.154760385093596</c:v>
                </c:pt>
                <c:pt idx="294">
                  <c:v>-92.697748403412007</c:v>
                </c:pt>
                <c:pt idx="295">
                  <c:v>-93.241609626006465</c:v>
                </c:pt>
                <c:pt idx="296">
                  <c:v>-93.786516603809162</c:v>
                </c:pt>
                <c:pt idx="297">
                  <c:v>-94.332640401925232</c:v>
                </c:pt>
                <c:pt idx="298">
                  <c:v>-94.880150341500268</c:v>
                </c:pt>
                <c:pt idx="299">
                  <c:v>-95.42921373761321</c:v>
                </c:pt>
                <c:pt idx="300">
                  <c:v>-95.979995632714477</c:v>
                </c:pt>
                <c:pt idx="301">
                  <c:v>-96.532658525186008</c:v>
                </c:pt>
                <c:pt idx="302">
                  <c:v>-97.087362092646813</c:v>
                </c:pt>
                <c:pt idx="303">
                  <c:v>-97.644262909661705</c:v>
                </c:pt>
                <c:pt idx="304">
                  <c:v>-98.20351415960809</c:v>
                </c:pt>
                <c:pt idx="305">
                  <c:v>-98.765265340479303</c:v>
                </c:pt>
                <c:pt idx="306">
                  <c:v>-99.3296619645172</c:v>
                </c:pt>
                <c:pt idx="307">
                  <c:v>-99.896845251610941</c:v>
                </c:pt>
                <c:pt idx="308">
                  <c:v>-100.46695181651734</c:v>
                </c:pt>
                <c:pt idx="309">
                  <c:v>-101.04011335002532</c:v>
                </c:pt>
                <c:pt idx="310">
                  <c:v>-101.61645629430865</c:v>
                </c:pt>
                <c:pt idx="311">
                  <c:v>-102.19610151280447</c:v>
                </c:pt>
                <c:pt idx="312">
                  <c:v>-102.77916395507825</c:v>
                </c:pt>
                <c:pt idx="313">
                  <c:v>-103.36575231724869</c:v>
                </c:pt>
                <c:pt idx="314">
                  <c:v>-103.95596869868149</c:v>
                </c:pt>
                <c:pt idx="315">
                  <c:v>-104.54990825578247</c:v>
                </c:pt>
                <c:pt idx="316">
                  <c:v>-105.14765885386602</c:v>
                </c:pt>
                <c:pt idx="317">
                  <c:v>-105.74930071820901</c:v>
                </c:pt>
                <c:pt idx="318">
                  <c:v>-106.35490608554531</c:v>
                </c:pt>
                <c:pt idx="319">
                  <c:v>-106.96453885740208</c:v>
                </c:pt>
                <c:pt idx="320">
                  <c:v>-107.5782542568231</c:v>
                </c:pt>
                <c:pt idx="321">
                  <c:v>-108.19609849016832</c:v>
                </c:pt>
                <c:pt idx="322">
                  <c:v>-108.81810841581807</c:v>
                </c:pt>
                <c:pt idx="323">
                  <c:v>-109.44431122175359</c:v>
                </c:pt>
                <c:pt idx="324">
                  <c:v>-110.07472411410433</c:v>
                </c:pt>
                <c:pt idx="325">
                  <c:v>-110.70935401888278</c:v>
                </c:pt>
                <c:pt idx="326">
                  <c:v>-111.3481972992317</c:v>
                </c:pt>
                <c:pt idx="327">
                  <c:v>-111.99123949060115</c:v>
                </c:pt>
                <c:pt idx="328">
                  <c:v>-112.63845505636034</c:v>
                </c:pt>
                <c:pt idx="329">
                  <c:v>-113.28980716639913</c:v>
                </c:pt>
                <c:pt idx="330">
                  <c:v>-113.94524750131689</c:v>
                </c:pt>
                <c:pt idx="331">
                  <c:v>-114.60471608481234</c:v>
                </c:pt>
                <c:pt idx="332">
                  <c:v>-115.26814114687024</c:v>
                </c:pt>
                <c:pt idx="333">
                  <c:v>-115.93543902030375</c:v>
                </c:pt>
                <c:pt idx="334">
                  <c:v>-116.60651407313925</c:v>
                </c:pt>
                <c:pt idx="335">
                  <c:v>-117.28125867922554</c:v>
                </c:pt>
                <c:pt idx="336">
                  <c:v>-117.9595532293084</c:v>
                </c:pt>
                <c:pt idx="337">
                  <c:v>-118.64126618465092</c:v>
                </c:pt>
                <c:pt idx="338">
                  <c:v>-119.32625417505601</c:v>
                </c:pt>
                <c:pt idx="339">
                  <c:v>-120.01436214292335</c:v>
                </c:pt>
                <c:pt idx="340">
                  <c:v>-120.70542353468869</c:v>
                </c:pt>
                <c:pt idx="341">
                  <c:v>-121.39926054069191</c:v>
                </c:pt>
                <c:pt idx="342">
                  <c:v>-122.09568438417561</c:v>
                </c:pt>
                <c:pt idx="343">
                  <c:v>-122.79449565977012</c:v>
                </c:pt>
                <c:pt idx="344">
                  <c:v>-123.49548472141264</c:v>
                </c:pt>
                <c:pt idx="345">
                  <c:v>-124.19843211926204</c:v>
                </c:pt>
                <c:pt idx="346">
                  <c:v>-124.90310908473941</c:v>
                </c:pt>
                <c:pt idx="347">
                  <c:v>-125.60927806240245</c:v>
                </c:pt>
                <c:pt idx="348">
                  <c:v>-126.31669328692691</c:v>
                </c:pt>
                <c:pt idx="349">
                  <c:v>-127.02510140304598</c:v>
                </c:pt>
                <c:pt idx="350">
                  <c:v>-127.73424212587103</c:v>
                </c:pt>
                <c:pt idx="351">
                  <c:v>-128.44384893862943</c:v>
                </c:pt>
                <c:pt idx="352">
                  <c:v>-129.15364982446334</c:v>
                </c:pt>
                <c:pt idx="353">
                  <c:v>-129.86336802859094</c:v>
                </c:pt>
                <c:pt idx="354">
                  <c:v>-130.57272284681861</c:v>
                </c:pt>
                <c:pt idx="355">
                  <c:v>-131.28143043611377</c:v>
                </c:pt>
                <c:pt idx="356">
                  <c:v>-131.98920464272743</c:v>
                </c:pt>
                <c:pt idx="357">
                  <c:v>-132.69575784317232</c:v>
                </c:pt>
                <c:pt idx="358">
                  <c:v>-133.4008017932436</c:v>
                </c:pt>
                <c:pt idx="359">
                  <c:v>-134.10404848019672</c:v>
                </c:pt>
                <c:pt idx="360">
                  <c:v>-134.80521097319132</c:v>
                </c:pt>
                <c:pt idx="361">
                  <c:v>-135.50400426714788</c:v>
                </c:pt>
                <c:pt idx="362">
                  <c:v>-136.20014611528373</c:v>
                </c:pt>
                <c:pt idx="363">
                  <c:v>-136.89335784573427</c:v>
                </c:pt>
                <c:pt idx="364">
                  <c:v>-137.58336515789509</c:v>
                </c:pt>
                <c:pt idx="365">
                  <c:v>-138.26989889437496</c:v>
                </c:pt>
                <c:pt idx="366">
                  <c:v>-138.95269578474901</c:v>
                </c:pt>
                <c:pt idx="367">
                  <c:v>-139.63149915766962</c:v>
                </c:pt>
                <c:pt idx="368">
                  <c:v>-140.30605961824173</c:v>
                </c:pt>
                <c:pt idx="369">
                  <c:v>-140.97613568801361</c:v>
                </c:pt>
                <c:pt idx="370">
                  <c:v>-141.64149440533456</c:v>
                </c:pt>
                <c:pt idx="371">
                  <c:v>-142.30191188430084</c:v>
                </c:pt>
                <c:pt idx="372">
                  <c:v>-142.9571738309547</c:v>
                </c:pt>
                <c:pt idx="373">
                  <c:v>-143.60707601586543</c:v>
                </c:pt>
                <c:pt idx="374">
                  <c:v>-144.25142470267954</c:v>
                </c:pt>
                <c:pt idx="375">
                  <c:v>-144.89003703267036</c:v>
                </c:pt>
                <c:pt idx="376">
                  <c:v>-145.52274136576392</c:v>
                </c:pt>
                <c:pt idx="377">
                  <c:v>-146.14937757891849</c:v>
                </c:pt>
                <c:pt idx="378">
                  <c:v>-146.76979732314828</c:v>
                </c:pt>
                <c:pt idx="379">
                  <c:v>-147.3838642408449</c:v>
                </c:pt>
                <c:pt idx="380">
                  <c:v>-147.99145414539416</c:v>
                </c:pt>
                <c:pt idx="381">
                  <c:v>-148.59245516540673</c:v>
                </c:pt>
                <c:pt idx="382">
                  <c:v>-149.18676785616481</c:v>
                </c:pt>
                <c:pt idx="383">
                  <c:v>-149.77430528114874</c:v>
                </c:pt>
                <c:pt idx="384">
                  <c:v>-150.35499306672764</c:v>
                </c:pt>
                <c:pt idx="385">
                  <c:v>-150.92876943331129</c:v>
                </c:pt>
                <c:pt idx="386">
                  <c:v>-151.49558520642063</c:v>
                </c:pt>
                <c:pt idx="387">
                  <c:v>-152.05540381129526</c:v>
                </c:pt>
                <c:pt idx="388">
                  <c:v>-152.60820125478017</c:v>
                </c:pt>
                <c:pt idx="389">
                  <c:v>-153.15396609833761</c:v>
                </c:pt>
                <c:pt idx="390">
                  <c:v>-153.69269942614133</c:v>
                </c:pt>
                <c:pt idx="391">
                  <c:v>-154.22441481226775</c:v>
                </c:pt>
                <c:pt idx="392">
                  <c:v>-154.74913829109974</c:v>
                </c:pt>
                <c:pt idx="393">
                  <c:v>-155.26690833510588</c:v>
                </c:pt>
                <c:pt idx="394">
                  <c:v>-155.77777584424925</c:v>
                </c:pt>
                <c:pt idx="395">
                  <c:v>-156.2818041513369</c:v>
                </c:pt>
                <c:pt idx="396">
                  <c:v>-156.77906904772385</c:v>
                </c:pt>
                <c:pt idx="397">
                  <c:v>-157.26965883386998</c:v>
                </c:pt>
                <c:pt idx="398">
                  <c:v>-157.7536743993806</c:v>
                </c:pt>
                <c:pt idx="399">
                  <c:v>-158.23122933728746</c:v>
                </c:pt>
                <c:pt idx="400">
                  <c:v>-158.70245009751716</c:v>
                </c:pt>
                <c:pt idx="401">
                  <c:v>-159.16747618468355</c:v>
                </c:pt>
                <c:pt idx="402">
                  <c:v>-159.62646040560543</c:v>
                </c:pt>
                <c:pt idx="403">
                  <c:v>-160.07956917223149</c:v>
                </c:pt>
                <c:pt idx="404">
                  <c:v>-160.52698286601586</c:v>
                </c:pt>
                <c:pt idx="405">
                  <c:v>-160.96889627019607</c:v>
                </c:pt>
                <c:pt idx="406">
                  <c:v>-161.40551907690852</c:v>
                </c:pt>
                <c:pt idx="407">
                  <c:v>-161.83707647664318</c:v>
                </c:pt>
                <c:pt idx="408">
                  <c:v>-162.26380983819033</c:v>
                </c:pt>
                <c:pt idx="409">
                  <c:v>-162.68597748799516</c:v>
                </c:pt>
                <c:pt idx="410">
                  <c:v>-163.1038555987063</c:v>
                </c:pt>
                <c:pt idx="411">
                  <c:v>-163.5177391977108</c:v>
                </c:pt>
                <c:pt idx="412">
                  <c:v>-163.92794330760918</c:v>
                </c:pt>
                <c:pt idx="413">
                  <c:v>-164.33480423190403</c:v>
                </c:pt>
                <c:pt idx="414">
                  <c:v>-164.73868100069777</c:v>
                </c:pt>
                <c:pt idx="415">
                  <c:v>-165.1399569929379</c:v>
                </c:pt>
                <c:pt idx="416">
                  <c:v>-165.53904175373196</c:v>
                </c:pt>
                <c:pt idx="417">
                  <c:v>-165.93637302753953</c:v>
                </c:pt>
                <c:pt idx="418">
                  <c:v>-166.33241903064507</c:v>
                </c:pt>
                <c:pt idx="419">
                  <c:v>-166.72768098930305</c:v>
                </c:pt>
                <c:pt idx="420">
                  <c:v>-167.12269597335285</c:v>
                </c:pt>
                <c:pt idx="421">
                  <c:v>-167.51804005900058</c:v>
                </c:pt>
                <c:pt idx="422">
                  <c:v>-167.91433185893234</c:v>
                </c:pt>
                <c:pt idx="423">
                  <c:v>-168.31223646303738</c:v>
                </c:pt>
                <c:pt idx="424">
                  <c:v>-168.71246983886812</c:v>
                </c:pt>
                <c:pt idx="425">
                  <c:v>-169.1158037476666</c:v>
                </c:pt>
                <c:pt idx="426">
                  <c:v>-169.52307123945474</c:v>
                </c:pt>
                <c:pt idx="427">
                  <c:v>-169.93517279945655</c:v>
                </c:pt>
                <c:pt idx="428">
                  <c:v>-170.35308322814927</c:v>
                </c:pt>
                <c:pt idx="429">
                  <c:v>-170.7778593486762</c:v>
                </c:pt>
                <c:pt idx="430">
                  <c:v>-171.21064864840116</c:v>
                </c:pt>
                <c:pt idx="431">
                  <c:v>-171.65269897617625</c:v>
                </c:pt>
                <c:pt idx="432">
                  <c:v>-172.10536943368243</c:v>
                </c:pt>
                <c:pt idx="433">
                  <c:v>-172.57014261804463</c:v>
                </c:pt>
                <c:pt idx="434">
                  <c:v>-173.04863839407651</c:v>
                </c:pt>
                <c:pt idx="435">
                  <c:v>-173.54262939787088</c:v>
                </c:pt>
                <c:pt idx="436">
                  <c:v>-174.05405849906995</c:v>
                </c:pt>
                <c:pt idx="437">
                  <c:v>-174.58505847662673</c:v>
                </c:pt>
                <c:pt idx="438">
                  <c:v>-175.13797419165155</c:v>
                </c:pt>
                <c:pt idx="439">
                  <c:v>-175.71538756981917</c:v>
                </c:pt>
                <c:pt idx="440">
                  <c:v>-176.32014573294853</c:v>
                </c:pt>
                <c:pt idx="441">
                  <c:v>-176.95539264164302</c:v>
                </c:pt>
                <c:pt idx="442">
                  <c:v>-177.62460462360912</c:v>
                </c:pt>
                <c:pt idx="443">
                  <c:v>-178.33163015823141</c:v>
                </c:pt>
                <c:pt idx="444">
                  <c:v>-179.08073425642988</c:v>
                </c:pt>
                <c:pt idx="445">
                  <c:v>-179.87664769998193</c:v>
                </c:pt>
                <c:pt idx="446">
                  <c:v>-180.72462126329881</c:v>
                </c:pt>
                <c:pt idx="447">
                  <c:v>-181.63048480008538</c:v>
                </c:pt>
                <c:pt idx="448">
                  <c:v>-182.60071069043263</c:v>
                </c:pt>
                <c:pt idx="449">
                  <c:v>-183.64248054510728</c:v>
                </c:pt>
                <c:pt idx="450">
                  <c:v>-184.76375316303699</c:v>
                </c:pt>
                <c:pt idx="451">
                  <c:v>-185.97333041448425</c:v>
                </c:pt>
                <c:pt idx="452">
                  <c:v>-187.28091581964952</c:v>
                </c:pt>
                <c:pt idx="453">
                  <c:v>-188.69715791732614</c:v>
                </c:pt>
                <c:pt idx="454">
                  <c:v>-190.23366685111654</c:v>
                </c:pt>
                <c:pt idx="455">
                  <c:v>-191.90298772813321</c:v>
                </c:pt>
                <c:pt idx="456">
                  <c:v>-193.71850809436518</c:v>
                </c:pt>
                <c:pt idx="457">
                  <c:v>-195.69426941635859</c:v>
                </c:pt>
                <c:pt idx="458">
                  <c:v>-197.844644336931</c:v>
                </c:pt>
                <c:pt idx="459">
                  <c:v>-200.18383413929641</c:v>
                </c:pt>
                <c:pt idx="460">
                  <c:v>-202.7251371772816</c:v>
                </c:pt>
                <c:pt idx="461">
                  <c:v>-205.47994383410224</c:v>
                </c:pt>
                <c:pt idx="462">
                  <c:v>-208.45643382860166</c:v>
                </c:pt>
                <c:pt idx="463">
                  <c:v>-211.65799560379475</c:v>
                </c:pt>
                <c:pt idx="464">
                  <c:v>-215.08146146484663</c:v>
                </c:pt>
                <c:pt idx="465">
                  <c:v>-218.71535445272912</c:v>
                </c:pt>
                <c:pt idx="466">
                  <c:v>-222.53845566079448</c:v>
                </c:pt>
                <c:pt idx="467">
                  <c:v>-226.51908346086739</c:v>
                </c:pt>
                <c:pt idx="468">
                  <c:v>-230.61547135229452</c:v>
                </c:pt>
                <c:pt idx="469">
                  <c:v>-234.77748876765958</c:v>
                </c:pt>
                <c:pt idx="470">
                  <c:v>-238.94966642584336</c:v>
                </c:pt>
                <c:pt idx="471">
                  <c:v>-243.07513910195559</c:v>
                </c:pt>
                <c:pt idx="472">
                  <c:v>-247.09983996409363</c:v>
                </c:pt>
                <c:pt idx="473">
                  <c:v>-250.9762000001804</c:v>
                </c:pt>
                <c:pt idx="474">
                  <c:v>-254.66576298734918</c:v>
                </c:pt>
                <c:pt idx="475">
                  <c:v>-258.14044506248956</c:v>
                </c:pt>
                <c:pt idx="476">
                  <c:v>-261.3825076903567</c:v>
                </c:pt>
                <c:pt idx="477">
                  <c:v>-264.38355286643866</c:v>
                </c:pt>
                <c:pt idx="478">
                  <c:v>-267.14294225373482</c:v>
                </c:pt>
                <c:pt idx="479">
                  <c:v>-269.66601077225215</c:v>
                </c:pt>
                <c:pt idx="480">
                  <c:v>-271.96234653358465</c:v>
                </c:pt>
                <c:pt idx="481">
                  <c:v>-274.04429643120716</c:v>
                </c:pt>
                <c:pt idx="482">
                  <c:v>-275.92576285188159</c:v>
                </c:pt>
                <c:pt idx="483">
                  <c:v>-277.62129344942883</c:v>
                </c:pt>
                <c:pt idx="484">
                  <c:v>-279.14543080879605</c:v>
                </c:pt>
                <c:pt idx="485">
                  <c:v>-280.51227462653384</c:v>
                </c:pt>
                <c:pt idx="486">
                  <c:v>-281.7352077376616</c:v>
                </c:pt>
                <c:pt idx="487">
                  <c:v>-282.82674264847481</c:v>
                </c:pt>
                <c:pt idx="488">
                  <c:v>-283.79845306930474</c:v>
                </c:pt>
                <c:pt idx="489">
                  <c:v>-284.66096294897289</c:v>
                </c:pt>
                <c:pt idx="490">
                  <c:v>-285.42397258532969</c:v>
                </c:pt>
                <c:pt idx="491">
                  <c:v>-286.09630714520961</c:v>
                </c:pt>
                <c:pt idx="492">
                  <c:v>-286.68597737612697</c:v>
                </c:pt>
                <c:pt idx="493">
                  <c:v>-287.20024560265375</c:v>
                </c:pt>
                <c:pt idx="494">
                  <c:v>-287.64569249408976</c:v>
                </c:pt>
                <c:pt idx="495">
                  <c:v>-288.02828177954154</c:v>
                </c:pt>
                <c:pt idx="496">
                  <c:v>-288.35342125326611</c:v>
                </c:pt>
                <c:pt idx="497">
                  <c:v>-288.62601920124138</c:v>
                </c:pt>
                <c:pt idx="498">
                  <c:v>-288.85053589917618</c:v>
                </c:pt>
                <c:pt idx="499">
                  <c:v>-289.03103016386086</c:v>
                </c:pt>
                <c:pt idx="500">
                  <c:v>-288.9043548410466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141-4D19-9DBC-690DDB1D00CA}"/>
            </c:ext>
          </c:extLst>
        </c:ser>
        <c:ser>
          <c:idx val="5"/>
          <c:order val="3"/>
          <c:tx>
            <c:strRef>
              <c:f>'Small Signal'!$AG$3</c:f>
              <c:strCache>
                <c:ptCount val="1"/>
                <c:pt idx="0">
                  <c:v>Total Phase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xVal>
            <c:numRef>
              <c:f>'Small Signal'!$Q$4:$Q$504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Signal'!$AG$4:$AG$504</c:f>
              <c:numCache>
                <c:formatCode>General</c:formatCode>
                <c:ptCount val="501"/>
                <c:pt idx="0">
                  <c:v>93.040915256142753</c:v>
                </c:pt>
                <c:pt idx="1">
                  <c:v>92.986058350085258</c:v>
                </c:pt>
                <c:pt idx="2">
                  <c:v>92.932698382131775</c:v>
                </c:pt>
                <c:pt idx="3">
                  <c:v>92.880808970637474</c:v>
                </c:pt>
                <c:pt idx="4">
                  <c:v>92.830364440669911</c:v>
                </c:pt>
                <c:pt idx="5">
                  <c:v>92.781339813220072</c:v>
                </c:pt>
                <c:pt idx="6">
                  <c:v>92.733710794619896</c:v>
                </c:pt>
                <c:pt idx="7">
                  <c:v>92.687453766169781</c:v>
                </c:pt>
                <c:pt idx="8">
                  <c:v>92.64254577397918</c:v>
                </c:pt>
                <c:pt idx="9">
                  <c:v>92.59896451902263</c:v>
                </c:pt>
                <c:pt idx="10">
                  <c:v>92.556688347414052</c:v>
                </c:pt>
                <c:pt idx="11">
                  <c:v>92.515696240900056</c:v>
                </c:pt>
                <c:pt idx="12">
                  <c:v>92.475967807574762</c:v>
                </c:pt>
                <c:pt idx="13">
                  <c:v>92.437483272816493</c:v>
                </c:pt>
                <c:pt idx="14">
                  <c:v>92.400223470447557</c:v>
                </c:pt>
                <c:pt idx="15">
                  <c:v>92.364169834117561</c:v>
                </c:pt>
                <c:pt idx="16">
                  <c:v>92.329304388910472</c:v>
                </c:pt>
                <c:pt idx="17">
                  <c:v>92.295609743175618</c:v>
                </c:pt>
                <c:pt idx="18">
                  <c:v>92.263069080582525</c:v>
                </c:pt>
                <c:pt idx="19">
                  <c:v>92.231666152398788</c:v>
                </c:pt>
                <c:pt idx="20">
                  <c:v>92.201385269991235</c:v>
                </c:pt>
                <c:pt idx="21">
                  <c:v>92.172211297549012</c:v>
                </c:pt>
                <c:pt idx="22">
                  <c:v>92.14412964502786</c:v>
                </c:pt>
                <c:pt idx="23">
                  <c:v>92.117126261314965</c:v>
                </c:pt>
                <c:pt idx="24">
                  <c:v>92.091187627612783</c:v>
                </c:pt>
                <c:pt idx="25">
                  <c:v>92.066300751040856</c:v>
                </c:pt>
                <c:pt idx="26">
                  <c:v>92.042453158454194</c:v>
                </c:pt>
                <c:pt idx="27">
                  <c:v>92.019632890476728</c:v>
                </c:pt>
                <c:pt idx="28">
                  <c:v>91.997828495748308</c:v>
                </c:pt>
                <c:pt idx="29">
                  <c:v>91.977029025383487</c:v>
                </c:pt>
                <c:pt idx="30">
                  <c:v>91.957224027640422</c:v>
                </c:pt>
                <c:pt idx="31">
                  <c:v>91.938403542798028</c:v>
                </c:pt>
                <c:pt idx="32">
                  <c:v>91.920558098239482</c:v>
                </c:pt>
                <c:pt idx="33">
                  <c:v>91.903678703739956</c:v>
                </c:pt>
                <c:pt idx="34">
                  <c:v>91.887756846956492</c:v>
                </c:pt>
                <c:pt idx="35">
                  <c:v>91.872784489118146</c:v>
                </c:pt>
                <c:pt idx="36">
                  <c:v>91.858754060913753</c:v>
                </c:pt>
                <c:pt idx="37">
                  <c:v>91.845658458574931</c:v>
                </c:pt>
                <c:pt idx="38">
                  <c:v>91.833491040152694</c:v>
                </c:pt>
                <c:pt idx="39">
                  <c:v>91.822245621983782</c:v>
                </c:pt>
                <c:pt idx="40">
                  <c:v>91.811916475345626</c:v>
                </c:pt>
                <c:pt idx="41">
                  <c:v>91.802498323295907</c:v>
                </c:pt>
                <c:pt idx="42">
                  <c:v>91.793986337695046</c:v>
                </c:pt>
                <c:pt idx="43">
                  <c:v>91.786376136407696</c:v>
                </c:pt>
                <c:pt idx="44">
                  <c:v>91.779663780680991</c:v>
                </c:pt>
                <c:pt idx="45">
                  <c:v>91.773845772695921</c:v>
                </c:pt>
                <c:pt idx="46">
                  <c:v>91.76891905328884</c:v>
                </c:pt>
                <c:pt idx="47">
                  <c:v>91.764880999839434</c:v>
                </c:pt>
                <c:pt idx="48">
                  <c:v>91.76172942432153</c:v>
                </c:pt>
                <c:pt idx="49">
                  <c:v>91.759462571513538</c:v>
                </c:pt>
                <c:pt idx="50">
                  <c:v>91.758079117363621</c:v>
                </c:pt>
                <c:pt idx="51">
                  <c:v>91.757578167506352</c:v>
                </c:pt>
                <c:pt idx="52">
                  <c:v>91.757959255925869</c:v>
                </c:pt>
                <c:pt idx="53">
                  <c:v>91.759222343761465</c:v>
                </c:pt>
                <c:pt idx="54">
                  <c:v>91.76136781825015</c:v>
                </c:pt>
                <c:pt idx="55">
                  <c:v>91.764396491801776</c:v>
                </c:pt>
                <c:pt idx="56">
                  <c:v>91.768309601200698</c:v>
                </c:pt>
                <c:pt idx="57">
                  <c:v>91.773108806928633</c:v>
                </c:pt>
                <c:pt idx="58">
                  <c:v>91.778796192602499</c:v>
                </c:pt>
                <c:pt idx="59">
                  <c:v>91.785374264520911</c:v>
                </c:pt>
                <c:pt idx="60">
                  <c:v>91.792845951312373</c:v>
                </c:pt>
                <c:pt idx="61">
                  <c:v>91.801214603677948</c:v>
                </c:pt>
                <c:pt idx="62">
                  <c:v>91.810483994220874</c:v>
                </c:pt>
                <c:pt idx="63">
                  <c:v>91.820658317354685</c:v>
                </c:pt>
                <c:pt idx="64">
                  <c:v>91.831742189281144</c:v>
                </c:pt>
                <c:pt idx="65">
                  <c:v>91.843740648028884</c:v>
                </c:pt>
                <c:pt idx="66">
                  <c:v>91.856659153542452</c:v>
                </c:pt>
                <c:pt idx="67">
                  <c:v>91.870503587811839</c:v>
                </c:pt>
                <c:pt idx="68">
                  <c:v>91.885280255030125</c:v>
                </c:pt>
                <c:pt idx="69">
                  <c:v>91.900995881768566</c:v>
                </c:pt>
                <c:pt idx="70">
                  <c:v>91.917657617155115</c:v>
                </c:pt>
                <c:pt idx="71">
                  <c:v>91.935273033043345</c:v>
                </c:pt>
                <c:pt idx="72">
                  <c:v>91.95385012415683</c:v>
                </c:pt>
                <c:pt idx="73">
                  <c:v>91.97339730819364</c:v>
                </c:pt>
                <c:pt idx="74">
                  <c:v>91.993923425873632</c:v>
                </c:pt>
                <c:pt idx="75">
                  <c:v>92.01543774091202</c:v>
                </c:pt>
                <c:pt idx="76">
                  <c:v>92.037949939898326</c:v>
                </c:pt>
                <c:pt idx="77">
                  <c:v>92.061470132062468</c:v>
                </c:pt>
                <c:pt idx="78">
                  <c:v>92.086008848904754</c:v>
                </c:pt>
                <c:pt idx="79">
                  <c:v>92.111577043667353</c:v>
                </c:pt>
                <c:pt idx="80">
                  <c:v>92.13818609062281</c:v>
                </c:pt>
                <c:pt idx="81">
                  <c:v>92.165847784152561</c:v>
                </c:pt>
                <c:pt idx="82">
                  <c:v>92.194574337588136</c:v>
                </c:pt>
                <c:pt idx="83">
                  <c:v>92.224378381784675</c:v>
                </c:pt>
                <c:pt idx="84">
                  <c:v>92.25527296339537</c:v>
                </c:pt>
                <c:pt idx="85">
                  <c:v>92.287271542812022</c:v>
                </c:pt>
                <c:pt idx="86">
                  <c:v>92.320387991736681</c:v>
                </c:pt>
                <c:pt idx="87">
                  <c:v>92.35463659034464</c:v>
                </c:pt>
                <c:pt idx="88">
                  <c:v>92.39003202399914</c:v>
                </c:pt>
                <c:pt idx="89">
                  <c:v>92.426589379472986</c:v>
                </c:pt>
                <c:pt idx="90">
                  <c:v>92.464324140630964</c:v>
                </c:pt>
                <c:pt idx="91">
                  <c:v>92.503252183524893</c:v>
                </c:pt>
                <c:pt idx="92">
                  <c:v>92.543389770846943</c:v>
                </c:pt>
                <c:pt idx="93">
                  <c:v>92.584753545687846</c:v>
                </c:pt>
                <c:pt idx="94">
                  <c:v>92.627360524539014</c:v>
                </c:pt>
                <c:pt idx="95">
                  <c:v>92.671228089477623</c:v>
                </c:pt>
                <c:pt idx="96">
                  <c:v>92.716373979467079</c:v>
                </c:pt>
                <c:pt idx="97">
                  <c:v>92.762816280704129</c:v>
                </c:pt>
                <c:pt idx="98">
                  <c:v>92.810573415936233</c:v>
                </c:pt>
                <c:pt idx="99">
                  <c:v>92.859664132672691</c:v>
                </c:pt>
                <c:pt idx="100">
                  <c:v>92.910107490204894</c:v>
                </c:pt>
                <c:pt idx="101">
                  <c:v>92.961922845348838</c:v>
                </c:pt>
                <c:pt idx="102">
                  <c:v>93.015129836816939</c:v>
                </c:pt>
                <c:pt idx="103">
                  <c:v>93.069748368121623</c:v>
                </c:pt>
                <c:pt idx="104">
                  <c:v>93.125798588907315</c:v>
                </c:pt>
                <c:pt idx="105">
                  <c:v>93.1833008746042</c:v>
                </c:pt>
                <c:pt idx="106">
                  <c:v>93.242275804287729</c:v>
                </c:pt>
                <c:pt idx="107">
                  <c:v>93.302744136626785</c:v>
                </c:pt>
                <c:pt idx="108">
                  <c:v>93.364726783794026</c:v>
                </c:pt>
                <c:pt idx="109">
                  <c:v>93.428244783206637</c:v>
                </c:pt>
                <c:pt idx="110">
                  <c:v>93.493319266962459</c:v>
                </c:pt>
                <c:pt idx="111">
                  <c:v>93.559971428826401</c:v>
                </c:pt>
                <c:pt idx="112">
                  <c:v>93.628222488617666</c:v>
                </c:pt>
                <c:pt idx="113">
                  <c:v>93.698093653844339</c:v>
                </c:pt>
                <c:pt idx="114">
                  <c:v>93.769606078420324</c:v>
                </c:pt>
                <c:pt idx="115">
                  <c:v>93.842780818301236</c:v>
                </c:pt>
                <c:pt idx="116">
                  <c:v>93.91763878386034</c:v>
                </c:pt>
                <c:pt idx="117">
                  <c:v>93.994200688830375</c:v>
                </c:pt>
                <c:pt idx="118">
                  <c:v>94.072486995623862</c:v>
                </c:pt>
                <c:pt idx="119">
                  <c:v>94.152517856840888</c:v>
                </c:pt>
                <c:pt idx="120">
                  <c:v>94.234313052773459</c:v>
                </c:pt>
                <c:pt idx="121">
                  <c:v>94.317891924704256</c:v>
                </c:pt>
                <c:pt idx="122">
                  <c:v>94.403273303798429</c:v>
                </c:pt>
                <c:pt idx="123">
                  <c:v>94.490475435385378</c:v>
                </c:pt>
                <c:pt idx="124">
                  <c:v>94.5795158984198</c:v>
                </c:pt>
                <c:pt idx="125">
                  <c:v>94.670411519917153</c:v>
                </c:pt>
                <c:pt idx="126">
                  <c:v>94.763178284154975</c:v>
                </c:pt>
                <c:pt idx="127">
                  <c:v>94.857831236432631</c:v>
                </c:pt>
                <c:pt idx="128">
                  <c:v>94.954384381188333</c:v>
                </c:pt>
                <c:pt idx="129">
                  <c:v>95.052850574274643</c:v>
                </c:pt>
                <c:pt idx="130">
                  <c:v>95.153241409199637</c:v>
                </c:pt>
                <c:pt idx="131">
                  <c:v>95.255567097153772</c:v>
                </c:pt>
                <c:pt idx="132">
                  <c:v>95.359836340648627</c:v>
                </c:pt>
                <c:pt idx="133">
                  <c:v>95.46605620061348</c:v>
                </c:pt>
                <c:pt idx="134">
                  <c:v>95.57423195680505</c:v>
                </c:pt>
                <c:pt idx="135">
                  <c:v>95.684366961414383</c:v>
                </c:pt>
                <c:pt idx="136">
                  <c:v>95.796462485771968</c:v>
                </c:pt>
                <c:pt idx="137">
                  <c:v>95.910517560082468</c:v>
                </c:pt>
                <c:pt idx="138">
                  <c:v>96.026528806150253</c:v>
                </c:pt>
                <c:pt idx="139">
                  <c:v>96.144490263096756</c:v>
                </c:pt>
                <c:pt idx="140">
                  <c:v>96.264393206103506</c:v>
                </c:pt>
                <c:pt idx="141">
                  <c:v>96.386225958270444</c:v>
                </c:pt>
                <c:pt idx="142">
                  <c:v>96.509973695719822</c:v>
                </c:pt>
                <c:pt idx="143">
                  <c:v>96.635618246140211</c:v>
                </c:pt>
                <c:pt idx="144">
                  <c:v>96.763137881022985</c:v>
                </c:pt>
                <c:pt idx="145">
                  <c:v>96.89250710191358</c:v>
                </c:pt>
                <c:pt idx="146">
                  <c:v>97.023696421071847</c:v>
                </c:pt>
                <c:pt idx="147">
                  <c:v>97.156672137021999</c:v>
                </c:pt>
                <c:pt idx="148">
                  <c:v>97.291396105550959</c:v>
                </c:pt>
                <c:pt idx="149">
                  <c:v>97.427825506816944</c:v>
                </c:pt>
                <c:pt idx="150">
                  <c:v>97.565912609320307</c:v>
                </c:pt>
                <c:pt idx="151">
                  <c:v>97.705604531600557</c:v>
                </c:pt>
                <c:pt idx="152">
                  <c:v>97.846843002634557</c:v>
                </c:pt>
                <c:pt idx="153">
                  <c:v>97.989564122019118</c:v>
                </c:pt>
                <c:pt idx="154">
                  <c:v>98.133698121155462</c:v>
                </c:pt>
                <c:pt idx="155">
                  <c:v>98.279169126764714</c:v>
                </c:pt>
                <c:pt idx="156">
                  <c:v>98.425894928201643</c:v>
                </c:pt>
                <c:pt idx="157">
                  <c:v>98.573786750156216</c:v>
                </c:pt>
                <c:pt idx="158">
                  <c:v>98.722749032468272</c:v>
                </c:pt>
                <c:pt idx="159">
                  <c:v>98.872679218908061</c:v>
                </c:pt>
                <c:pt idx="160">
                  <c:v>99.023467556900528</c:v>
                </c:pt>
                <c:pt idx="161">
                  <c:v>99.174996910299313</c:v>
                </c:pt>
                <c:pt idx="162">
                  <c:v>99.327142587425286</c:v>
                </c:pt>
                <c:pt idx="163">
                  <c:v>99.479772186701595</c:v>
                </c:pt>
                <c:pt idx="164">
                  <c:v>99.632745462304371</c:v>
                </c:pt>
                <c:pt idx="165">
                  <c:v>99.785914212336493</c:v>
                </c:pt>
                <c:pt idx="166">
                  <c:v>99.939122192099177</c:v>
                </c:pt>
                <c:pt idx="167">
                  <c:v>100.09220505507923</c:v>
                </c:pt>
                <c:pt idx="168">
                  <c:v>100.24499032429824</c:v>
                </c:pt>
                <c:pt idx="169">
                  <c:v>100.39729739666959</c:v>
                </c:pt>
                <c:pt idx="170">
                  <c:v>100.54893758298056</c:v>
                </c:pt>
                <c:pt idx="171">
                  <c:v>100.69971418605911</c:v>
                </c:pt>
                <c:pt idx="172">
                  <c:v>100.84942261959335</c:v>
                </c:pt>
                <c:pt idx="173">
                  <c:v>100.99785056994455</c:v>
                </c:pt>
                <c:pt idx="174">
                  <c:v>101.14477820312841</c:v>
                </c:pt>
                <c:pt idx="175">
                  <c:v>101.28997841893641</c:v>
                </c:pt>
                <c:pt idx="176">
                  <c:v>101.43321715392597</c:v>
                </c:pt>
                <c:pt idx="177">
                  <c:v>101.5742537347159</c:v>
                </c:pt>
                <c:pt idx="178">
                  <c:v>101.71284128270746</c:v>
                </c:pt>
                <c:pt idx="179">
                  <c:v>101.84872717097039</c:v>
                </c:pt>
                <c:pt idx="180">
                  <c:v>101.98165353363994</c:v>
                </c:pt>
                <c:pt idx="181">
                  <c:v>102.11135782772067</c:v>
                </c:pt>
                <c:pt idx="182">
                  <c:v>102.23757344671314</c:v>
                </c:pt>
                <c:pt idx="183">
                  <c:v>102.36003038498598</c:v>
                </c:pt>
                <c:pt idx="184">
                  <c:v>102.47845595126817</c:v>
                </c:pt>
                <c:pt idx="185">
                  <c:v>102.59257552909877</c:v>
                </c:pt>
                <c:pt idx="186">
                  <c:v>102.70211338149953</c:v>
                </c:pt>
                <c:pt idx="187">
                  <c:v>102.80679349657771</c:v>
                </c:pt>
                <c:pt idx="188">
                  <c:v>102.90634047018052</c:v>
                </c:pt>
                <c:pt idx="189">
                  <c:v>103.00048042119195</c:v>
                </c:pt>
                <c:pt idx="190">
                  <c:v>103.08894193449693</c:v>
                </c:pt>
                <c:pt idx="191">
                  <c:v>103.17145702615345</c:v>
                </c:pt>
                <c:pt idx="192">
                  <c:v>103.24776212482358</c:v>
                </c:pt>
                <c:pt idx="193">
                  <c:v>103.31759906308878</c:v>
                </c:pt>
                <c:pt idx="194">
                  <c:v>103.38071607191273</c:v>
                </c:pt>
                <c:pt idx="195">
                  <c:v>103.43686877118687</c:v>
                </c:pt>
                <c:pt idx="196">
                  <c:v>103.48582114906549</c:v>
                </c:pt>
                <c:pt idx="197">
                  <c:v>103.52734652262362</c:v>
                </c:pt>
                <c:pt idx="198">
                  <c:v>103.56122847228512</c:v>
                </c:pt>
                <c:pt idx="199">
                  <c:v>103.58726174247889</c:v>
                </c:pt>
                <c:pt idx="200">
                  <c:v>103.60525310105027</c:v>
                </c:pt>
                <c:pt idx="201">
                  <c:v>103.6150221501604</c:v>
                </c:pt>
                <c:pt idx="202">
                  <c:v>103.61640208164603</c:v>
                </c:pt>
                <c:pt idx="203">
                  <c:v>103.60924037020129</c:v>
                </c:pt>
                <c:pt idx="204">
                  <c:v>103.593399398153</c:v>
                </c:pt>
                <c:pt idx="205">
                  <c:v>103.56875700615905</c:v>
                </c:pt>
                <c:pt idx="206">
                  <c:v>103.53520696473666</c:v>
                </c:pt>
                <c:pt idx="207">
                  <c:v>103.49265936220695</c:v>
                </c:pt>
                <c:pt idx="208">
                  <c:v>103.44104090537297</c:v>
                </c:pt>
                <c:pt idx="209">
                  <c:v>103.3802951300176</c:v>
                </c:pt>
                <c:pt idx="210">
                  <c:v>103.31038251914362</c:v>
                </c:pt>
                <c:pt idx="211">
                  <c:v>103.23128052771095</c:v>
                </c:pt>
                <c:pt idx="212">
                  <c:v>103.14298351350251</c:v>
                </c:pt>
                <c:pt idx="213">
                  <c:v>103.04550257461896</c:v>
                </c:pt>
                <c:pt idx="214">
                  <c:v>102.93886529496007</c:v>
                </c:pt>
                <c:pt idx="215">
                  <c:v>102.82311539990843</c:v>
                </c:pt>
                <c:pt idx="216">
                  <c:v>102.69831232523111</c:v>
                </c:pt>
                <c:pt idx="217">
                  <c:v>102.56453070300161</c:v>
                </c:pt>
                <c:pt idx="218">
                  <c:v>102.42185976905327</c:v>
                </c:pt>
                <c:pt idx="219">
                  <c:v>102.27040269714412</c:v>
                </c:pt>
                <c:pt idx="220">
                  <c:v>102.11027586560229</c:v>
                </c:pt>
                <c:pt idx="221">
                  <c:v>101.94160806272041</c:v>
                </c:pt>
                <c:pt idx="222">
                  <c:v>101.76453963763228</c:v>
                </c:pt>
                <c:pt idx="223">
                  <c:v>101.57922160370383</c:v>
                </c:pt>
                <c:pt idx="224">
                  <c:v>101.38581470177185</c:v>
                </c:pt>
                <c:pt idx="225">
                  <c:v>101.18448843069896</c:v>
                </c:pt>
                <c:pt idx="226">
                  <c:v>100.9754200527987</c:v>
                </c:pt>
                <c:pt idx="227">
                  <c:v>100.75879358168496</c:v>
                </c:pt>
                <c:pt idx="228">
                  <c:v>100.53479875997363</c:v>
                </c:pt>
                <c:pt idx="229">
                  <c:v>100.30363003412455</c:v>
                </c:pt>
                <c:pt idx="230">
                  <c:v>100.06548553342787</c:v>
                </c:pt>
                <c:pt idx="231">
                  <c:v>99.820566059829019</c:v>
                </c:pt>
                <c:pt idx="232">
                  <c:v>99.56907409492112</c:v>
                </c:pt>
                <c:pt idx="233">
                  <c:v>99.311212829971481</c:v>
                </c:pt>
                <c:pt idx="234">
                  <c:v>99.047185224389949</c:v>
                </c:pt>
                <c:pt idx="235">
                  <c:v>98.777193097534337</c:v>
                </c:pt>
                <c:pt idx="236">
                  <c:v>98.501436258195099</c:v>
                </c:pt>
                <c:pt idx="237">
                  <c:v>98.220111675555216</c:v>
                </c:pt>
                <c:pt idx="238">
                  <c:v>97.933412694855974</c:v>
                </c:pt>
                <c:pt idx="239">
                  <c:v>97.641528300422038</c:v>
                </c:pt>
                <c:pt idx="240">
                  <c:v>97.344642428147083</c:v>
                </c:pt>
                <c:pt idx="241">
                  <c:v>97.04293332900366</c:v>
                </c:pt>
                <c:pt idx="242">
                  <c:v>96.736572984589117</c:v>
                </c:pt>
                <c:pt idx="243">
                  <c:v>96.425726575252042</c:v>
                </c:pt>
                <c:pt idx="244">
                  <c:v>96.110552000845246</c:v>
                </c:pt>
                <c:pt idx="245">
                  <c:v>95.79119945374363</c:v>
                </c:pt>
                <c:pt idx="246">
                  <c:v>95.467811043337832</c:v>
                </c:pt>
                <c:pt idx="247">
                  <c:v>95.140520470881739</c:v>
                </c:pt>
                <c:pt idx="248">
                  <c:v>94.809452753244557</c:v>
                </c:pt>
                <c:pt idx="249">
                  <c:v>94.474723993832569</c:v>
                </c:pt>
                <c:pt idx="250">
                  <c:v>94.136441198727624</c:v>
                </c:pt>
                <c:pt idx="251">
                  <c:v>93.794702135887235</c:v>
                </c:pt>
                <c:pt idx="252">
                  <c:v>93.449595235087429</c:v>
                </c:pt>
                <c:pt idx="253">
                  <c:v>93.101199526188736</c:v>
                </c:pt>
                <c:pt idx="254">
                  <c:v>92.749584613212576</c:v>
                </c:pt>
                <c:pt idx="255">
                  <c:v>92.394810681665135</c:v>
                </c:pt>
                <c:pt idx="256">
                  <c:v>92.036928536537175</c:v>
                </c:pt>
                <c:pt idx="257">
                  <c:v>91.675979668406129</c:v>
                </c:pt>
                <c:pt idx="258">
                  <c:v>91.311996345111609</c:v>
                </c:pt>
                <c:pt idx="259">
                  <c:v>90.945001726524154</c:v>
                </c:pt>
                <c:pt idx="260">
                  <c:v>90.575009999998969</c:v>
                </c:pt>
                <c:pt idx="261">
                  <c:v>90.202026534217609</c:v>
                </c:pt>
                <c:pt idx="262">
                  <c:v>89.826048049195023</c:v>
                </c:pt>
                <c:pt idx="263">
                  <c:v>89.447062800373246</c:v>
                </c:pt>
                <c:pt idx="264">
                  <c:v>89.065050774834347</c:v>
                </c:pt>
                <c:pt idx="265">
                  <c:v>88.679983897793704</c:v>
                </c:pt>
                <c:pt idx="266">
                  <c:v>88.29182624768184</c:v>
                </c:pt>
                <c:pt idx="267">
                  <c:v>87.900534278248884</c:v>
                </c:pt>
                <c:pt idx="268">
                  <c:v>87.50605704627263</c:v>
                </c:pt>
                <c:pt idx="269">
                  <c:v>87.108336443587604</c:v>
                </c:pt>
                <c:pt idx="270">
                  <c:v>86.707307432285091</c:v>
                </c:pt>
                <c:pt idx="271">
                  <c:v>86.30289828207421</c:v>
                </c:pt>
                <c:pt idx="272">
                  <c:v>85.895030808919657</c:v>
                </c:pt>
                <c:pt idx="273">
                  <c:v>85.483620614199438</c:v>
                </c:pt>
                <c:pt idx="274">
                  <c:v>85.068577323742915</c:v>
                </c:pt>
                <c:pt idx="275">
                  <c:v>84.649804826230309</c:v>
                </c:pt>
                <c:pt idx="276">
                  <c:v>84.22720151053602</c:v>
                </c:pt>
                <c:pt idx="277">
                  <c:v>83.800660501709103</c:v>
                </c:pt>
                <c:pt idx="278">
                  <c:v>83.370069895372794</c:v>
                </c:pt>
                <c:pt idx="279">
                  <c:v>82.935312990420726</c:v>
                </c:pt>
                <c:pt idx="280">
                  <c:v>82.496268519971053</c:v>
                </c:pt>
                <c:pt idx="281">
                  <c:v>82.052810880610807</c:v>
                </c:pt>
                <c:pt idx="282">
                  <c:v>81.604810360044141</c:v>
                </c:pt>
                <c:pt idx="283">
                  <c:v>81.152133363315144</c:v>
                </c:pt>
                <c:pt idx="284">
                  <c:v>80.694642637836736</c:v>
                </c:pt>
                <c:pt idx="285">
                  <c:v>80.232197497514278</c:v>
                </c:pt>
                <c:pt idx="286">
                  <c:v>79.764654046294552</c:v>
                </c:pt>
                <c:pt idx="287">
                  <c:v>79.29186540151801</c:v>
                </c:pt>
                <c:pt idx="288">
                  <c:v>78.813681917485113</c:v>
                </c:pt>
                <c:pt idx="289">
                  <c:v>78.329951409676625</c:v>
                </c:pt>
                <c:pt idx="290">
                  <c:v>77.840519380106571</c:v>
                </c:pt>
                <c:pt idx="291">
                  <c:v>77.345229244285974</c:v>
                </c:pt>
                <c:pt idx="292">
                  <c:v>76.843922560312507</c:v>
                </c:pt>
                <c:pt idx="293">
                  <c:v>76.336439260601935</c:v>
                </c:pt>
                <c:pt idx="294">
                  <c:v>75.822617886777394</c:v>
                </c:pt>
                <c:pt idx="295">
                  <c:v>75.302295828249385</c:v>
                </c:pt>
                <c:pt idx="296">
                  <c:v>74.775309564999105</c:v>
                </c:pt>
                <c:pt idx="297">
                  <c:v>74.241494915076458</c:v>
                </c:pt>
                <c:pt idx="298">
                  <c:v>73.700687287309336</c:v>
                </c:pt>
                <c:pt idx="299">
                  <c:v>73.152721939691972</c:v>
                </c:pt>
                <c:pt idx="300">
                  <c:v>72.597434243909603</c:v>
                </c:pt>
                <c:pt idx="301">
                  <c:v>72.034659956409826</c:v>
                </c:pt>
                <c:pt idx="302">
                  <c:v>71.46423549639583</c:v>
                </c:pt>
                <c:pt idx="303">
                  <c:v>70.885998231091293</c:v>
                </c:pt>
                <c:pt idx="304">
                  <c:v>70.299786768540031</c:v>
                </c:pt>
                <c:pt idx="305">
                  <c:v>69.705441258191954</c:v>
                </c:pt>
                <c:pt idx="306">
                  <c:v>69.10280369941988</c:v>
                </c:pt>
                <c:pt idx="307">
                  <c:v>68.491718258080411</c:v>
                </c:pt>
                <c:pt idx="308">
                  <c:v>67.872031591123147</c:v>
                </c:pt>
                <c:pt idx="309">
                  <c:v>67.243593179195798</c:v>
                </c:pt>
                <c:pt idx="310">
                  <c:v>66.606255667081626</c:v>
                </c:pt>
                <c:pt idx="311">
                  <c:v>65.959875211723229</c:v>
                </c:pt>
                <c:pt idx="312">
                  <c:v>65.304311837474359</c:v>
                </c:pt>
                <c:pt idx="313">
                  <c:v>64.639429798118769</c:v>
                </c:pt>
                <c:pt idx="314">
                  <c:v>63.965097945071818</c:v>
                </c:pt>
                <c:pt idx="315">
                  <c:v>63.281190101068688</c:v>
                </c:pt>
                <c:pt idx="316">
                  <c:v>62.587585438508981</c:v>
                </c:pt>
                <c:pt idx="317">
                  <c:v>61.884168861505998</c:v>
                </c:pt>
                <c:pt idx="318">
                  <c:v>61.17083139055228</c:v>
                </c:pt>
                <c:pt idx="319">
                  <c:v>60.447470548580824</c:v>
                </c:pt>
                <c:pt idx="320">
                  <c:v>59.713990747067328</c:v>
                </c:pt>
                <c:pt idx="321">
                  <c:v>58.97030367068551</c:v>
                </c:pt>
                <c:pt idx="322">
                  <c:v>58.216328658901091</c:v>
                </c:pt>
                <c:pt idx="323">
                  <c:v>57.451993082755251</c:v>
                </c:pt>
                <c:pt idx="324">
                  <c:v>56.677232714982665</c:v>
                </c:pt>
                <c:pt idx="325">
                  <c:v>55.891992091488163</c:v>
                </c:pt>
                <c:pt idx="326">
                  <c:v>55.096224862111242</c:v>
                </c:pt>
                <c:pt idx="327">
                  <c:v>54.289894128526754</c:v>
                </c:pt>
                <c:pt idx="328">
                  <c:v>53.472972767049598</c:v>
                </c:pt>
                <c:pt idx="329">
                  <c:v>52.64544373407125</c:v>
                </c:pt>
                <c:pt idx="330">
                  <c:v>51.807300351818668</c:v>
                </c:pt>
                <c:pt idx="331">
                  <c:v>50.95854657212027</c:v>
                </c:pt>
                <c:pt idx="332">
                  <c:v>50.099197215882512</c:v>
                </c:pt>
                <c:pt idx="333">
                  <c:v>49.229278186026491</c:v>
                </c:pt>
                <c:pt idx="334">
                  <c:v>48.34882665170413</c:v>
                </c:pt>
                <c:pt idx="335">
                  <c:v>47.457891201724181</c:v>
                </c:pt>
                <c:pt idx="336">
                  <c:v>46.556531965254777</c:v>
                </c:pt>
                <c:pt idx="337">
                  <c:v>45.644820698028198</c:v>
                </c:pt>
                <c:pt idx="338">
                  <c:v>44.722840832492906</c:v>
                </c:pt>
                <c:pt idx="339">
                  <c:v>43.790687490573418</c:v>
                </c:pt>
                <c:pt idx="340">
                  <c:v>42.848467457970798</c:v>
                </c:pt>
                <c:pt idx="341">
                  <c:v>41.896299119226782</c:v>
                </c:pt>
                <c:pt idx="342">
                  <c:v>40.934312353097923</c:v>
                </c:pt>
                <c:pt idx="343">
                  <c:v>39.962648388113934</c:v>
                </c:pt>
                <c:pt idx="344">
                  <c:v>38.981459618572572</c:v>
                </c:pt>
                <c:pt idx="345">
                  <c:v>37.990909381584544</c:v>
                </c:pt>
                <c:pt idx="346">
                  <c:v>36.991171696171932</c:v>
                </c:pt>
                <c:pt idx="347">
                  <c:v>35.982430965809939</c:v>
                </c:pt>
                <c:pt idx="348">
                  <c:v>34.964881646188516</c:v>
                </c:pt>
                <c:pt idx="349">
                  <c:v>33.938727880340778</c:v>
                </c:pt>
                <c:pt idx="350">
                  <c:v>32.904183103654233</c:v>
                </c:pt>
                <c:pt idx="351">
                  <c:v>31.861469621607142</c:v>
                </c:pt>
                <c:pt idx="352">
                  <c:v>30.810818163385761</c:v>
                </c:pt>
                <c:pt idx="353">
                  <c:v>29.752467414814134</c:v>
                </c:pt>
                <c:pt idx="354">
                  <c:v>28.686663534243309</c:v>
                </c:pt>
                <c:pt idx="355">
                  <c:v>27.61365965524692</c:v>
                </c:pt>
                <c:pt idx="356">
                  <c:v>26.533715380080707</c:v>
                </c:pt>
                <c:pt idx="357">
                  <c:v>25.447096267951309</c:v>
                </c:pt>
                <c:pt idx="358">
                  <c:v>24.354073322139641</c:v>
                </c:pt>
                <c:pt idx="359">
                  <c:v>23.254922479986192</c:v>
                </c:pt>
                <c:pt idx="360">
                  <c:v>22.149924109618524</c:v>
                </c:pt>
                <c:pt idx="361">
                  <c:v>21.039362517148447</c:v>
                </c:pt>
                <c:pt idx="362">
                  <c:v>19.923525467800886</c:v>
                </c:pt>
                <c:pt idx="363">
                  <c:v>18.802703724172517</c:v>
                </c:pt>
                <c:pt idx="364">
                  <c:v>17.67719060444773</c:v>
                </c:pt>
                <c:pt idx="365">
                  <c:v>16.54728156300655</c:v>
                </c:pt>
                <c:pt idx="366">
                  <c:v>15.41327379542571</c:v>
                </c:pt>
                <c:pt idx="367">
                  <c:v>14.275465869373505</c:v>
                </c:pt>
                <c:pt idx="368">
                  <c:v>13.134157382415452</c:v>
                </c:pt>
                <c:pt idx="369">
                  <c:v>11.989648647189682</c:v>
                </c:pt>
                <c:pt idx="370">
                  <c:v>10.842240403891054</c:v>
                </c:pt>
                <c:pt idx="371">
                  <c:v>9.6922335594329923</c:v>
                </c:pt>
                <c:pt idx="372">
                  <c:v>8.5399289521272408</c:v>
                </c:pt>
                <c:pt idx="373">
                  <c:v>7.3856271401823221</c:v>
                </c:pt>
                <c:pt idx="374">
                  <c:v>6.2296282118163901</c:v>
                </c:pt>
                <c:pt idx="375">
                  <c:v>5.0722316142980617</c:v>
                </c:pt>
                <c:pt idx="376">
                  <c:v>3.9137359987839488</c:v>
                </c:pt>
                <c:pt idx="377">
                  <c:v>2.7544390774355065</c:v>
                </c:pt>
                <c:pt idx="378">
                  <c:v>1.5946374889357458</c:v>
                </c:pt>
                <c:pt idx="379">
                  <c:v>0.43462666823890572</c:v>
                </c:pt>
                <c:pt idx="380">
                  <c:v>-0.72529928384264508</c:v>
                </c:pt>
                <c:pt idx="381">
                  <c:v>-1.8848477357857973</c:v>
                </c:pt>
                <c:pt idx="382">
                  <c:v>-3.0437276699215658</c:v>
                </c:pt>
                <c:pt idx="383">
                  <c:v>-4.2016498411386181</c:v>
                </c:pt>
                <c:pt idx="384">
                  <c:v>-5.3583269544267011</c:v>
                </c:pt>
                <c:pt idx="385">
                  <c:v>-6.513473865887903</c:v>
                </c:pt>
                <c:pt idx="386">
                  <c:v>-7.6668078116937863</c:v>
                </c:pt>
                <c:pt idx="387">
                  <c:v>-8.8180486692850479</c:v>
                </c:pt>
                <c:pt idx="388">
                  <c:v>-9.9669192548602723</c:v>
                </c:pt>
                <c:pt idx="389">
                  <c:v>-11.113145660917155</c:v>
                </c:pt>
                <c:pt idx="390">
                  <c:v>-12.256457637306283</c:v>
                </c:pt>
                <c:pt idx="391">
                  <c:v>-13.396589018891831</c:v>
                </c:pt>
                <c:pt idx="392">
                  <c:v>-14.533278202581755</c:v>
                </c:pt>
                <c:pt idx="393">
                  <c:v>-15.66626867609483</c:v>
                </c:pt>
                <c:pt idx="394">
                  <c:v>-16.795309600503685</c:v>
                </c:pt>
                <c:pt idx="395">
                  <c:v>-17.920156448214385</c:v>
                </c:pt>
                <c:pt idx="396">
                  <c:v>-19.040571697748987</c:v>
                </c:pt>
                <c:pt idx="397">
                  <c:v>-20.1563255863949</c:v>
                </c:pt>
                <c:pt idx="398">
                  <c:v>-21.267196921571724</c:v>
                </c:pt>
                <c:pt idx="399">
                  <c:v>-22.372973951559374</c:v>
                </c:pt>
                <c:pt idx="400">
                  <c:v>-23.47345529616598</c:v>
                </c:pt>
                <c:pt idx="401">
                  <c:v>-24.568450937854493</c:v>
                </c:pt>
                <c:pt idx="402">
                  <c:v>-25.657783273941192</c:v>
                </c:pt>
                <c:pt idx="403">
                  <c:v>-26.741288230629351</c:v>
                </c:pt>
                <c:pt idx="404">
                  <c:v>-27.818816439926678</c:v>
                </c:pt>
                <c:pt idx="405">
                  <c:v>-28.890234480898357</c:v>
                </c:pt>
                <c:pt idx="406">
                  <c:v>-29.955426187216915</c:v>
                </c:pt>
                <c:pt idx="407">
                  <c:v>-31.01429402365028</c:v>
                </c:pt>
                <c:pt idx="408">
                  <c:v>-32.066760534923844</c:v>
                </c:pt>
                <c:pt idx="409">
                  <c:v>-33.112769871358637</c:v>
                </c:pt>
                <c:pt idx="410">
                  <c:v>-34.152289396817537</c:v>
                </c:pt>
                <c:pt idx="411">
                  <c:v>-35.185311385785411</c:v>
                </c:pt>
                <c:pt idx="412">
                  <c:v>-36.211854817910918</c:v>
                </c:pt>
                <c:pt idx="413">
                  <c:v>-37.231967280021763</c:v>
                </c:pt>
                <c:pt idx="414">
                  <c:v>-38.245726987540337</c:v>
                </c:pt>
                <c:pt idx="415">
                  <c:v>-39.25324493938615</c:v>
                </c:pt>
                <c:pt idx="416">
                  <c:v>-40.254667222861144</c:v>
                </c:pt>
                <c:pt idx="417">
                  <c:v>-41.250177487729843</c:v>
                </c:pt>
                <c:pt idx="418">
                  <c:v>-42.239999611753404</c:v>
                </c:pt>
                <c:pt idx="419">
                  <c:v>-43.22440058333035</c:v>
                </c:pt>
                <c:pt idx="420">
                  <c:v>-44.203693630745136</c:v>
                </c:pt>
                <c:pt idx="421">
                  <c:v>-45.178241631814799</c:v>
                </c:pt>
                <c:pt idx="422">
                  <c:v>-46.148460842579993</c:v>
                </c:pt>
                <c:pt idx="423">
                  <c:v>-47.11482498915251</c:v>
                </c:pt>
                <c:pt idx="424">
                  <c:v>-48.077869773021291</c:v>
                </c:pt>
                <c:pt idx="425">
                  <c:v>-49.038197847101785</c:v>
                </c:pt>
                <c:pt idx="426">
                  <c:v>-49.996484327767391</c:v>
                </c:pt>
                <c:pt idx="427">
                  <c:v>-50.953482917092515</c:v>
                </c:pt>
                <c:pt idx="428">
                  <c:v>-51.910032719766249</c:v>
                </c:pt>
                <c:pt idx="429">
                  <c:v>-52.867065850738527</c:v>
                </c:pt>
                <c:pt idx="430">
                  <c:v>-53.825615942832542</c:v>
                </c:pt>
                <c:pt idx="431">
                  <c:v>-54.786827678448333</c:v>
                </c:pt>
                <c:pt idx="432">
                  <c:v>-55.751967486333044</c:v>
                </c:pt>
                <c:pt idx="433">
                  <c:v>-56.722435563273621</c:v>
                </c:pt>
                <c:pt idx="434">
                  <c:v>-57.699779401726772</c:v>
                </c:pt>
                <c:pt idx="435">
                  <c:v>-58.685709027740131</c:v>
                </c:pt>
                <c:pt idx="436">
                  <c:v>-59.682114179106918</c:v>
                </c:pt>
                <c:pt idx="437">
                  <c:v>-60.691083681096856</c:v>
                </c:pt>
                <c:pt idx="438">
                  <c:v>-61.714927305822059</c:v>
                </c:pt>
                <c:pt idx="439">
                  <c:v>-62.756200430080497</c:v>
                </c:pt>
                <c:pt idx="440">
                  <c:v>-63.817731833542666</c:v>
                </c:pt>
                <c:pt idx="441">
                  <c:v>-64.902655001316717</c:v>
                </c:pt>
                <c:pt idx="442">
                  <c:v>-66.01444330752156</c:v>
                </c:pt>
                <c:pt idx="443">
                  <c:v>-67.156949452332256</c:v>
                </c:pt>
                <c:pt idx="444">
                  <c:v>-68.334449493275955</c:v>
                </c:pt>
                <c:pt idx="445">
                  <c:v>-69.551691736567705</c:v>
                </c:pt>
                <c:pt idx="446">
                  <c:v>-70.813950612959076</c:v>
                </c:pt>
                <c:pt idx="447">
                  <c:v>-72.127085421862674</c:v>
                </c:pt>
                <c:pt idx="448">
                  <c:v>-73.497603440509749</c:v>
                </c:pt>
                <c:pt idx="449">
                  <c:v>-74.932726295980984</c:v>
                </c:pt>
                <c:pt idx="450">
                  <c:v>-76.440457597059265</c:v>
                </c:pt>
                <c:pt idx="451">
                  <c:v>-78.029648499224507</c:v>
                </c:pt>
                <c:pt idx="452">
                  <c:v>-79.710055973248544</c:v>
                </c:pt>
                <c:pt idx="453">
                  <c:v>-81.492385872615216</c:v>
                </c:pt>
                <c:pt idx="454">
                  <c:v>-83.388309227781036</c:v>
                </c:pt>
                <c:pt idx="455">
                  <c:v>-85.410435322606133</c:v>
                </c:pt>
                <c:pt idx="456">
                  <c:v>-87.572218897457006</c:v>
                </c:pt>
                <c:pt idx="457">
                  <c:v>-89.887771368866851</c:v>
                </c:pt>
                <c:pt idx="458">
                  <c:v>-92.371537833636395</c:v>
                </c:pt>
                <c:pt idx="459">
                  <c:v>-95.037794291846936</c:v>
                </c:pt>
                <c:pt idx="460">
                  <c:v>-97.899915846499837</c:v>
                </c:pt>
                <c:pt idx="461">
                  <c:v>-100.96937144222767</c:v>
                </c:pt>
                <c:pt idx="462">
                  <c:v>-104.25442096190908</c:v>
                </c:pt>
                <c:pt idx="463">
                  <c:v>-107.75853441591408</c:v>
                </c:pt>
                <c:pt idx="464">
                  <c:v>-111.47862689095537</c:v>
                </c:pt>
                <c:pt idx="465">
                  <c:v>-115.4033052446015</c:v>
                </c:pt>
                <c:pt idx="466">
                  <c:v>-119.51143525247619</c:v>
                </c:pt>
                <c:pt idx="467">
                  <c:v>-123.77142067450362</c:v>
                </c:pt>
                <c:pt idx="468">
                  <c:v>-128.14158095338018</c:v>
                </c:pt>
                <c:pt idx="469">
                  <c:v>-132.57187187870264</c:v>
                </c:pt>
                <c:pt idx="470">
                  <c:v>-137.00691080714245</c:v>
                </c:pt>
                <c:pt idx="471">
                  <c:v>-141.38991930789479</c:v>
                </c:pt>
                <c:pt idx="472">
                  <c:v>-145.66691738304792</c:v>
                </c:pt>
                <c:pt idx="473">
                  <c:v>-149.79042278581477</c:v>
                </c:pt>
                <c:pt idx="474">
                  <c:v>-153.72206588878043</c:v>
                </c:pt>
                <c:pt idx="475">
                  <c:v>-157.43384916046367</c:v>
                </c:pt>
                <c:pt idx="476">
                  <c:v>-160.90812004628157</c:v>
                </c:pt>
                <c:pt idx="477">
                  <c:v>-164.13656609080147</c:v>
                </c:pt>
                <c:pt idx="478">
                  <c:v>-167.11863400012595</c:v>
                </c:pt>
                <c:pt idx="479">
                  <c:v>-169.85974316291572</c:v>
                </c:pt>
                <c:pt idx="480">
                  <c:v>-172.36956552212052</c:v>
                </c:pt>
                <c:pt idx="481">
                  <c:v>-174.66053110776096</c:v>
                </c:pt>
                <c:pt idx="482">
                  <c:v>-176.7466246958777</c:v>
                </c:pt>
                <c:pt idx="483">
                  <c:v>-178.64247553462917</c:v>
                </c:pt>
                <c:pt idx="484">
                  <c:v>-180.3627069652029</c:v>
                </c:pt>
                <c:pt idx="485">
                  <c:v>-181.9214985634008</c:v>
                </c:pt>
                <c:pt idx="486">
                  <c:v>-183.33231213162861</c:v>
                </c:pt>
                <c:pt idx="487">
                  <c:v>-184.60773820060945</c:v>
                </c:pt>
                <c:pt idx="488">
                  <c:v>-185.75942753460146</c:v>
                </c:pt>
                <c:pt idx="489">
                  <c:v>-186.79808014164698</c:v>
                </c:pt>
                <c:pt idx="490">
                  <c:v>-187.73347136303181</c:v>
                </c:pt>
                <c:pt idx="491">
                  <c:v>-188.57450037508872</c:v>
                </c:pt>
                <c:pt idx="492">
                  <c:v>-189.32925088547901</c:v>
                </c:pt>
                <c:pt idx="493">
                  <c:v>-190.00505711671201</c:v>
                </c:pt>
                <c:pt idx="494">
                  <c:v>-190.60857056334117</c:v>
                </c:pt>
                <c:pt idx="495">
                  <c:v>-191.14582469878832</c:v>
                </c:pt>
                <c:pt idx="496">
                  <c:v>-191.62229597449704</c:v>
                </c:pt>
                <c:pt idx="497">
                  <c:v>-192.04296024223098</c:v>
                </c:pt>
                <c:pt idx="498">
                  <c:v>-192.41234424958725</c:v>
                </c:pt>
                <c:pt idx="499">
                  <c:v>-192.7345721904976</c:v>
                </c:pt>
                <c:pt idx="500">
                  <c:v>-192.74656119377789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141-4D19-9DBC-690DDB1D00CA}"/>
            </c:ext>
          </c:extLst>
        </c:ser>
        <c:ser>
          <c:idx val="7"/>
          <c:order val="5"/>
          <c:tx>
            <c:strRef>
              <c:f>'Small Signal'!$AE$3</c:f>
              <c:strCache>
                <c:ptCount val="1"/>
                <c:pt idx="0">
                  <c:v>Phase Gea</c:v>
                </c:pt>
              </c:strCache>
            </c:strRef>
          </c:tx>
          <c:spPr>
            <a:ln w="38100">
              <a:solidFill>
                <a:schemeClr val="accent5"/>
              </a:solidFill>
              <a:prstDash val="sysDash"/>
            </a:ln>
          </c:spPr>
          <c:marker>
            <c:symbol val="none"/>
          </c:marker>
          <c:xVal>
            <c:numRef>
              <c:f>'Small Signal'!$K$4:$K$504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Signal'!$AE$4:$AE$504</c:f>
              <c:numCache>
                <c:formatCode>##0.0E+0</c:formatCode>
                <c:ptCount val="501"/>
                <c:pt idx="0">
                  <c:v>93.455041335630582</c:v>
                </c:pt>
                <c:pt idx="1">
                  <c:v>93.409586618145497</c:v>
                </c:pt>
                <c:pt idx="2">
                  <c:v>93.365842289308532</c:v>
                </c:pt>
                <c:pt idx="3">
                  <c:v>93.323786812314793</c:v>
                </c:pt>
                <c:pt idx="4">
                  <c:v>93.283399466971588</c:v>
                </c:pt>
                <c:pt idx="5">
                  <c:v>93.244660341397804</c:v>
                </c:pt>
                <c:pt idx="6">
                  <c:v>93.207550323985743</c:v>
                </c:pt>
                <c:pt idx="7">
                  <c:v>93.172051095630138</c:v>
                </c:pt>
                <c:pt idx="8">
                  <c:v>93.138145122228849</c:v>
                </c:pt>
                <c:pt idx="9">
                  <c:v>93.105815647458797</c:v>
                </c:pt>
                <c:pt idx="10">
                  <c:v>93.075046685831197</c:v>
                </c:pt>
                <c:pt idx="11">
                  <c:v>93.045823016028407</c:v>
                </c:pt>
                <c:pt idx="12">
                  <c:v>93.018130174525965</c:v>
                </c:pt>
                <c:pt idx="13">
                  <c:v>92.991954449501918</c:v>
                </c:pt>
                <c:pt idx="14">
                  <c:v>92.96728287503575</c:v>
                </c:pt>
                <c:pt idx="15">
                  <c:v>92.944103225599008</c:v>
                </c:pt>
                <c:pt idx="16">
                  <c:v>92.922404010839344</c:v>
                </c:pt>
                <c:pt idx="17">
                  <c:v>92.902174470659574</c:v>
                </c:pt>
                <c:pt idx="18">
                  <c:v>92.8834045705931</c:v>
                </c:pt>
                <c:pt idx="19">
                  <c:v>92.866084997476932</c:v>
                </c:pt>
                <c:pt idx="20">
                  <c:v>92.850207155423547</c:v>
                </c:pt>
                <c:pt idx="21">
                  <c:v>92.835763162092178</c:v>
                </c:pt>
                <c:pt idx="22">
                  <c:v>92.822745845260684</c:v>
                </c:pt>
                <c:pt idx="23">
                  <c:v>92.811148739698538</c:v>
                </c:pt>
                <c:pt idx="24">
                  <c:v>92.800966084341582</c:v>
                </c:pt>
                <c:pt idx="25">
                  <c:v>92.792192819768957</c:v>
                </c:pt>
                <c:pt idx="26">
                  <c:v>92.784824585982889</c:v>
                </c:pt>
                <c:pt idx="27">
                  <c:v>92.778857720491359</c:v>
                </c:pt>
                <c:pt idx="28">
                  <c:v>92.774289256694203</c:v>
                </c:pt>
                <c:pt idx="29">
                  <c:v>92.771116922572745</c:v>
                </c:pt>
                <c:pt idx="30">
                  <c:v>92.769339139683112</c:v>
                </c:pt>
                <c:pt idx="31">
                  <c:v>92.768955022453426</c:v>
                </c:pt>
                <c:pt idx="32">
                  <c:v>92.769964377784959</c:v>
                </c:pt>
                <c:pt idx="33">
                  <c:v>92.772367704957048</c:v>
                </c:pt>
                <c:pt idx="34">
                  <c:v>92.776166195835941</c:v>
                </c:pt>
                <c:pt idx="35">
                  <c:v>92.781361735387478</c:v>
                </c:pt>
                <c:pt idx="36">
                  <c:v>92.787956902493434</c:v>
                </c:pt>
                <c:pt idx="37">
                  <c:v>92.795954971071097</c:v>
                </c:pt>
                <c:pt idx="38">
                  <c:v>92.805359911496481</c:v>
                </c:pt>
                <c:pt idx="39">
                  <c:v>92.81617639232995</c:v>
                </c:pt>
                <c:pt idx="40">
                  <c:v>92.828409782344906</c:v>
                </c:pt>
                <c:pt idx="41">
                  <c:v>92.842066152858195</c:v>
                </c:pt>
                <c:pt idx="42">
                  <c:v>92.85715228036247</c:v>
                </c:pt>
                <c:pt idx="43">
                  <c:v>92.873675649459372</c:v>
                </c:pt>
                <c:pt idx="44">
                  <c:v>92.891644456093161</c:v>
                </c:pt>
                <c:pt idx="45">
                  <c:v>92.911067611083965</c:v>
                </c:pt>
                <c:pt idx="46">
                  <c:v>92.931954743959764</c:v>
                </c:pt>
                <c:pt idx="47">
                  <c:v>92.954316207086009</c:v>
                </c:pt>
                <c:pt idx="48">
                  <c:v>92.978163080091747</c:v>
                </c:pt>
                <c:pt idx="49">
                  <c:v>93.003507174591334</c:v>
                </c:pt>
                <c:pt idx="50">
                  <c:v>93.030361039199477</c:v>
                </c:pt>
                <c:pt idx="51">
                  <c:v>93.058737964838841</c:v>
                </c:pt>
                <c:pt idx="52">
                  <c:v>93.088651990337752</c:v>
                </c:pt>
                <c:pt idx="53">
                  <c:v>93.120117908316288</c:v>
                </c:pt>
                <c:pt idx="54">
                  <c:v>93.153151271358183</c:v>
                </c:pt>
                <c:pt idx="55">
                  <c:v>93.18776839846619</c:v>
                </c:pt>
                <c:pt idx="56">
                  <c:v>93.223986381797914</c:v>
                </c:pt>
                <c:pt idx="57">
                  <c:v>93.261823093678927</c:v>
                </c:pt>
                <c:pt idx="58">
                  <c:v>93.30129719388961</c:v>
                </c:pt>
                <c:pt idx="59">
                  <c:v>93.342428137221916</c:v>
                </c:pt>
                <c:pt idx="60">
                  <c:v>93.385236181301536</c:v>
                </c:pt>
                <c:pt idx="61">
                  <c:v>93.429742394670839</c:v>
                </c:pt>
                <c:pt idx="62">
                  <c:v>93.475968665127127</c:v>
                </c:pt>
                <c:pt idx="63">
                  <c:v>93.523937708310697</c:v>
                </c:pt>
                <c:pt idx="64">
                  <c:v>93.57367307653594</c:v>
                </c:pt>
                <c:pt idx="65">
                  <c:v>93.625199167858753</c:v>
                </c:pt>
                <c:pt idx="66">
                  <c:v>93.678541235372421</c:v>
                </c:pt>
                <c:pt idx="67">
                  <c:v>93.733725396723869</c:v>
                </c:pt>
                <c:pt idx="68">
                  <c:v>93.790778643840369</c:v>
                </c:pt>
                <c:pt idx="69">
                  <c:v>93.849728852857709</c:v>
                </c:pt>
                <c:pt idx="70">
                  <c:v>93.910604794237884</c:v>
                </c:pt>
                <c:pt idx="71">
                  <c:v>93.973436143065086</c:v>
                </c:pt>
                <c:pt idx="72">
                  <c:v>94.038253489506573</c:v>
                </c:pt>
                <c:pt idx="73">
                  <c:v>94.105088349424662</c:v>
                </c:pt>
                <c:pt idx="74">
                  <c:v>94.173973175124104</c:v>
                </c:pt>
                <c:pt idx="75">
                  <c:v>94.244941366218868</c:v>
                </c:pt>
                <c:pt idx="76">
                  <c:v>94.318027280599495</c:v>
                </c:pt>
                <c:pt idx="77">
                  <c:v>94.393266245482309</c:v>
                </c:pt>
                <c:pt idx="78">
                  <c:v>94.470694568518908</c:v>
                </c:pt>
                <c:pt idx="79">
                  <c:v>94.550349548943203</c:v>
                </c:pt>
                <c:pt idx="80">
                  <c:v>94.632269488731808</c:v>
                </c:pt>
                <c:pt idx="81">
                  <c:v>94.71649370375043</c:v>
                </c:pt>
                <c:pt idx="82">
                  <c:v>94.803062534858427</c:v>
                </c:pt>
                <c:pt idx="83">
                  <c:v>94.892017358940194</c:v>
                </c:pt>
                <c:pt idx="84">
                  <c:v>94.983400599830475</c:v>
                </c:pt>
                <c:pt idx="85">
                  <c:v>95.077255739097652</c:v>
                </c:pt>
                <c:pt idx="86">
                  <c:v>95.173627326646795</c:v>
                </c:pt>
                <c:pt idx="87">
                  <c:v>95.272560991101301</c:v>
                </c:pt>
                <c:pt idx="88">
                  <c:v>95.374103449918962</c:v>
                </c:pt>
                <c:pt idx="89">
                  <c:v>95.478302519194912</c:v>
                </c:pt>
                <c:pt idx="90">
                  <c:v>95.585207123100815</c:v>
                </c:pt>
                <c:pt idx="91">
                  <c:v>95.694867302906005</c:v>
                </c:pt>
                <c:pt idx="92">
                  <c:v>95.807334225522325</c:v>
                </c:pt>
                <c:pt idx="93">
                  <c:v>95.92266019151073</c:v>
                </c:pt>
                <c:pt idx="94">
                  <c:v>96.040898642482929</c:v>
                </c:pt>
                <c:pt idx="95">
                  <c:v>96.162104167827721</c:v>
                </c:pt>
                <c:pt idx="96">
                  <c:v>96.286332510686123</c:v>
                </c:pt>
                <c:pt idx="97">
                  <c:v>96.413640573095179</c:v>
                </c:pt>
                <c:pt idx="98">
                  <c:v>96.544086420214242</c:v>
                </c:pt>
                <c:pt idx="99">
                  <c:v>96.677729283543044</c:v>
                </c:pt>
                <c:pt idx="100">
                  <c:v>96.814629563034501</c:v>
                </c:pt>
                <c:pt idx="101">
                  <c:v>96.954848827999214</c:v>
                </c:pt>
                <c:pt idx="102">
                  <c:v>97.098449816692707</c:v>
                </c:pt>
                <c:pt idx="103">
                  <c:v>97.245496434469558</c:v>
                </c:pt>
                <c:pt idx="104">
                  <c:v>97.396053750381213</c:v>
                </c:pt>
                <c:pt idx="105">
                  <c:v>97.550187992089207</c:v>
                </c:pt>
                <c:pt idx="106">
                  <c:v>97.707966538954423</c:v>
                </c:pt>
                <c:pt idx="107">
                  <c:v>97.869457913159721</c:v>
                </c:pt>
                <c:pt idx="108">
                  <c:v>98.034731768711779</c:v>
                </c:pt>
                <c:pt idx="109">
                  <c:v>98.203858878161071</c:v>
                </c:pt>
                <c:pt idx="110">
                  <c:v>98.376911116871369</c:v>
                </c:pt>
                <c:pt idx="111">
                  <c:v>98.553961444660047</c:v>
                </c:pt>
                <c:pt idx="112">
                  <c:v>98.735083884621602</c:v>
                </c:pt>
                <c:pt idx="113">
                  <c:v>98.920353498939733</c:v>
                </c:pt>
                <c:pt idx="114">
                  <c:v>99.109846361480592</c:v>
                </c:pt>
                <c:pt idx="115">
                  <c:v>99.303639526955365</c:v>
                </c:pt>
                <c:pt idx="116">
                  <c:v>99.501810996424524</c:v>
                </c:pt>
                <c:pt idx="117">
                  <c:v>99.704439678913985</c:v>
                </c:pt>
                <c:pt idx="118">
                  <c:v>99.911605348898277</c:v>
                </c:pt>
                <c:pt idx="119">
                  <c:v>100.12338859939889</c:v>
                </c:pt>
                <c:pt idx="120">
                  <c:v>100.33987079043806</c:v>
                </c:pt>
                <c:pt idx="121">
                  <c:v>100.56113399257676</c:v>
                </c:pt>
                <c:pt idx="122">
                  <c:v>100.7872609252597</c:v>
                </c:pt>
                <c:pt idx="123">
                  <c:v>101.01833488968181</c:v>
                </c:pt>
                <c:pt idx="124">
                  <c:v>101.25443969588105</c:v>
                </c:pt>
                <c:pt idx="125">
                  <c:v>101.49565958376003</c:v>
                </c:pt>
                <c:pt idx="126">
                  <c:v>101.74207913773076</c:v>
                </c:pt>
                <c:pt idx="127">
                  <c:v>101.99378319467053</c:v>
                </c:pt>
                <c:pt idx="128">
                  <c:v>102.25085674487849</c:v>
                </c:pt>
                <c:pt idx="129">
                  <c:v>102.51338482571636</c:v>
                </c:pt>
                <c:pt idx="130">
                  <c:v>102.78145240761823</c:v>
                </c:pt>
                <c:pt idx="131">
                  <c:v>103.05514427215562</c:v>
                </c:pt>
                <c:pt idx="132">
                  <c:v>103.33454488184876</c:v>
                </c:pt>
                <c:pt idx="133">
                  <c:v>103.61973824142018</c:v>
                </c:pt>
                <c:pt idx="134">
                  <c:v>103.91080775019442</c:v>
                </c:pt>
                <c:pt idx="135">
                  <c:v>104.20783604536363</c:v>
                </c:pt>
                <c:pt idx="136">
                  <c:v>104.51090483584734</c:v>
                </c:pt>
                <c:pt idx="137">
                  <c:v>104.82009472650216</c:v>
                </c:pt>
                <c:pt idx="138">
                  <c:v>105.13548503244721</c:v>
                </c:pt>
                <c:pt idx="139">
                  <c:v>105.45715358331449</c:v>
                </c:pt>
                <c:pt idx="140">
                  <c:v>105.78517651724623</c:v>
                </c:pt>
                <c:pt idx="141">
                  <c:v>106.11962806451301</c:v>
                </c:pt>
                <c:pt idx="142">
                  <c:v>106.46058032065882</c:v>
                </c:pt>
                <c:pt idx="143">
                  <c:v>106.80810300912968</c:v>
                </c:pt>
                <c:pt idx="144">
                  <c:v>107.16226323339379</c:v>
                </c:pt>
                <c:pt idx="145">
                  <c:v>107.52312521862393</c:v>
                </c:pt>
                <c:pt idx="146">
                  <c:v>107.89075004307008</c:v>
                </c:pt>
                <c:pt idx="147">
                  <c:v>108.26519535933478</c:v>
                </c:pt>
                <c:pt idx="148">
                  <c:v>108.64651510582797</c:v>
                </c:pt>
                <c:pt idx="149">
                  <c:v>109.03475920877717</c:v>
                </c:pt>
                <c:pt idx="150">
                  <c:v>109.42997327525232</c:v>
                </c:pt>
                <c:pt idx="151">
                  <c:v>109.83219827776644</c:v>
                </c:pt>
                <c:pt idx="152">
                  <c:v>110.24147023112312</c:v>
                </c:pt>
                <c:pt idx="153">
                  <c:v>110.6578198622863</c:v>
                </c:pt>
                <c:pt idx="154">
                  <c:v>111.08127227417496</c:v>
                </c:pt>
                <c:pt idx="155">
                  <c:v>111.51184660440195</c:v>
                </c:pt>
                <c:pt idx="156">
                  <c:v>111.9495556801085</c:v>
                </c:pt>
                <c:pt idx="157">
                  <c:v>112.3944056701776</c:v>
                </c:pt>
                <c:pt idx="158">
                  <c:v>112.84639573624455</c:v>
                </c:pt>
                <c:pt idx="159">
                  <c:v>113.30551768405876</c:v>
                </c:pt>
                <c:pt idx="160">
                  <c:v>113.77175561689083</c:v>
                </c:pt>
                <c:pt idx="161">
                  <c:v>114.2450855928126</c:v>
                </c:pt>
                <c:pt idx="162">
                  <c:v>114.72547528781072</c:v>
                </c:pt>
                <c:pt idx="163">
                  <c:v>115.2128836668259</c:v>
                </c:pt>
                <c:pt idx="164">
                  <c:v>115.70726066492446</c:v>
                </c:pt>
                <c:pt idx="165">
                  <c:v>116.20854688092902</c:v>
                </c:pt>
                <c:pt idx="166">
                  <c:v>116.71667328592542</c:v>
                </c:pt>
                <c:pt idx="167">
                  <c:v>117.23156094915936</c:v>
                </c:pt>
                <c:pt idx="168">
                  <c:v>117.753120783895</c:v>
                </c:pt>
                <c:pt idx="169">
                  <c:v>118.28125331586619</c:v>
                </c:pt>
                <c:pt idx="170">
                  <c:v>118.81584847697378</c:v>
                </c:pt>
                <c:pt idx="171">
                  <c:v>119.35678542688649</c:v>
                </c:pt>
                <c:pt idx="172">
                  <c:v>119.9039324051836</c:v>
                </c:pt>
                <c:pt idx="173">
                  <c:v>120.45714661661916</c:v>
                </c:pt>
                <c:pt idx="174">
                  <c:v>121.01627415200929</c:v>
                </c:pt>
                <c:pt idx="175">
                  <c:v>121.58114994712827</c:v>
                </c:pt>
                <c:pt idx="176">
                  <c:v>122.15159778184625</c:v>
                </c:pt>
                <c:pt idx="177">
                  <c:v>122.72743032156328</c:v>
                </c:pt>
                <c:pt idx="178">
                  <c:v>123.30844920277167</c:v>
                </c:pt>
                <c:pt idx="179">
                  <c:v>123.894445164329</c:v>
                </c:pt>
                <c:pt idx="180">
                  <c:v>124.48519822573748</c:v>
                </c:pt>
                <c:pt idx="181">
                  <c:v>125.08047791341028</c:v>
                </c:pt>
                <c:pt idx="182">
                  <c:v>125.68004353555472</c:v>
                </c:pt>
                <c:pt idx="183">
                  <c:v>126.28364450593466</c:v>
                </c:pt>
                <c:pt idx="184">
                  <c:v>126.89102071637629</c:v>
                </c:pt>
                <c:pt idx="185">
                  <c:v>127.50190295747016</c:v>
                </c:pt>
                <c:pt idx="186">
                  <c:v>128.11601338649331</c:v>
                </c:pt>
                <c:pt idx="187">
                  <c:v>128.73306604114532</c:v>
                </c:pt>
                <c:pt idx="188">
                  <c:v>129.3527673972514</c:v>
                </c:pt>
                <c:pt idx="189">
                  <c:v>129.97481696815976</c:v>
                </c:pt>
                <c:pt idx="190">
                  <c:v>130.59890794313367</c:v>
                </c:pt>
                <c:pt idx="191">
                  <c:v>131.22472786164209</c:v>
                </c:pt>
                <c:pt idx="192">
                  <c:v>131.85195932006849</c:v>
                </c:pt>
                <c:pt idx="193">
                  <c:v>132.48028070701093</c:v>
                </c:pt>
                <c:pt idx="194">
                  <c:v>133.10936696303543</c:v>
                </c:pt>
                <c:pt idx="195">
                  <c:v>133.73889036046901</c:v>
                </c:pt>
                <c:pt idx="196">
                  <c:v>134.36852129859889</c:v>
                </c:pt>
                <c:pt idx="197">
                  <c:v>134.99792910946692</c:v>
                </c:pt>
                <c:pt idx="198">
                  <c:v>135.62678286932675</c:v>
                </c:pt>
                <c:pt idx="199">
                  <c:v>136.25475221077124</c:v>
                </c:pt>
                <c:pt idx="200">
                  <c:v>136.8815081305209</c:v>
                </c:pt>
                <c:pt idx="201">
                  <c:v>137.50672378791811</c:v>
                </c:pt>
                <c:pt idx="202">
                  <c:v>138.13007528927949</c:v>
                </c:pt>
                <c:pt idx="203">
                  <c:v>138.75124245340905</c:v>
                </c:pt>
                <c:pt idx="204">
                  <c:v>139.36990955379338</c:v>
                </c:pt>
                <c:pt idx="205">
                  <c:v>139.98576603325068</c:v>
                </c:pt>
                <c:pt idx="206">
                  <c:v>140.59850718711832</c:v>
                </c:pt>
                <c:pt idx="207">
                  <c:v>141.207834811384</c:v>
                </c:pt>
                <c:pt idx="208">
                  <c:v>141.81345781255561</c:v>
                </c:pt>
                <c:pt idx="209">
                  <c:v>142.41509277644914</c:v>
                </c:pt>
                <c:pt idx="210">
                  <c:v>143.01246449349262</c:v>
                </c:pt>
                <c:pt idx="211">
                  <c:v>143.60530643857498</c:v>
                </c:pt>
                <c:pt idx="212">
                  <c:v>144.19336120390483</c:v>
                </c:pt>
                <c:pt idx="213">
                  <c:v>144.77638088377302</c:v>
                </c:pt>
                <c:pt idx="214">
                  <c:v>145.35412741054969</c:v>
                </c:pt>
                <c:pt idx="215">
                  <c:v>145.9263728416588</c:v>
                </c:pt>
                <c:pt idx="216">
                  <c:v>146.49289959767691</c:v>
                </c:pt>
                <c:pt idx="217">
                  <c:v>147.05350065208046</c:v>
                </c:pt>
                <c:pt idx="218">
                  <c:v>147.60797967352036</c:v>
                </c:pt>
                <c:pt idx="219">
                  <c:v>148.15615112183147</c:v>
                </c:pt>
                <c:pt idx="220">
                  <c:v>148.69784029927462</c:v>
                </c:pt>
                <c:pt idx="221">
                  <c:v>149.23288335877368</c:v>
                </c:pt>
                <c:pt idx="222">
                  <c:v>149.76112727114145</c:v>
                </c:pt>
                <c:pt idx="223">
                  <c:v>150.28242975347348</c:v>
                </c:pt>
                <c:pt idx="224">
                  <c:v>150.79665916105705</c:v>
                </c:pt>
                <c:pt idx="225">
                  <c:v>151.3036943452619</c:v>
                </c:pt>
                <c:pt idx="226">
                  <c:v>151.80342447997245</c:v>
                </c:pt>
                <c:pt idx="227">
                  <c:v>152.2957488591868</c:v>
                </c:pt>
                <c:pt idx="228">
                  <c:v>152.78057666843057</c:v>
                </c:pt>
                <c:pt idx="229">
                  <c:v>153.25782673264885</c:v>
                </c:pt>
                <c:pt idx="230">
                  <c:v>153.72742724320653</c:v>
                </c:pt>
                <c:pt idx="231">
                  <c:v>154.18931546659394</c:v>
                </c:pt>
                <c:pt idx="232">
                  <c:v>154.64343743736373</c:v>
                </c:pt>
                <c:pt idx="233">
                  <c:v>155.08974763775041</c:v>
                </c:pt>
                <c:pt idx="234">
                  <c:v>155.52820866631811</c:v>
                </c:pt>
                <c:pt idx="235">
                  <c:v>155.95879089788474</c:v>
                </c:pt>
                <c:pt idx="236">
                  <c:v>156.38147213684508</c:v>
                </c:pt>
                <c:pt idx="237">
                  <c:v>156.79623726588994</c:v>
                </c:pt>
                <c:pt idx="238">
                  <c:v>157.20307789198912</c:v>
                </c:pt>
                <c:pt idx="239">
                  <c:v>157.6019919913692</c:v>
                </c:pt>
                <c:pt idx="240">
                  <c:v>157.99298355507938</c:v>
                </c:pt>
                <c:pt idx="241">
                  <c:v>158.37606223660327</c:v>
                </c:pt>
                <c:pt idx="242">
                  <c:v>158.75124300283696</c:v>
                </c:pt>
                <c:pt idx="243">
                  <c:v>159.11854578962146</c:v>
                </c:pt>
                <c:pt idx="244">
                  <c:v>159.47799516288774</c:v>
                </c:pt>
                <c:pt idx="245">
                  <c:v>159.82961998634647</c:v>
                </c:pt>
                <c:pt idx="246">
                  <c:v>160.17345309653632</c:v>
                </c:pt>
                <c:pt idx="247">
                  <c:v>160.50953098592862</c:v>
                </c:pt>
                <c:pt idx="248">
                  <c:v>160.83789349468208</c:v>
                </c:pt>
                <c:pt idx="249">
                  <c:v>161.15858351153253</c:v>
                </c:pt>
                <c:pt idx="250">
                  <c:v>161.47164668421919</c:v>
                </c:pt>
                <c:pt idx="251">
                  <c:v>161.7771311397504</c:v>
                </c:pt>
                <c:pt idx="252">
                  <c:v>162.07508721473897</c:v>
                </c:pt>
                <c:pt idx="253">
                  <c:v>162.36556719595893</c:v>
                </c:pt>
                <c:pt idx="254">
                  <c:v>162.64862507121165</c:v>
                </c:pt>
                <c:pt idx="255">
                  <c:v>162.92431629052368</c:v>
                </c:pt>
                <c:pt idx="256">
                  <c:v>163.19269753765158</c:v>
                </c:pt>
                <c:pt idx="257">
                  <c:v>163.45382651181185</c:v>
                </c:pt>
                <c:pt idx="258">
                  <c:v>163.70776171951908</c:v>
                </c:pt>
                <c:pt idx="259">
                  <c:v>163.95456227637263</c:v>
                </c:pt>
                <c:pt idx="260">
                  <c:v>164.1942877186018</c:v>
                </c:pt>
                <c:pt idx="261">
                  <c:v>164.42699782415255</c:v>
                </c:pt>
                <c:pt idx="262">
                  <c:v>164.65275244307276</c:v>
                </c:pt>
                <c:pt idx="263">
                  <c:v>164.87161133693689</c:v>
                </c:pt>
                <c:pt idx="264">
                  <c:v>165.08363402703299</c:v>
                </c:pt>
                <c:pt idx="265">
                  <c:v>165.28887965102314</c:v>
                </c:pt>
                <c:pt idx="266">
                  <c:v>165.48740682777984</c:v>
                </c:pt>
                <c:pt idx="267">
                  <c:v>165.67927353009458</c:v>
                </c:pt>
                <c:pt idx="268">
                  <c:v>165.86453696494948</c:v>
                </c:pt>
                <c:pt idx="269">
                  <c:v>166.04325346104295</c:v>
                </c:pt>
                <c:pt idx="270">
                  <c:v>166.21547836325976</c:v>
                </c:pt>
                <c:pt idx="271">
                  <c:v>166.38126593377797</c:v>
                </c:pt>
                <c:pt idx="272">
                  <c:v>166.54066925950914</c:v>
                </c:pt>
                <c:pt idx="273">
                  <c:v>166.69374016557319</c:v>
                </c:pt>
                <c:pt idx="274">
                  <c:v>166.84052913451558</c:v>
                </c:pt>
                <c:pt idx="275">
                  <c:v>166.98108523098082</c:v>
                </c:pt>
                <c:pt idx="276">
                  <c:v>167.115456031566</c:v>
                </c:pt>
                <c:pt idx="277">
                  <c:v>167.24368755958537</c:v>
                </c:pt>
                <c:pt idx="278">
                  <c:v>167.36582422448654</c:v>
                </c:pt>
                <c:pt idx="279">
                  <c:v>167.48190876567</c:v>
                </c:pt>
                <c:pt idx="280">
                  <c:v>167.59198220047224</c:v>
                </c:pt>
                <c:pt idx="281">
                  <c:v>167.69608377608455</c:v>
                </c:pt>
                <c:pt idx="282">
                  <c:v>167.79425092518974</c:v>
                </c:pt>
                <c:pt idx="283">
                  <c:v>167.88651922511039</c:v>
                </c:pt>
                <c:pt idx="284">
                  <c:v>167.97292236027326</c:v>
                </c:pt>
                <c:pt idx="285">
                  <c:v>168.05349208780552</c:v>
                </c:pt>
                <c:pt idx="286">
                  <c:v>168.12825820608941</c:v>
                </c:pt>
                <c:pt idx="287">
                  <c:v>168.19724852611432</c:v>
                </c:pt>
                <c:pt idx="288">
                  <c:v>168.26048884547478</c:v>
                </c:pt>
                <c:pt idx="289">
                  <c:v>168.31800292487509</c:v>
                </c:pt>
                <c:pt idx="290">
                  <c:v>168.36981246701225</c:v>
                </c:pt>
                <c:pt idx="291">
                  <c:v>168.41593709771925</c:v>
                </c:pt>
                <c:pt idx="292">
                  <c:v>168.45639434926218</c:v>
                </c:pt>
                <c:pt idx="293">
                  <c:v>168.49119964569553</c:v>
                </c:pt>
                <c:pt idx="294">
                  <c:v>168.5203662901894</c:v>
                </c:pt>
                <c:pt idx="295">
                  <c:v>168.54390545425585</c:v>
                </c:pt>
                <c:pt idx="296">
                  <c:v>168.56182616880827</c:v>
                </c:pt>
                <c:pt idx="297">
                  <c:v>168.57413531700169</c:v>
                </c:pt>
                <c:pt idx="298">
                  <c:v>168.5808376288096</c:v>
                </c:pt>
                <c:pt idx="299">
                  <c:v>168.58193567730518</c:v>
                </c:pt>
                <c:pt idx="300">
                  <c:v>168.57742987662408</c:v>
                </c:pt>
                <c:pt idx="301">
                  <c:v>168.56731848159583</c:v>
                </c:pt>
                <c:pt idx="302">
                  <c:v>168.55159758904264</c:v>
                </c:pt>
                <c:pt idx="303">
                  <c:v>168.530261140753</c:v>
                </c:pt>
                <c:pt idx="304">
                  <c:v>168.50330092814812</c:v>
                </c:pt>
                <c:pt idx="305">
                  <c:v>168.47070659867126</c:v>
                </c:pt>
                <c:pt idx="306">
                  <c:v>168.43246566393708</c:v>
                </c:pt>
                <c:pt idx="307">
                  <c:v>168.38856350969135</c:v>
                </c:pt>
                <c:pt idx="308">
                  <c:v>168.33898340764048</c:v>
                </c:pt>
                <c:pt idx="309">
                  <c:v>168.28370652922112</c:v>
                </c:pt>
                <c:pt idx="310">
                  <c:v>168.22271196139027</c:v>
                </c:pt>
                <c:pt idx="311">
                  <c:v>168.1559767245277</c:v>
                </c:pt>
                <c:pt idx="312">
                  <c:v>168.0834757925526</c:v>
                </c:pt>
                <c:pt idx="313">
                  <c:v>168.00518211536746</c:v>
                </c:pt>
                <c:pt idx="314">
                  <c:v>167.92106664375331</c:v>
                </c:pt>
                <c:pt idx="315">
                  <c:v>167.83109835685116</c:v>
                </c:pt>
                <c:pt idx="316">
                  <c:v>167.735244292375</c:v>
                </c:pt>
                <c:pt idx="317">
                  <c:v>167.63346957971501</c:v>
                </c:pt>
                <c:pt idx="318">
                  <c:v>167.52573747609759</c:v>
                </c:pt>
                <c:pt idx="319">
                  <c:v>167.4120094059829</c:v>
                </c:pt>
                <c:pt idx="320">
                  <c:v>167.29224500389043</c:v>
                </c:pt>
                <c:pt idx="321">
                  <c:v>167.16640216085383</c:v>
                </c:pt>
                <c:pt idx="322">
                  <c:v>167.03443707471916</c:v>
                </c:pt>
                <c:pt idx="323">
                  <c:v>166.89630430450885</c:v>
                </c:pt>
                <c:pt idx="324">
                  <c:v>166.75195682908699</c:v>
                </c:pt>
                <c:pt idx="325">
                  <c:v>166.60134611037094</c:v>
                </c:pt>
                <c:pt idx="326">
                  <c:v>166.44442216134294</c:v>
                </c:pt>
                <c:pt idx="327">
                  <c:v>166.2811336191279</c:v>
                </c:pt>
                <c:pt idx="328">
                  <c:v>166.11142782340994</c:v>
                </c:pt>
                <c:pt idx="329">
                  <c:v>165.93525090047038</c:v>
                </c:pt>
                <c:pt idx="330">
                  <c:v>165.75254785313555</c:v>
                </c:pt>
                <c:pt idx="331">
                  <c:v>165.56326265693261</c:v>
                </c:pt>
                <c:pt idx="332">
                  <c:v>165.36733836275275</c:v>
                </c:pt>
                <c:pt idx="333">
                  <c:v>165.16471720633024</c:v>
                </c:pt>
                <c:pt idx="334">
                  <c:v>164.95534072484338</c:v>
                </c:pt>
                <c:pt idx="335">
                  <c:v>164.73914988094973</c:v>
                </c:pt>
                <c:pt idx="336">
                  <c:v>164.51608519456317</c:v>
                </c:pt>
                <c:pt idx="337">
                  <c:v>164.28608688267911</c:v>
                </c:pt>
                <c:pt idx="338">
                  <c:v>164.04909500754891</c:v>
                </c:pt>
                <c:pt idx="339">
                  <c:v>163.80504963349676</c:v>
                </c:pt>
                <c:pt idx="340">
                  <c:v>163.55389099265949</c:v>
                </c:pt>
                <c:pt idx="341">
                  <c:v>163.29555965991869</c:v>
                </c:pt>
                <c:pt idx="342">
                  <c:v>163.02999673727354</c:v>
                </c:pt>
                <c:pt idx="343">
                  <c:v>162.75714404788405</c:v>
                </c:pt>
                <c:pt idx="344">
                  <c:v>162.47694433998521</c:v>
                </c:pt>
                <c:pt idx="345">
                  <c:v>162.18934150084658</c:v>
                </c:pt>
                <c:pt idx="346">
                  <c:v>161.89428078091134</c:v>
                </c:pt>
                <c:pt idx="347">
                  <c:v>161.59170902821239</c:v>
                </c:pt>
                <c:pt idx="348">
                  <c:v>161.28157493311542</c:v>
                </c:pt>
                <c:pt idx="349">
                  <c:v>160.96382928338676</c:v>
                </c:pt>
                <c:pt idx="350">
                  <c:v>160.63842522952527</c:v>
                </c:pt>
                <c:pt idx="351">
                  <c:v>160.30531856023657</c:v>
                </c:pt>
                <c:pt idx="352">
                  <c:v>159.9644679878491</c:v>
                </c:pt>
                <c:pt idx="353">
                  <c:v>159.61583544340508</c:v>
                </c:pt>
                <c:pt idx="354">
                  <c:v>159.25938638106192</c:v>
                </c:pt>
                <c:pt idx="355">
                  <c:v>158.89509009136069</c:v>
                </c:pt>
                <c:pt idx="356">
                  <c:v>158.52292002280814</c:v>
                </c:pt>
                <c:pt idx="357">
                  <c:v>158.14285411112363</c:v>
                </c:pt>
                <c:pt idx="358">
                  <c:v>157.75487511538324</c:v>
                </c:pt>
                <c:pt idx="359">
                  <c:v>157.35897096018292</c:v>
                </c:pt>
                <c:pt idx="360">
                  <c:v>156.95513508280985</c:v>
                </c:pt>
                <c:pt idx="361">
                  <c:v>156.54336678429632</c:v>
                </c:pt>
                <c:pt idx="362">
                  <c:v>156.12367158308462</c:v>
                </c:pt>
                <c:pt idx="363">
                  <c:v>155.69606156990679</c:v>
                </c:pt>
                <c:pt idx="364">
                  <c:v>155.26055576234282</c:v>
                </c:pt>
                <c:pt idx="365">
                  <c:v>154.81718045738151</c:v>
                </c:pt>
                <c:pt idx="366">
                  <c:v>154.36596958017472</c:v>
                </c:pt>
                <c:pt idx="367">
                  <c:v>153.90696502704313</c:v>
                </c:pt>
                <c:pt idx="368">
                  <c:v>153.44021700065719</c:v>
                </c:pt>
                <c:pt idx="369">
                  <c:v>152.9657843352033</c:v>
                </c:pt>
                <c:pt idx="370">
                  <c:v>152.48373480922561</c:v>
                </c:pt>
                <c:pt idx="371">
                  <c:v>151.99414544373383</c:v>
                </c:pt>
                <c:pt idx="372">
                  <c:v>151.49710278308194</c:v>
                </c:pt>
                <c:pt idx="373">
                  <c:v>150.99270315604775</c:v>
                </c:pt>
                <c:pt idx="374">
                  <c:v>150.48105291449593</c:v>
                </c:pt>
                <c:pt idx="375">
                  <c:v>149.96226864696843</c:v>
                </c:pt>
                <c:pt idx="376">
                  <c:v>149.43647736454787</c:v>
                </c:pt>
                <c:pt idx="377">
                  <c:v>148.903816656354</c:v>
                </c:pt>
                <c:pt idx="378">
                  <c:v>148.36443481208403</c:v>
                </c:pt>
                <c:pt idx="379">
                  <c:v>147.81849090908381</c:v>
                </c:pt>
                <c:pt idx="380">
                  <c:v>147.26615486155151</c:v>
                </c:pt>
                <c:pt idx="381">
                  <c:v>146.70760742962094</c:v>
                </c:pt>
                <c:pt idx="382">
                  <c:v>146.14304018624324</c:v>
                </c:pt>
                <c:pt idx="383">
                  <c:v>145.57265544001012</c:v>
                </c:pt>
                <c:pt idx="384">
                  <c:v>144.99666611230094</c:v>
                </c:pt>
                <c:pt idx="385">
                  <c:v>144.41529556742339</c:v>
                </c:pt>
                <c:pt idx="386">
                  <c:v>143.82877739472684</c:v>
                </c:pt>
                <c:pt idx="387">
                  <c:v>143.23735514201022</c:v>
                </c:pt>
                <c:pt idx="388">
                  <c:v>142.6412819999199</c:v>
                </c:pt>
                <c:pt idx="389">
                  <c:v>142.04082043742045</c:v>
                </c:pt>
                <c:pt idx="390">
                  <c:v>141.43624178883505</c:v>
                </c:pt>
                <c:pt idx="391">
                  <c:v>140.82782579337592</c:v>
                </c:pt>
                <c:pt idx="392">
                  <c:v>140.21586008851799</c:v>
                </c:pt>
                <c:pt idx="393">
                  <c:v>139.60063965901105</c:v>
                </c:pt>
                <c:pt idx="394">
                  <c:v>138.98246624374556</c:v>
                </c:pt>
                <c:pt idx="395">
                  <c:v>138.36164770312251</c:v>
                </c:pt>
                <c:pt idx="396">
                  <c:v>137.73849734997486</c:v>
                </c:pt>
                <c:pt idx="397">
                  <c:v>137.11333324747508</c:v>
                </c:pt>
                <c:pt idx="398">
                  <c:v>136.48647747780888</c:v>
                </c:pt>
                <c:pt idx="399">
                  <c:v>135.85825538572809</c:v>
                </c:pt>
                <c:pt idx="400">
                  <c:v>135.22899480135118</c:v>
                </c:pt>
                <c:pt idx="401">
                  <c:v>134.59902524682906</c:v>
                </c:pt>
                <c:pt idx="402">
                  <c:v>133.96867713166424</c:v>
                </c:pt>
                <c:pt idx="403">
                  <c:v>133.33828094160214</c:v>
                </c:pt>
                <c:pt idx="404">
                  <c:v>132.70816642608918</c:v>
                </c:pt>
                <c:pt idx="405">
                  <c:v>132.07866178929771</c:v>
                </c:pt>
                <c:pt idx="406">
                  <c:v>131.4500928896916</c:v>
                </c:pt>
                <c:pt idx="407">
                  <c:v>130.8227824529929</c:v>
                </c:pt>
                <c:pt idx="408">
                  <c:v>130.19704930326648</c:v>
                </c:pt>
                <c:pt idx="409">
                  <c:v>129.57320761663652</c:v>
                </c:pt>
                <c:pt idx="410">
                  <c:v>128.95156620188877</c:v>
                </c:pt>
                <c:pt idx="411">
                  <c:v>128.33242781192538</c:v>
                </c:pt>
                <c:pt idx="412">
                  <c:v>127.71608848969827</c:v>
                </c:pt>
                <c:pt idx="413">
                  <c:v>127.10283695188227</c:v>
                </c:pt>
                <c:pt idx="414">
                  <c:v>126.49295401315743</c:v>
                </c:pt>
                <c:pt idx="415">
                  <c:v>125.88671205355175</c:v>
                </c:pt>
                <c:pt idx="416">
                  <c:v>125.28437453087082</c:v>
                </c:pt>
                <c:pt idx="417">
                  <c:v>124.68619553980969</c:v>
                </c:pt>
                <c:pt idx="418">
                  <c:v>124.09241941889167</c:v>
                </c:pt>
                <c:pt idx="419">
                  <c:v>123.5032804059727</c:v>
                </c:pt>
                <c:pt idx="420">
                  <c:v>122.91900234260771</c:v>
                </c:pt>
                <c:pt idx="421">
                  <c:v>122.33979842718578</c:v>
                </c:pt>
                <c:pt idx="422">
                  <c:v>121.76587101635235</c:v>
                </c:pt>
                <c:pt idx="423">
                  <c:v>121.19741147388487</c:v>
                </c:pt>
                <c:pt idx="424">
                  <c:v>120.63460006584683</c:v>
                </c:pt>
                <c:pt idx="425">
                  <c:v>120.07760590056482</c:v>
                </c:pt>
                <c:pt idx="426">
                  <c:v>119.52658691168735</c:v>
                </c:pt>
                <c:pt idx="427">
                  <c:v>118.98168988236404</c:v>
                </c:pt>
                <c:pt idx="428">
                  <c:v>118.44305050838302</c:v>
                </c:pt>
                <c:pt idx="429">
                  <c:v>117.91079349793768</c:v>
                </c:pt>
                <c:pt idx="430">
                  <c:v>117.38503270556862</c:v>
                </c:pt>
                <c:pt idx="431">
                  <c:v>116.86587129772792</c:v>
                </c:pt>
                <c:pt idx="432">
                  <c:v>116.35340194734938</c:v>
                </c:pt>
                <c:pt idx="433">
                  <c:v>115.84770705477101</c:v>
                </c:pt>
                <c:pt idx="434">
                  <c:v>115.34885899234973</c:v>
                </c:pt>
                <c:pt idx="435">
                  <c:v>114.85692037013075</c:v>
                </c:pt>
                <c:pt idx="436">
                  <c:v>114.37194431996303</c:v>
                </c:pt>
                <c:pt idx="437">
                  <c:v>113.89397479552987</c:v>
                </c:pt>
                <c:pt idx="438">
                  <c:v>113.42304688582949</c:v>
                </c:pt>
                <c:pt idx="439">
                  <c:v>112.95918713973867</c:v>
                </c:pt>
                <c:pt idx="440">
                  <c:v>112.50241389940587</c:v>
                </c:pt>
                <c:pt idx="441">
                  <c:v>112.0527376403263</c:v>
                </c:pt>
                <c:pt idx="442">
                  <c:v>111.61016131608756</c:v>
                </c:pt>
                <c:pt idx="443">
                  <c:v>111.17468070589915</c:v>
                </c:pt>
                <c:pt idx="444">
                  <c:v>110.74628476315392</c:v>
                </c:pt>
                <c:pt idx="445">
                  <c:v>110.32495596341423</c:v>
                </c:pt>
                <c:pt idx="446">
                  <c:v>109.91067065033974</c:v>
                </c:pt>
                <c:pt idx="447">
                  <c:v>109.50339937822271</c:v>
                </c:pt>
                <c:pt idx="448">
                  <c:v>109.10310724992289</c:v>
                </c:pt>
                <c:pt idx="449">
                  <c:v>108.70975424912629</c:v>
                </c:pt>
                <c:pt idx="450">
                  <c:v>108.32329556597773</c:v>
                </c:pt>
                <c:pt idx="451">
                  <c:v>107.94368191525975</c:v>
                </c:pt>
                <c:pt idx="452">
                  <c:v>107.57085984640098</c:v>
                </c:pt>
                <c:pt idx="453">
                  <c:v>107.20477204471092</c:v>
                </c:pt>
                <c:pt idx="454">
                  <c:v>106.8453576233355</c:v>
                </c:pt>
                <c:pt idx="455">
                  <c:v>106.49255240552708</c:v>
                </c:pt>
                <c:pt idx="456">
                  <c:v>106.14628919690817</c:v>
                </c:pt>
                <c:pt idx="457">
                  <c:v>105.80649804749174</c:v>
                </c:pt>
                <c:pt idx="458">
                  <c:v>105.4731065032946</c:v>
                </c:pt>
                <c:pt idx="459">
                  <c:v>105.14603984744947</c:v>
                </c:pt>
                <c:pt idx="460">
                  <c:v>104.82522133078176</c:v>
                </c:pt>
                <c:pt idx="461">
                  <c:v>104.51057239187458</c:v>
                </c:pt>
                <c:pt idx="462">
                  <c:v>104.20201286669258</c:v>
                </c:pt>
                <c:pt idx="463">
                  <c:v>103.89946118788066</c:v>
                </c:pt>
                <c:pt idx="464">
                  <c:v>103.60283457389126</c:v>
                </c:pt>
                <c:pt idx="465">
                  <c:v>103.31204920812762</c:v>
                </c:pt>
                <c:pt idx="466">
                  <c:v>103.02702040831829</c:v>
                </c:pt>
                <c:pt idx="467">
                  <c:v>102.74766278636378</c:v>
                </c:pt>
                <c:pt idx="468">
                  <c:v>102.47389039891435</c:v>
                </c:pt>
                <c:pt idx="469">
                  <c:v>102.20561688895694</c:v>
                </c:pt>
                <c:pt idx="470">
                  <c:v>101.94275561870093</c:v>
                </c:pt>
                <c:pt idx="471">
                  <c:v>101.68521979406079</c:v>
                </c:pt>
                <c:pt idx="472">
                  <c:v>101.43292258104572</c:v>
                </c:pt>
                <c:pt idx="473">
                  <c:v>101.18577721436564</c:v>
                </c:pt>
                <c:pt idx="474">
                  <c:v>100.94369709856873</c:v>
                </c:pt>
                <c:pt idx="475">
                  <c:v>100.7065959020259</c:v>
                </c:pt>
                <c:pt idx="476">
                  <c:v>100.47438764407514</c:v>
                </c:pt>
                <c:pt idx="477">
                  <c:v>100.2469867756372</c:v>
                </c:pt>
                <c:pt idx="478">
                  <c:v>100.02430825360887</c:v>
                </c:pt>
                <c:pt idx="479">
                  <c:v>99.806267609336444</c:v>
                </c:pt>
                <c:pt idx="480">
                  <c:v>99.592781011464112</c:v>
                </c:pt>
                <c:pt idx="481">
                  <c:v>99.383765323446212</c:v>
                </c:pt>
                <c:pt idx="482">
                  <c:v>99.179138156003901</c:v>
                </c:pt>
                <c:pt idx="483">
                  <c:v>98.978817914799677</c:v>
                </c:pt>
                <c:pt idx="484">
                  <c:v>98.782723843593146</c:v>
                </c:pt>
                <c:pt idx="485">
                  <c:v>98.590776063133035</c:v>
                </c:pt>
                <c:pt idx="486">
                  <c:v>98.40289560603297</c:v>
                </c:pt>
                <c:pt idx="487">
                  <c:v>98.219004447865373</c:v>
                </c:pt>
                <c:pt idx="488">
                  <c:v>98.039025534703271</c:v>
                </c:pt>
                <c:pt idx="489">
                  <c:v>97.862882807325917</c:v>
                </c:pt>
                <c:pt idx="490">
                  <c:v>97.690501222297897</c:v>
                </c:pt>
                <c:pt idx="491">
                  <c:v>97.521806770120889</c:v>
                </c:pt>
                <c:pt idx="492">
                  <c:v>97.356726490647958</c:v>
                </c:pt>
                <c:pt idx="493">
                  <c:v>97.195188485941756</c:v>
                </c:pt>
                <c:pt idx="494">
                  <c:v>97.037121930748583</c:v>
                </c:pt>
                <c:pt idx="495">
                  <c:v>96.882457080753227</c:v>
                </c:pt>
                <c:pt idx="496">
                  <c:v>96.731125278769056</c:v>
                </c:pt>
                <c:pt idx="497">
                  <c:v>96.583058959010401</c:v>
                </c:pt>
                <c:pt idx="498">
                  <c:v>96.438191649588916</c:v>
                </c:pt>
                <c:pt idx="499">
                  <c:v>96.296457973363275</c:v>
                </c:pt>
                <c:pt idx="500">
                  <c:v>96.157793647268718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141-4D19-9DBC-690DDB1D00CA}"/>
            </c:ext>
          </c:extLst>
        </c:ser>
        <c:ser>
          <c:idx val="1"/>
          <c:order val="7"/>
          <c:tx>
            <c:strRef>
              <c:f>'Small Signal'!$I$507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'Small Signal'!$I$511:$I$612</c:f>
              <c:numCache>
                <c:formatCode>General</c:formatCode>
                <c:ptCount val="102"/>
                <c:pt idx="0">
                  <c:v>10</c:v>
                </c:pt>
                <c:pt idx="1">
                  <c:v>12.59</c:v>
                </c:pt>
                <c:pt idx="2">
                  <c:v>15.85</c:v>
                </c:pt>
                <c:pt idx="3">
                  <c:v>19.95</c:v>
                </c:pt>
                <c:pt idx="4">
                  <c:v>25.12</c:v>
                </c:pt>
                <c:pt idx="5">
                  <c:v>31.62</c:v>
                </c:pt>
                <c:pt idx="6">
                  <c:v>39.81</c:v>
                </c:pt>
                <c:pt idx="7">
                  <c:v>50.12</c:v>
                </c:pt>
                <c:pt idx="8">
                  <c:v>63.1</c:v>
                </c:pt>
                <c:pt idx="9">
                  <c:v>79.44</c:v>
                </c:pt>
                <c:pt idx="10">
                  <c:v>100</c:v>
                </c:pt>
                <c:pt idx="11">
                  <c:v>125.9</c:v>
                </c:pt>
                <c:pt idx="12">
                  <c:v>158.5</c:v>
                </c:pt>
                <c:pt idx="13">
                  <c:v>199.5</c:v>
                </c:pt>
                <c:pt idx="14">
                  <c:v>251.2</c:v>
                </c:pt>
                <c:pt idx="15">
                  <c:v>316.2</c:v>
                </c:pt>
                <c:pt idx="16">
                  <c:v>398.1</c:v>
                </c:pt>
                <c:pt idx="17">
                  <c:v>501.2</c:v>
                </c:pt>
                <c:pt idx="18">
                  <c:v>631</c:v>
                </c:pt>
                <c:pt idx="19">
                  <c:v>794.4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7944</c:v>
                </c:pt>
                <c:pt idx="30">
                  <c:v>10000</c:v>
                </c:pt>
                <c:pt idx="31">
                  <c:v>12590</c:v>
                </c:pt>
                <c:pt idx="32">
                  <c:v>15850</c:v>
                </c:pt>
                <c:pt idx="33">
                  <c:v>19950</c:v>
                </c:pt>
                <c:pt idx="34">
                  <c:v>25120</c:v>
                </c:pt>
                <c:pt idx="35">
                  <c:v>31620</c:v>
                </c:pt>
                <c:pt idx="36">
                  <c:v>39810</c:v>
                </c:pt>
                <c:pt idx="37">
                  <c:v>50120</c:v>
                </c:pt>
                <c:pt idx="38">
                  <c:v>63100</c:v>
                </c:pt>
                <c:pt idx="39">
                  <c:v>79440</c:v>
                </c:pt>
                <c:pt idx="40">
                  <c:v>100000</c:v>
                </c:pt>
                <c:pt idx="41">
                  <c:v>125900</c:v>
                </c:pt>
                <c:pt idx="42">
                  <c:v>158500</c:v>
                </c:pt>
                <c:pt idx="43">
                  <c:v>199500</c:v>
                </c:pt>
                <c:pt idx="44">
                  <c:v>251200</c:v>
                </c:pt>
                <c:pt idx="45">
                  <c:v>316200</c:v>
                </c:pt>
                <c:pt idx="46">
                  <c:v>398100</c:v>
                </c:pt>
                <c:pt idx="47">
                  <c:v>501200</c:v>
                </c:pt>
                <c:pt idx="48">
                  <c:v>631000</c:v>
                </c:pt>
                <c:pt idx="49">
                  <c:v>794400</c:v>
                </c:pt>
                <c:pt idx="50" formatCode="0.00E+00">
                  <c:v>1000000</c:v>
                </c:pt>
              </c:numCache>
            </c:numRef>
          </c:xVal>
          <c:yVal>
            <c:numRef>
              <c:f>'Small Signal'!$K$511:$K$612</c:f>
              <c:numCache>
                <c:formatCode>General</c:formatCode>
                <c:ptCount val="102"/>
                <c:pt idx="0">
                  <c:v>174.03</c:v>
                </c:pt>
                <c:pt idx="1">
                  <c:v>10.471</c:v>
                </c:pt>
                <c:pt idx="2">
                  <c:v>156.11000000000001</c:v>
                </c:pt>
                <c:pt idx="3">
                  <c:v>-168.2</c:v>
                </c:pt>
                <c:pt idx="4">
                  <c:v>173.51</c:v>
                </c:pt>
                <c:pt idx="5">
                  <c:v>139.72999999999999</c:v>
                </c:pt>
                <c:pt idx="6">
                  <c:v>136.25</c:v>
                </c:pt>
                <c:pt idx="7">
                  <c:v>127.18</c:v>
                </c:pt>
                <c:pt idx="8">
                  <c:v>123.47</c:v>
                </c:pt>
                <c:pt idx="9">
                  <c:v>118.43</c:v>
                </c:pt>
                <c:pt idx="10">
                  <c:v>113.19</c:v>
                </c:pt>
                <c:pt idx="11">
                  <c:v>107.02</c:v>
                </c:pt>
                <c:pt idx="12">
                  <c:v>106.26</c:v>
                </c:pt>
                <c:pt idx="13">
                  <c:v>104.03</c:v>
                </c:pt>
                <c:pt idx="14">
                  <c:v>103.26</c:v>
                </c:pt>
                <c:pt idx="15">
                  <c:v>103.39</c:v>
                </c:pt>
                <c:pt idx="16">
                  <c:v>103.34</c:v>
                </c:pt>
                <c:pt idx="17">
                  <c:v>104.35</c:v>
                </c:pt>
                <c:pt idx="18">
                  <c:v>105.57</c:v>
                </c:pt>
                <c:pt idx="19">
                  <c:v>106.78</c:v>
                </c:pt>
                <c:pt idx="20">
                  <c:v>106.81</c:v>
                </c:pt>
                <c:pt idx="21">
                  <c:v>105.07</c:v>
                </c:pt>
                <c:pt idx="22">
                  <c:v>101.35</c:v>
                </c:pt>
                <c:pt idx="23">
                  <c:v>96.534999999999997</c:v>
                </c:pt>
                <c:pt idx="24">
                  <c:v>92.039000000000001</c:v>
                </c:pt>
                <c:pt idx="25">
                  <c:v>88.516999999999996</c:v>
                </c:pt>
                <c:pt idx="26">
                  <c:v>85.623999999999995</c:v>
                </c:pt>
                <c:pt idx="27">
                  <c:v>83.033000000000001</c:v>
                </c:pt>
                <c:pt idx="28">
                  <c:v>80.275000000000006</c:v>
                </c:pt>
                <c:pt idx="29">
                  <c:v>77.093000000000004</c:v>
                </c:pt>
                <c:pt idx="30">
                  <c:v>73.228999999999999</c:v>
                </c:pt>
                <c:pt idx="31">
                  <c:v>68.453999999999994</c:v>
                </c:pt>
                <c:pt idx="32">
                  <c:v>63.189</c:v>
                </c:pt>
                <c:pt idx="33">
                  <c:v>56.701000000000001</c:v>
                </c:pt>
                <c:pt idx="34">
                  <c:v>48.667000000000002</c:v>
                </c:pt>
                <c:pt idx="35">
                  <c:v>39.034999999999997</c:v>
                </c:pt>
                <c:pt idx="36">
                  <c:v>27.765000000000001</c:v>
                </c:pt>
                <c:pt idx="37">
                  <c:v>15.042999999999999</c:v>
                </c:pt>
                <c:pt idx="38">
                  <c:v>-1.2692000000000001</c:v>
                </c:pt>
                <c:pt idx="39">
                  <c:v>-16.631</c:v>
                </c:pt>
                <c:pt idx="40">
                  <c:v>-32.988999999999997</c:v>
                </c:pt>
                <c:pt idx="41">
                  <c:v>-50.472999999999999</c:v>
                </c:pt>
                <c:pt idx="42">
                  <c:v>-69.144000000000005</c:v>
                </c:pt>
                <c:pt idx="43">
                  <c:v>-89.822000000000003</c:v>
                </c:pt>
                <c:pt idx="44">
                  <c:v>-113.72</c:v>
                </c:pt>
                <c:pt idx="45">
                  <c:v>-145.29</c:v>
                </c:pt>
                <c:pt idx="46">
                  <c:v>176.66</c:v>
                </c:pt>
                <c:pt idx="47">
                  <c:v>-165.65</c:v>
                </c:pt>
                <c:pt idx="48">
                  <c:v>-88.369</c:v>
                </c:pt>
                <c:pt idx="49">
                  <c:v>-95.198999999999998</c:v>
                </c:pt>
                <c:pt idx="50">
                  <c:v>-97.18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141-4D19-9DBC-690DDB1D00CA}"/>
            </c:ext>
          </c:extLst>
        </c:ser>
        <c:ser>
          <c:idx val="9"/>
          <c:order val="9"/>
          <c:tx>
            <c:strRef>
              <c:f>'Small Signal'!$M$507</c:f>
              <c:strCache>
                <c:ptCount val="1"/>
                <c:pt idx="0">
                  <c:v>Gvc</c:v>
                </c:pt>
              </c:strCache>
            </c:strRef>
          </c:tx>
          <c:marker>
            <c:symbol val="none"/>
          </c:marker>
          <c:xVal>
            <c:numRef>
              <c:f>'Small Signal'!$M$511:$M$612</c:f>
              <c:numCache>
                <c:formatCode>General</c:formatCode>
                <c:ptCount val="102"/>
                <c:pt idx="0">
                  <c:v>10</c:v>
                </c:pt>
                <c:pt idx="1">
                  <c:v>12.59</c:v>
                </c:pt>
                <c:pt idx="2">
                  <c:v>15.85</c:v>
                </c:pt>
                <c:pt idx="3">
                  <c:v>19.95</c:v>
                </c:pt>
                <c:pt idx="4">
                  <c:v>25.12</c:v>
                </c:pt>
                <c:pt idx="5">
                  <c:v>31.62</c:v>
                </c:pt>
                <c:pt idx="6">
                  <c:v>39.81</c:v>
                </c:pt>
                <c:pt idx="7">
                  <c:v>50.12</c:v>
                </c:pt>
                <c:pt idx="8">
                  <c:v>63.1</c:v>
                </c:pt>
                <c:pt idx="9">
                  <c:v>79.44</c:v>
                </c:pt>
                <c:pt idx="10">
                  <c:v>100</c:v>
                </c:pt>
                <c:pt idx="11">
                  <c:v>125.9</c:v>
                </c:pt>
                <c:pt idx="12">
                  <c:v>158.5</c:v>
                </c:pt>
                <c:pt idx="13">
                  <c:v>199.5</c:v>
                </c:pt>
                <c:pt idx="14">
                  <c:v>251.2</c:v>
                </c:pt>
                <c:pt idx="15">
                  <c:v>316.2</c:v>
                </c:pt>
                <c:pt idx="16">
                  <c:v>398.1</c:v>
                </c:pt>
                <c:pt idx="17">
                  <c:v>501.2</c:v>
                </c:pt>
                <c:pt idx="18">
                  <c:v>631</c:v>
                </c:pt>
                <c:pt idx="19">
                  <c:v>794.4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7944</c:v>
                </c:pt>
                <c:pt idx="30">
                  <c:v>10000</c:v>
                </c:pt>
                <c:pt idx="31">
                  <c:v>12590</c:v>
                </c:pt>
                <c:pt idx="32">
                  <c:v>15850</c:v>
                </c:pt>
                <c:pt idx="33">
                  <c:v>19950</c:v>
                </c:pt>
                <c:pt idx="34">
                  <c:v>25120</c:v>
                </c:pt>
                <c:pt idx="35">
                  <c:v>31620</c:v>
                </c:pt>
                <c:pt idx="36">
                  <c:v>39810</c:v>
                </c:pt>
                <c:pt idx="37">
                  <c:v>50120</c:v>
                </c:pt>
                <c:pt idx="38">
                  <c:v>63100</c:v>
                </c:pt>
                <c:pt idx="39">
                  <c:v>79440</c:v>
                </c:pt>
                <c:pt idx="40">
                  <c:v>100000</c:v>
                </c:pt>
                <c:pt idx="41">
                  <c:v>125900</c:v>
                </c:pt>
                <c:pt idx="42">
                  <c:v>158500</c:v>
                </c:pt>
                <c:pt idx="43">
                  <c:v>199500</c:v>
                </c:pt>
                <c:pt idx="44">
                  <c:v>251200</c:v>
                </c:pt>
                <c:pt idx="45">
                  <c:v>316200</c:v>
                </c:pt>
                <c:pt idx="46">
                  <c:v>398100</c:v>
                </c:pt>
                <c:pt idx="47">
                  <c:v>501200</c:v>
                </c:pt>
                <c:pt idx="48">
                  <c:v>631000</c:v>
                </c:pt>
                <c:pt idx="49">
                  <c:v>794400</c:v>
                </c:pt>
                <c:pt idx="50" formatCode="0.00E+00">
                  <c:v>1000000</c:v>
                </c:pt>
              </c:numCache>
            </c:numRef>
          </c:xVal>
          <c:yVal>
            <c:numRef>
              <c:f>'Small Signal'!$O$511:$O$612</c:f>
              <c:numCache>
                <c:formatCode>General</c:formatCode>
                <c:ptCount val="102"/>
                <c:pt idx="0">
                  <c:v>0.85629999999999995</c:v>
                </c:pt>
                <c:pt idx="1">
                  <c:v>0.83806000000000003</c:v>
                </c:pt>
                <c:pt idx="2">
                  <c:v>-1.2109000000000001</c:v>
                </c:pt>
                <c:pt idx="3">
                  <c:v>-0.48448999999999998</c:v>
                </c:pt>
                <c:pt idx="4">
                  <c:v>-0.98385999999999996</c:v>
                </c:pt>
                <c:pt idx="5">
                  <c:v>0.32150000000000001</c:v>
                </c:pt>
                <c:pt idx="6">
                  <c:v>-0.60572000000000004</c:v>
                </c:pt>
                <c:pt idx="7">
                  <c:v>-1.2511000000000001</c:v>
                </c:pt>
                <c:pt idx="8">
                  <c:v>-0.94950999999999997</c:v>
                </c:pt>
                <c:pt idx="9">
                  <c:v>-1.4977</c:v>
                </c:pt>
                <c:pt idx="10">
                  <c:v>-2.1703000000000001</c:v>
                </c:pt>
                <c:pt idx="11">
                  <c:v>-2.3035999999999999</c:v>
                </c:pt>
                <c:pt idx="12">
                  <c:v>-3.1655000000000002</c:v>
                </c:pt>
                <c:pt idx="13">
                  <c:v>-3.6356999999999999</c:v>
                </c:pt>
                <c:pt idx="14">
                  <c:v>-4.6921999999999997</c:v>
                </c:pt>
                <c:pt idx="15">
                  <c:v>-5.5035999999999996</c:v>
                </c:pt>
                <c:pt idx="16">
                  <c:v>-6.8949999999999996</c:v>
                </c:pt>
                <c:pt idx="17">
                  <c:v>-8.4138999999999999</c:v>
                </c:pt>
                <c:pt idx="18">
                  <c:v>-10.231999999999999</c:v>
                </c:pt>
                <c:pt idx="19">
                  <c:v>-13.294</c:v>
                </c:pt>
                <c:pt idx="20">
                  <c:v>-18.077000000000002</c:v>
                </c:pt>
                <c:pt idx="21">
                  <c:v>-25.614000000000001</c:v>
                </c:pt>
                <c:pt idx="22">
                  <c:v>-35.216999999999999</c:v>
                </c:pt>
                <c:pt idx="23">
                  <c:v>-46.118000000000002</c:v>
                </c:pt>
                <c:pt idx="24">
                  <c:v>-56.924999999999997</c:v>
                </c:pt>
                <c:pt idx="25">
                  <c:v>-65.897000000000006</c:v>
                </c:pt>
                <c:pt idx="26">
                  <c:v>-73.241</c:v>
                </c:pt>
                <c:pt idx="27">
                  <c:v>-79.396000000000001</c:v>
                </c:pt>
                <c:pt idx="28">
                  <c:v>-84.641000000000005</c:v>
                </c:pt>
                <c:pt idx="29">
                  <c:v>-89.700999999999993</c:v>
                </c:pt>
                <c:pt idx="30">
                  <c:v>-94.709000000000003</c:v>
                </c:pt>
                <c:pt idx="31">
                  <c:v>-99.733000000000004</c:v>
                </c:pt>
                <c:pt idx="32">
                  <c:v>-105.45</c:v>
                </c:pt>
                <c:pt idx="33">
                  <c:v>-111.88</c:v>
                </c:pt>
                <c:pt idx="34">
                  <c:v>-118.42</c:v>
                </c:pt>
                <c:pt idx="35">
                  <c:v>-126.06</c:v>
                </c:pt>
                <c:pt idx="36">
                  <c:v>-133.94999999999999</c:v>
                </c:pt>
                <c:pt idx="37">
                  <c:v>-142.86000000000001</c:v>
                </c:pt>
                <c:pt idx="38">
                  <c:v>-151.83000000000001</c:v>
                </c:pt>
                <c:pt idx="39">
                  <c:v>-161.02000000000001</c:v>
                </c:pt>
                <c:pt idx="40">
                  <c:v>-169.62</c:v>
                </c:pt>
                <c:pt idx="41">
                  <c:v>-179.77</c:v>
                </c:pt>
                <c:pt idx="42">
                  <c:v>169.67</c:v>
                </c:pt>
                <c:pt idx="43">
                  <c:v>156.46</c:v>
                </c:pt>
                <c:pt idx="44">
                  <c:v>139.71</c:v>
                </c:pt>
                <c:pt idx="45">
                  <c:v>112.86</c:v>
                </c:pt>
                <c:pt idx="46">
                  <c:v>73.507000000000005</c:v>
                </c:pt>
                <c:pt idx="47">
                  <c:v>30.117999999999999</c:v>
                </c:pt>
                <c:pt idx="48">
                  <c:v>-3.9874999999999998</c:v>
                </c:pt>
                <c:pt idx="49">
                  <c:v>159.97</c:v>
                </c:pt>
                <c:pt idx="50">
                  <c:v>91.450999999999993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141-4D19-9DBC-690DDB1D00CA}"/>
            </c:ext>
          </c:extLst>
        </c:ser>
        <c:ser>
          <c:idx val="11"/>
          <c:order val="11"/>
          <c:tx>
            <c:strRef>
              <c:f>'Small Signal'!$Q$507</c:f>
              <c:strCache>
                <c:ptCount val="1"/>
                <c:pt idx="0">
                  <c:v>Gea</c:v>
                </c:pt>
              </c:strCache>
            </c:strRef>
          </c:tx>
          <c:marker>
            <c:symbol val="none"/>
          </c:marker>
          <c:xVal>
            <c:numRef>
              <c:f>'Small Signal'!$Q$511:$Q$612</c:f>
              <c:numCache>
                <c:formatCode>General</c:formatCode>
                <c:ptCount val="102"/>
              </c:numCache>
            </c:numRef>
          </c:xVal>
          <c:yVal>
            <c:numRef>
              <c:f>'Small Signal'!$S$511:$S$612</c:f>
              <c:numCache>
                <c:formatCode>General</c:formatCode>
                <c:ptCount val="10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141-4D19-9DBC-690DDB1D0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209696288"/>
        <c:scaling>
          <c:logBase val="10"/>
          <c:orientation val="minMax"/>
          <c:max val="1000000"/>
          <c:min val="1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60"/>
          <c:min val="-6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Gain 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696288"/>
        <c:crosses val="autoZero"/>
        <c:crossBetween val="midCat"/>
      </c:valAx>
      <c:valAx>
        <c:axId val="3"/>
        <c:scaling>
          <c:logBase val="10"/>
          <c:orientation val="minMax"/>
          <c:max val="1000000"/>
          <c:min val="10"/>
        </c:scaling>
        <c:delete val="0"/>
        <c:axPos val="b"/>
        <c:majorGridlines/>
        <c:numFmt formatCode="General" sourceLinked="1"/>
        <c:majorTickMark val="none"/>
        <c:minorTickMark val="none"/>
        <c:tickLblPos val="none"/>
        <c:crossAx val="4"/>
        <c:crosses val="autoZero"/>
        <c:crossBetween val="midCat"/>
      </c:valAx>
      <c:valAx>
        <c:axId val="4"/>
        <c:scaling>
          <c:orientation val="minMax"/>
          <c:max val="180"/>
          <c:min val="-180"/>
        </c:scaling>
        <c:delete val="0"/>
        <c:axPos val="r"/>
        <c:min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Phase (deg)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midCat"/>
        <c:majorUnit val="60"/>
        <c:minorUnit val="30"/>
      </c:valAx>
    </c:plotArea>
    <c:legend>
      <c:legendPos val="b"/>
      <c:overlay val="0"/>
      <c:txPr>
        <a:bodyPr/>
        <a:lstStyle/>
        <a:p>
          <a:pPr>
            <a:defRPr sz="4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740847-69AC-4C07-967A-A58690C9A8F4}">
  <sheetPr/>
  <sheetViews>
    <sheetView zoomScale="120" workbookViewId="0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19</xdr:row>
          <xdr:rowOff>9525</xdr:rowOff>
        </xdr:from>
        <xdr:to>
          <xdr:col>7</xdr:col>
          <xdr:colOff>6477000</xdr:colOff>
          <xdr:row>38</xdr:row>
          <xdr:rowOff>209550</xdr:rowOff>
        </xdr:to>
        <xdr:sp macro="" textlink="">
          <xdr:nvSpPr>
            <xdr:cNvPr id="2185" name="Object 137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E2F56518-782D-C9AE-A49E-9142EEDFA6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19</xdr:col>
      <xdr:colOff>1000125</xdr:colOff>
      <xdr:row>38</xdr:row>
      <xdr:rowOff>133350</xdr:rowOff>
    </xdr:to>
    <xdr:graphicFrame macro="">
      <xdr:nvGraphicFramePr>
        <xdr:cNvPr id="31356" name="Chart 11">
          <a:extLst>
            <a:ext uri="{FF2B5EF4-FFF2-40B4-BE49-F238E27FC236}">
              <a16:creationId xmlns:a16="http://schemas.microsoft.com/office/drawing/2014/main" id="{AC4938EE-623D-BA64-DB2C-1C50470B4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B8609-A039-5974-DD8E-A580195105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i.com/lit/ds/symlink/tps43061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C4C51-4686-43AC-B058-DE16A4B499B6}">
  <dimension ref="B1:R32"/>
  <sheetViews>
    <sheetView workbookViewId="0">
      <selection activeCell="C5" sqref="C5"/>
    </sheetView>
  </sheetViews>
  <sheetFormatPr defaultRowHeight="12.75" x14ac:dyDescent="0.2"/>
  <cols>
    <col min="1" max="16384" width="9.140625" style="1"/>
  </cols>
  <sheetData>
    <row r="1" spans="2:18" ht="13.5" thickBot="1" x14ac:dyDescent="0.25"/>
    <row r="2" spans="2:18" ht="13.5" thickTop="1" x14ac:dyDescent="0.2">
      <c r="B2" s="52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4"/>
    </row>
    <row r="3" spans="2:18" x14ac:dyDescent="0.2">
      <c r="B3" s="55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7"/>
    </row>
    <row r="4" spans="2:18" x14ac:dyDescent="0.2">
      <c r="B4" s="55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64" t="s">
        <v>103</v>
      </c>
      <c r="Q4" s="56"/>
      <c r="R4" s="57"/>
    </row>
    <row r="5" spans="2:18" ht="30" x14ac:dyDescent="0.4">
      <c r="B5" s="58"/>
      <c r="C5" s="59" t="s">
        <v>314</v>
      </c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60"/>
    </row>
    <row r="6" spans="2:18" ht="20.25" x14ac:dyDescent="0.3">
      <c r="B6" s="61"/>
      <c r="C6" s="62" t="s">
        <v>459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3"/>
    </row>
    <row r="7" spans="2:18" x14ac:dyDescent="0.2">
      <c r="B7" s="55"/>
      <c r="C7" s="126" t="s">
        <v>348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7"/>
    </row>
    <row r="8" spans="2:18" x14ac:dyDescent="0.2">
      <c r="B8" s="55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7"/>
    </row>
    <row r="9" spans="2:18" x14ac:dyDescent="0.2">
      <c r="B9" s="55"/>
      <c r="C9" s="56" t="s">
        <v>93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7"/>
    </row>
    <row r="10" spans="2:18" x14ac:dyDescent="0.2">
      <c r="B10" s="55"/>
      <c r="C10" s="56" t="s">
        <v>94</v>
      </c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7"/>
    </row>
    <row r="11" spans="2:18" x14ac:dyDescent="0.2">
      <c r="B11" s="55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7"/>
    </row>
    <row r="12" spans="2:18" x14ac:dyDescent="0.2">
      <c r="B12" s="55"/>
      <c r="C12" s="64" t="s">
        <v>457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7"/>
    </row>
    <row r="13" spans="2:18" x14ac:dyDescent="0.2">
      <c r="B13" s="55"/>
      <c r="C13" s="64" t="s">
        <v>340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7"/>
    </row>
    <row r="14" spans="2:18" x14ac:dyDescent="0.2">
      <c r="B14" s="55"/>
      <c r="C14" s="65" t="s">
        <v>95</v>
      </c>
      <c r="D14" s="65"/>
      <c r="E14" s="65"/>
      <c r="F14" s="65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7"/>
    </row>
    <row r="15" spans="2:18" x14ac:dyDescent="0.2">
      <c r="B15" s="55"/>
      <c r="C15" s="65"/>
      <c r="D15" s="65"/>
      <c r="E15" s="65"/>
      <c r="F15" s="65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7"/>
    </row>
    <row r="16" spans="2:18" x14ac:dyDescent="0.2">
      <c r="B16" s="55"/>
      <c r="C16" s="56" t="s">
        <v>101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7"/>
    </row>
    <row r="17" spans="2:18" ht="13.5" thickBot="1" x14ac:dyDescent="0.25">
      <c r="B17" s="55"/>
      <c r="C17" s="64" t="s">
        <v>458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7"/>
    </row>
    <row r="18" spans="2:18" x14ac:dyDescent="0.2">
      <c r="B18" s="55"/>
      <c r="C18" s="66"/>
      <c r="D18" s="67"/>
      <c r="E18" s="67"/>
      <c r="F18" s="67"/>
      <c r="G18" s="67"/>
      <c r="H18" s="67"/>
      <c r="I18" s="67"/>
      <c r="J18" s="67"/>
      <c r="K18" s="67"/>
      <c r="L18" s="67"/>
      <c r="M18" s="68"/>
      <c r="N18" s="56"/>
      <c r="O18" s="56"/>
      <c r="P18" s="56"/>
      <c r="Q18" s="56"/>
      <c r="R18" s="57"/>
    </row>
    <row r="19" spans="2:18" ht="15.75" x14ac:dyDescent="0.25">
      <c r="B19" s="55"/>
      <c r="C19" s="69"/>
      <c r="D19" s="70" t="s">
        <v>96</v>
      </c>
      <c r="E19" s="56"/>
      <c r="F19" s="56"/>
      <c r="G19" s="56"/>
      <c r="H19" s="56"/>
      <c r="I19" s="56"/>
      <c r="J19" s="56"/>
      <c r="K19" s="56"/>
      <c r="L19" s="56"/>
      <c r="M19" s="71"/>
      <c r="N19" s="56"/>
      <c r="O19" s="56"/>
      <c r="P19" s="56"/>
      <c r="Q19" s="56"/>
      <c r="R19" s="57"/>
    </row>
    <row r="20" spans="2:18" x14ac:dyDescent="0.2">
      <c r="B20" s="55"/>
      <c r="C20" s="69"/>
      <c r="D20" s="56" t="s">
        <v>97</v>
      </c>
      <c r="E20" s="56"/>
      <c r="F20" s="56"/>
      <c r="G20" s="56"/>
      <c r="H20" s="56"/>
      <c r="I20" s="56"/>
      <c r="J20" s="56"/>
      <c r="K20" s="56"/>
      <c r="L20" s="56"/>
      <c r="M20" s="71"/>
      <c r="N20" s="56"/>
      <c r="O20" s="56"/>
      <c r="P20" s="56"/>
      <c r="Q20" s="56"/>
      <c r="R20" s="57"/>
    </row>
    <row r="21" spans="2:18" x14ac:dyDescent="0.2">
      <c r="B21" s="55"/>
      <c r="C21" s="69"/>
      <c r="D21" s="56" t="s">
        <v>98</v>
      </c>
      <c r="E21" s="56"/>
      <c r="F21" s="56"/>
      <c r="G21" s="56"/>
      <c r="H21" s="56"/>
      <c r="I21" s="56"/>
      <c r="J21" s="56"/>
      <c r="K21" s="56"/>
      <c r="L21" s="56"/>
      <c r="M21" s="71"/>
      <c r="N21" s="56"/>
      <c r="O21" s="56"/>
      <c r="P21" s="56"/>
      <c r="Q21" s="56"/>
      <c r="R21" s="57"/>
    </row>
    <row r="22" spans="2:18" x14ac:dyDescent="0.2">
      <c r="B22" s="55"/>
      <c r="C22" s="69"/>
      <c r="D22" s="56" t="s">
        <v>99</v>
      </c>
      <c r="E22" s="56"/>
      <c r="F22" s="56"/>
      <c r="G22" s="56"/>
      <c r="H22" s="56"/>
      <c r="I22" s="56"/>
      <c r="J22" s="56"/>
      <c r="K22" s="56"/>
      <c r="L22" s="56"/>
      <c r="M22" s="71"/>
      <c r="N22" s="56"/>
      <c r="O22" s="56"/>
      <c r="P22" s="56"/>
      <c r="Q22" s="56"/>
      <c r="R22" s="57"/>
    </row>
    <row r="23" spans="2:18" x14ac:dyDescent="0.2">
      <c r="B23" s="55"/>
      <c r="C23" s="69"/>
      <c r="D23" s="56" t="s">
        <v>100</v>
      </c>
      <c r="E23" s="56"/>
      <c r="F23" s="56"/>
      <c r="G23" s="56"/>
      <c r="H23" s="56"/>
      <c r="I23" s="56"/>
      <c r="J23" s="56"/>
      <c r="K23" s="56"/>
      <c r="L23" s="56"/>
      <c r="M23" s="71"/>
      <c r="N23" s="56"/>
      <c r="O23" s="56"/>
      <c r="P23" s="56"/>
      <c r="Q23" s="56"/>
      <c r="R23" s="57"/>
    </row>
    <row r="24" spans="2:18" ht="13.5" thickBot="1" x14ac:dyDescent="0.25">
      <c r="B24" s="55"/>
      <c r="C24" s="72"/>
      <c r="D24" s="73"/>
      <c r="E24" s="73"/>
      <c r="F24" s="73"/>
      <c r="G24" s="73"/>
      <c r="H24" s="73"/>
      <c r="I24" s="73"/>
      <c r="J24" s="73"/>
      <c r="K24" s="73"/>
      <c r="L24" s="73"/>
      <c r="M24" s="74"/>
      <c r="N24" s="56"/>
      <c r="O24" s="56"/>
      <c r="P24" s="56"/>
      <c r="Q24" s="56"/>
      <c r="R24" s="57"/>
    </row>
    <row r="25" spans="2:18" x14ac:dyDescent="0.2">
      <c r="B25" s="55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7"/>
    </row>
    <row r="26" spans="2:18" ht="13.5" thickBot="1" x14ac:dyDescent="0.25">
      <c r="B26" s="75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7"/>
    </row>
    <row r="27" spans="2:18" ht="13.5" thickTop="1" x14ac:dyDescent="0.2"/>
    <row r="30" spans="2:18" x14ac:dyDescent="0.2">
      <c r="C30" s="267" t="s">
        <v>461</v>
      </c>
    </row>
    <row r="31" spans="2:18" x14ac:dyDescent="0.2">
      <c r="C31" s="265" t="s">
        <v>460</v>
      </c>
    </row>
    <row r="32" spans="2:18" x14ac:dyDescent="0.2">
      <c r="C32" s="266" t="s">
        <v>462</v>
      </c>
    </row>
  </sheetData>
  <sheetProtection sheet="1"/>
  <phoneticPr fontId="0" type="noConversion"/>
  <hyperlinks>
    <hyperlink ref="C7" r:id="rId1" display="This tool supports the TPS4306x datasheet (SLVSBP4A)" xr:uid="{A5AB3175-61D3-4EE9-975E-66D685F7CBC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A2DED-9DC9-45EF-A126-FA20C4BBB7EB}">
  <sheetPr>
    <pageSetUpPr fitToPage="1"/>
  </sheetPr>
  <dimension ref="A1:IV327"/>
  <sheetViews>
    <sheetView tabSelected="1" topLeftCell="A6" zoomScale="85" zoomScaleNormal="85" workbookViewId="0">
      <selection activeCell="G80" sqref="G80"/>
    </sheetView>
  </sheetViews>
  <sheetFormatPr defaultRowHeight="12.75" x14ac:dyDescent="0.2"/>
  <cols>
    <col min="1" max="1" width="2.7109375" style="80" customWidth="1"/>
    <col min="2" max="2" width="14.7109375" style="81" customWidth="1"/>
    <col min="3" max="3" width="25.140625" style="80" bestFit="1" customWidth="1"/>
    <col min="4" max="4" width="15.28515625" style="80" bestFit="1" customWidth="1"/>
    <col min="5" max="5" width="12.140625" style="80" bestFit="1" customWidth="1"/>
    <col min="6" max="6" width="15.7109375" style="80" bestFit="1" customWidth="1"/>
    <col min="7" max="7" width="6.28515625" style="82" bestFit="1" customWidth="1"/>
    <col min="8" max="8" width="97.42578125" style="80" bestFit="1" customWidth="1"/>
    <col min="9" max="9" width="2.7109375" style="80" customWidth="1"/>
    <col min="10" max="10" width="9.140625" style="83" customWidth="1"/>
    <col min="11" max="11" width="9.7109375" style="151" bestFit="1" customWidth="1"/>
    <col min="12" max="12" width="9.140625" style="156" customWidth="1"/>
    <col min="13" max="13" width="11.42578125" style="151" customWidth="1"/>
    <col min="14" max="16384" width="9.140625" style="151"/>
  </cols>
  <sheetData>
    <row r="1" spans="1:13" x14ac:dyDescent="0.2">
      <c r="A1" s="203"/>
      <c r="B1" s="204"/>
      <c r="C1" s="205"/>
      <c r="D1" s="205"/>
      <c r="E1" s="205"/>
      <c r="F1" s="205"/>
      <c r="G1" s="206"/>
      <c r="H1" s="205"/>
      <c r="I1" s="207"/>
      <c r="J1" s="208"/>
    </row>
    <row r="2" spans="1:13" ht="15.75" x14ac:dyDescent="0.25">
      <c r="A2" s="209"/>
      <c r="B2" s="150" t="s">
        <v>285</v>
      </c>
      <c r="C2" s="151"/>
      <c r="D2" s="151"/>
      <c r="E2" s="151"/>
      <c r="F2" s="154" t="s">
        <v>49</v>
      </c>
      <c r="G2" s="155"/>
      <c r="H2" s="151"/>
      <c r="I2" s="213"/>
      <c r="J2" s="217"/>
    </row>
    <row r="3" spans="1:13" ht="15" x14ac:dyDescent="0.25">
      <c r="A3" s="209"/>
      <c r="B3" s="152" t="s">
        <v>419</v>
      </c>
      <c r="C3" s="151"/>
      <c r="D3" s="154" t="s">
        <v>321</v>
      </c>
      <c r="E3" s="151"/>
      <c r="F3" s="136" t="s">
        <v>51</v>
      </c>
      <c r="G3" s="155"/>
      <c r="H3" s="151"/>
      <c r="I3" s="213"/>
      <c r="J3" s="217"/>
    </row>
    <row r="4" spans="1:13" ht="14.25" x14ac:dyDescent="0.2">
      <c r="A4" s="209"/>
      <c r="B4" s="153" t="s">
        <v>299</v>
      </c>
      <c r="C4" s="151"/>
      <c r="D4" s="268" t="s">
        <v>300</v>
      </c>
      <c r="E4" s="151"/>
      <c r="F4" s="138" t="s">
        <v>50</v>
      </c>
      <c r="G4" s="155"/>
      <c r="H4" s="151"/>
      <c r="I4" s="213"/>
      <c r="J4" s="217"/>
    </row>
    <row r="5" spans="1:13" ht="14.25" x14ac:dyDescent="0.2">
      <c r="A5" s="209"/>
      <c r="B5" s="153" t="s">
        <v>300</v>
      </c>
      <c r="C5" s="151"/>
      <c r="D5" s="151"/>
      <c r="E5" s="151"/>
      <c r="F5" s="137" t="s">
        <v>420</v>
      </c>
      <c r="G5" s="155"/>
      <c r="H5" s="151"/>
      <c r="I5" s="213"/>
      <c r="J5" s="217"/>
    </row>
    <row r="6" spans="1:13" ht="15" x14ac:dyDescent="0.25">
      <c r="A6" s="210"/>
      <c r="B6" s="128" t="s">
        <v>120</v>
      </c>
      <c r="C6" s="127" t="s">
        <v>52</v>
      </c>
      <c r="D6" s="134" t="s">
        <v>418</v>
      </c>
      <c r="E6" s="127" t="s">
        <v>8</v>
      </c>
      <c r="F6" s="279" t="s">
        <v>422</v>
      </c>
      <c r="G6" s="280"/>
      <c r="H6" s="280"/>
      <c r="I6" s="216"/>
      <c r="J6" s="217"/>
      <c r="M6" s="157"/>
    </row>
    <row r="7" spans="1:13" ht="14.25" x14ac:dyDescent="0.2">
      <c r="A7" s="211"/>
      <c r="B7" s="158"/>
      <c r="C7" s="165" t="s">
        <v>190</v>
      </c>
      <c r="D7" s="91">
        <v>6</v>
      </c>
      <c r="E7" s="188" t="s">
        <v>3</v>
      </c>
      <c r="F7" s="282" t="s">
        <v>289</v>
      </c>
      <c r="G7" s="283"/>
      <c r="H7" s="284"/>
      <c r="I7" s="213"/>
      <c r="J7" s="217"/>
      <c r="M7" s="157"/>
    </row>
    <row r="8" spans="1:13" ht="14.25" x14ac:dyDescent="0.2">
      <c r="A8" s="211"/>
      <c r="B8" s="158"/>
      <c r="C8" s="165" t="s">
        <v>191</v>
      </c>
      <c r="D8" s="91">
        <v>5</v>
      </c>
      <c r="E8" s="188" t="s">
        <v>3</v>
      </c>
      <c r="F8" s="282" t="s">
        <v>290</v>
      </c>
      <c r="G8" s="283"/>
      <c r="H8" s="284"/>
      <c r="I8" s="213"/>
      <c r="J8" s="217"/>
      <c r="M8" s="157"/>
    </row>
    <row r="9" spans="1:13" ht="14.25" x14ac:dyDescent="0.2">
      <c r="A9" s="211"/>
      <c r="B9" s="158"/>
      <c r="C9" s="165" t="s">
        <v>192</v>
      </c>
      <c r="D9" s="91">
        <v>6.3</v>
      </c>
      <c r="E9" s="188" t="s">
        <v>3</v>
      </c>
      <c r="F9" s="282" t="s">
        <v>291</v>
      </c>
      <c r="G9" s="283"/>
      <c r="H9" s="284"/>
      <c r="I9" s="213"/>
      <c r="J9" s="217"/>
      <c r="M9" s="157"/>
    </row>
    <row r="10" spans="1:13" ht="14.25" x14ac:dyDescent="0.2">
      <c r="A10" s="211"/>
      <c r="B10" s="158"/>
      <c r="C10" s="165" t="s">
        <v>212</v>
      </c>
      <c r="D10" s="91">
        <f>Vin_Nom*0.01</f>
        <v>0.06</v>
      </c>
      <c r="E10" s="188" t="s">
        <v>421</v>
      </c>
      <c r="F10" s="282" t="s">
        <v>429</v>
      </c>
      <c r="G10" s="283"/>
      <c r="H10" s="284"/>
      <c r="I10" s="213"/>
      <c r="J10" s="217"/>
      <c r="M10" s="157"/>
    </row>
    <row r="11" spans="1:13" ht="14.25" x14ac:dyDescent="0.2">
      <c r="A11" s="211"/>
      <c r="B11" s="158"/>
      <c r="C11" s="165" t="s">
        <v>23</v>
      </c>
      <c r="D11" s="92">
        <v>24</v>
      </c>
      <c r="E11" s="188" t="s">
        <v>3</v>
      </c>
      <c r="F11" s="282" t="s">
        <v>41</v>
      </c>
      <c r="G11" s="283"/>
      <c r="H11" s="284"/>
      <c r="I11" s="213"/>
      <c r="J11" s="217"/>
      <c r="M11" s="157"/>
    </row>
    <row r="12" spans="1:13" ht="14.25" x14ac:dyDescent="0.2">
      <c r="A12" s="211"/>
      <c r="B12" s="158"/>
      <c r="C12" s="165" t="s">
        <v>60</v>
      </c>
      <c r="D12" s="91">
        <f>0.005*Vout</f>
        <v>0.12</v>
      </c>
      <c r="E12" s="188" t="s">
        <v>421</v>
      </c>
      <c r="F12" s="282" t="s">
        <v>423</v>
      </c>
      <c r="G12" s="283"/>
      <c r="H12" s="284"/>
      <c r="I12" s="213"/>
      <c r="J12" s="217"/>
      <c r="M12" s="157"/>
    </row>
    <row r="13" spans="1:13" ht="14.25" x14ac:dyDescent="0.2">
      <c r="A13" s="211"/>
      <c r="B13" s="158"/>
      <c r="C13" s="165" t="s">
        <v>34</v>
      </c>
      <c r="D13" s="94">
        <v>1</v>
      </c>
      <c r="E13" s="188" t="s">
        <v>2</v>
      </c>
      <c r="F13" s="282" t="s">
        <v>426</v>
      </c>
      <c r="G13" s="283"/>
      <c r="H13" s="284"/>
      <c r="I13" s="213"/>
      <c r="J13" s="217"/>
      <c r="M13" s="157"/>
    </row>
    <row r="14" spans="1:13" ht="14.25" x14ac:dyDescent="0.2">
      <c r="A14" s="211"/>
      <c r="B14" s="158"/>
      <c r="C14" s="165" t="s">
        <v>35</v>
      </c>
      <c r="D14" s="93">
        <v>750</v>
      </c>
      <c r="E14" s="188" t="s">
        <v>138</v>
      </c>
      <c r="F14" s="282" t="s">
        <v>47</v>
      </c>
      <c r="G14" s="283"/>
      <c r="H14" s="284"/>
      <c r="I14" s="213"/>
      <c r="J14" s="217"/>
      <c r="M14" s="157"/>
    </row>
    <row r="15" spans="1:13" ht="14.25" x14ac:dyDescent="0.2">
      <c r="A15" s="211"/>
      <c r="B15" s="158"/>
      <c r="C15" s="165" t="s">
        <v>61</v>
      </c>
      <c r="D15" s="94">
        <f>Iout/2</f>
        <v>0.5</v>
      </c>
      <c r="E15" s="188" t="s">
        <v>2</v>
      </c>
      <c r="F15" s="282" t="s">
        <v>108</v>
      </c>
      <c r="G15" s="283"/>
      <c r="H15" s="284"/>
      <c r="I15" s="213"/>
      <c r="J15" s="217"/>
      <c r="M15" s="157"/>
    </row>
    <row r="16" spans="1:13" ht="14.25" x14ac:dyDescent="0.2">
      <c r="A16" s="211"/>
      <c r="B16" s="158"/>
      <c r="C16" s="165" t="s">
        <v>62</v>
      </c>
      <c r="D16" s="91">
        <f>Vout*0.04</f>
        <v>0.96</v>
      </c>
      <c r="E16" s="188" t="s">
        <v>3</v>
      </c>
      <c r="F16" s="282" t="s">
        <v>109</v>
      </c>
      <c r="G16" s="283"/>
      <c r="H16" s="284"/>
      <c r="I16" s="213"/>
      <c r="J16" s="217"/>
      <c r="M16" s="157"/>
    </row>
    <row r="17" spans="1:256" ht="14.25" x14ac:dyDescent="0.2">
      <c r="A17" s="211"/>
      <c r="B17" s="158"/>
      <c r="C17" s="165" t="s">
        <v>369</v>
      </c>
      <c r="D17" s="91">
        <v>4.8</v>
      </c>
      <c r="E17" s="188" t="s">
        <v>3</v>
      </c>
      <c r="F17" s="282" t="s">
        <v>427</v>
      </c>
      <c r="G17" s="283"/>
      <c r="H17" s="284"/>
      <c r="I17" s="213"/>
      <c r="J17" s="217"/>
      <c r="M17" s="157"/>
    </row>
    <row r="18" spans="1:256" ht="14.25" x14ac:dyDescent="0.2">
      <c r="A18" s="211"/>
      <c r="B18" s="158"/>
      <c r="C18" s="165" t="s">
        <v>370</v>
      </c>
      <c r="D18" s="91">
        <v>4.5</v>
      </c>
      <c r="E18" s="188" t="s">
        <v>3</v>
      </c>
      <c r="F18" s="282" t="s">
        <v>428</v>
      </c>
      <c r="G18" s="283"/>
      <c r="H18" s="284"/>
      <c r="I18" s="213"/>
      <c r="J18" s="217"/>
      <c r="M18" s="157"/>
    </row>
    <row r="19" spans="1:256" s="85" customFormat="1" ht="15" x14ac:dyDescent="0.25">
      <c r="A19" s="210"/>
      <c r="B19" s="285" t="s">
        <v>104</v>
      </c>
      <c r="C19" s="285"/>
      <c r="D19" s="285"/>
      <c r="E19" s="285"/>
      <c r="F19" s="285"/>
      <c r="G19" s="285"/>
      <c r="H19" s="285"/>
      <c r="I19" s="221"/>
      <c r="J19" s="222"/>
      <c r="K19" s="160"/>
      <c r="L19" s="160"/>
      <c r="M19" s="161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0"/>
      <c r="BJ19" s="160"/>
      <c r="BK19" s="160"/>
      <c r="BL19" s="160"/>
      <c r="BM19" s="160"/>
      <c r="BN19" s="160"/>
      <c r="BO19" s="160"/>
      <c r="BP19" s="160"/>
      <c r="BQ19" s="160"/>
      <c r="BR19" s="160"/>
      <c r="BS19" s="160"/>
      <c r="BT19" s="160"/>
      <c r="BU19" s="160"/>
      <c r="BV19" s="160"/>
      <c r="BW19" s="160"/>
      <c r="BX19" s="160"/>
      <c r="BY19" s="160"/>
      <c r="BZ19" s="160"/>
      <c r="CA19" s="160"/>
      <c r="CB19" s="160"/>
      <c r="CC19" s="160"/>
      <c r="CD19" s="160"/>
      <c r="CE19" s="160"/>
      <c r="CF19" s="160"/>
      <c r="CG19" s="160"/>
      <c r="CH19" s="160"/>
      <c r="CI19" s="160"/>
      <c r="CJ19" s="160"/>
      <c r="CK19" s="160"/>
      <c r="CL19" s="160"/>
      <c r="CM19" s="160"/>
      <c r="CN19" s="160"/>
      <c r="CO19" s="160"/>
      <c r="CP19" s="160"/>
      <c r="CQ19" s="160"/>
      <c r="CR19" s="160"/>
      <c r="CS19" s="160"/>
      <c r="CT19" s="160"/>
      <c r="CU19" s="160"/>
      <c r="CV19" s="160"/>
      <c r="CW19" s="160"/>
      <c r="CX19" s="160"/>
      <c r="CY19" s="160"/>
      <c r="CZ19" s="160"/>
      <c r="DA19" s="160"/>
      <c r="DB19" s="160"/>
      <c r="DC19" s="160"/>
      <c r="DD19" s="160"/>
      <c r="DE19" s="160"/>
      <c r="DF19" s="160"/>
      <c r="DG19" s="160"/>
      <c r="DH19" s="160"/>
      <c r="DI19" s="160"/>
      <c r="DJ19" s="160"/>
      <c r="DK19" s="160"/>
      <c r="DL19" s="160"/>
      <c r="DM19" s="160"/>
      <c r="DN19" s="160"/>
      <c r="DO19" s="160"/>
      <c r="DP19" s="160"/>
      <c r="DQ19" s="160"/>
      <c r="DR19" s="160"/>
      <c r="DS19" s="160"/>
      <c r="DT19" s="160"/>
      <c r="DU19" s="160"/>
      <c r="DV19" s="160"/>
      <c r="DW19" s="160"/>
      <c r="DX19" s="160"/>
      <c r="DY19" s="160"/>
      <c r="DZ19" s="160"/>
      <c r="EA19" s="160"/>
      <c r="EB19" s="160"/>
      <c r="EC19" s="160"/>
      <c r="ED19" s="160"/>
      <c r="EE19" s="160"/>
      <c r="EF19" s="160"/>
      <c r="EG19" s="160"/>
      <c r="EH19" s="160"/>
      <c r="EI19" s="160"/>
      <c r="EJ19" s="160"/>
      <c r="EK19" s="160"/>
      <c r="EL19" s="160"/>
      <c r="EM19" s="160"/>
      <c r="EN19" s="160"/>
      <c r="EO19" s="160"/>
      <c r="EP19" s="160"/>
      <c r="EQ19" s="160"/>
      <c r="ER19" s="160"/>
      <c r="ES19" s="160"/>
      <c r="ET19" s="160"/>
      <c r="EU19" s="160"/>
      <c r="EV19" s="160"/>
      <c r="EW19" s="160"/>
      <c r="EX19" s="160"/>
      <c r="EY19" s="160"/>
      <c r="EZ19" s="160"/>
      <c r="FA19" s="160"/>
      <c r="FB19" s="160"/>
      <c r="FC19" s="160"/>
      <c r="FD19" s="160"/>
      <c r="FE19" s="160"/>
      <c r="FF19" s="160"/>
      <c r="FG19" s="160"/>
      <c r="FH19" s="160"/>
      <c r="FI19" s="160"/>
      <c r="FJ19" s="160"/>
      <c r="FK19" s="160"/>
      <c r="FL19" s="160"/>
      <c r="FM19" s="160"/>
      <c r="FN19" s="160"/>
      <c r="FO19" s="160"/>
      <c r="FP19" s="160"/>
      <c r="FQ19" s="160"/>
      <c r="FR19" s="160"/>
      <c r="FS19" s="160"/>
      <c r="FT19" s="160"/>
      <c r="FU19" s="160"/>
      <c r="FV19" s="160"/>
      <c r="FW19" s="160"/>
      <c r="FX19" s="160"/>
      <c r="FY19" s="160"/>
      <c r="FZ19" s="160"/>
      <c r="GA19" s="160"/>
      <c r="GB19" s="160"/>
      <c r="GC19" s="160"/>
      <c r="GD19" s="160"/>
      <c r="GE19" s="160"/>
      <c r="GF19" s="160"/>
      <c r="GG19" s="160"/>
      <c r="GH19" s="160"/>
      <c r="GI19" s="160"/>
      <c r="GJ19" s="160"/>
      <c r="GK19" s="160"/>
      <c r="GL19" s="160"/>
      <c r="GM19" s="160"/>
      <c r="GN19" s="160"/>
      <c r="GO19" s="160"/>
      <c r="GP19" s="160"/>
      <c r="GQ19" s="160"/>
      <c r="GR19" s="160"/>
      <c r="GS19" s="160"/>
      <c r="GT19" s="160"/>
      <c r="GU19" s="160"/>
      <c r="GV19" s="160"/>
      <c r="GW19" s="160"/>
      <c r="GX19" s="160"/>
      <c r="GY19" s="160"/>
      <c r="GZ19" s="160"/>
      <c r="HA19" s="160"/>
      <c r="HB19" s="160"/>
      <c r="HC19" s="160"/>
      <c r="HD19" s="160"/>
      <c r="HE19" s="160"/>
      <c r="HF19" s="160"/>
      <c r="HG19" s="160"/>
      <c r="HH19" s="160"/>
      <c r="HI19" s="160"/>
      <c r="HJ19" s="160"/>
      <c r="HK19" s="160"/>
      <c r="HL19" s="160"/>
      <c r="HM19" s="160"/>
      <c r="HN19" s="160"/>
      <c r="HO19" s="160"/>
      <c r="HP19" s="160"/>
      <c r="HQ19" s="160"/>
      <c r="HR19" s="160"/>
      <c r="HS19" s="160"/>
      <c r="HT19" s="160"/>
      <c r="HU19" s="160"/>
      <c r="HV19" s="160"/>
      <c r="HW19" s="160"/>
      <c r="HX19" s="160"/>
      <c r="HY19" s="160"/>
      <c r="HZ19" s="160"/>
      <c r="IA19" s="160"/>
      <c r="IB19" s="160"/>
      <c r="IC19" s="160"/>
      <c r="ID19" s="160"/>
      <c r="IE19" s="160"/>
      <c r="IF19" s="160"/>
      <c r="IG19" s="160"/>
      <c r="IH19" s="160"/>
      <c r="II19" s="160"/>
      <c r="IJ19" s="160"/>
      <c r="IK19" s="160"/>
      <c r="IL19" s="160"/>
      <c r="IM19" s="160"/>
      <c r="IN19" s="160"/>
      <c r="IO19" s="160"/>
      <c r="IP19" s="160"/>
      <c r="IQ19" s="160"/>
      <c r="IR19" s="160"/>
      <c r="IS19" s="160"/>
      <c r="IT19" s="160"/>
      <c r="IU19" s="160"/>
      <c r="IV19" s="160"/>
    </row>
    <row r="20" spans="1:256" s="139" customFormat="1" ht="12.75" customHeight="1" x14ac:dyDescent="0.2">
      <c r="A20" s="212"/>
      <c r="B20" s="162" t="s">
        <v>105</v>
      </c>
      <c r="C20" s="162" t="s">
        <v>389</v>
      </c>
      <c r="D20" s="277" t="s">
        <v>123</v>
      </c>
      <c r="E20" s="277"/>
      <c r="F20" s="277"/>
      <c r="G20" s="277"/>
      <c r="H20" s="278"/>
      <c r="I20" s="223"/>
      <c r="J20" s="224"/>
      <c r="K20" s="163"/>
      <c r="L20" s="164"/>
      <c r="M20" s="163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164"/>
      <c r="AQ20" s="164"/>
      <c r="AR20" s="164"/>
      <c r="AS20" s="164"/>
      <c r="AT20" s="164"/>
      <c r="AU20" s="164"/>
      <c r="AV20" s="164"/>
      <c r="AW20" s="164"/>
      <c r="AX20" s="164"/>
      <c r="AY20" s="164"/>
      <c r="AZ20" s="164"/>
      <c r="BA20" s="164"/>
      <c r="BB20" s="164"/>
      <c r="BC20" s="164"/>
      <c r="BD20" s="164"/>
      <c r="BE20" s="164"/>
      <c r="BF20" s="164"/>
      <c r="BG20" s="164"/>
      <c r="BH20" s="164"/>
      <c r="BI20" s="164"/>
      <c r="BJ20" s="164"/>
      <c r="BK20" s="164"/>
      <c r="BL20" s="164"/>
      <c r="BM20" s="164"/>
      <c r="BN20" s="164"/>
      <c r="BO20" s="164"/>
      <c r="BP20" s="164"/>
      <c r="BQ20" s="164"/>
      <c r="BR20" s="164"/>
      <c r="BS20" s="164"/>
      <c r="BT20" s="164"/>
      <c r="BU20" s="164"/>
      <c r="BV20" s="164"/>
      <c r="BW20" s="164"/>
      <c r="BX20" s="164"/>
      <c r="BY20" s="164"/>
      <c r="BZ20" s="164"/>
      <c r="CA20" s="164"/>
      <c r="CB20" s="164"/>
      <c r="CC20" s="164"/>
      <c r="CD20" s="164"/>
      <c r="CE20" s="164"/>
      <c r="CF20" s="164"/>
      <c r="CG20" s="164"/>
      <c r="CH20" s="164"/>
      <c r="CI20" s="164"/>
      <c r="CJ20" s="164"/>
      <c r="CK20" s="164"/>
      <c r="CL20" s="164"/>
      <c r="CM20" s="164"/>
      <c r="CN20" s="164"/>
      <c r="CO20" s="164"/>
      <c r="CP20" s="164"/>
      <c r="CQ20" s="164"/>
      <c r="CR20" s="164"/>
      <c r="CS20" s="164"/>
      <c r="CT20" s="164"/>
      <c r="CU20" s="164"/>
      <c r="CV20" s="164"/>
      <c r="CW20" s="164"/>
      <c r="CX20" s="164"/>
      <c r="CY20" s="164"/>
      <c r="CZ20" s="164"/>
      <c r="DA20" s="164"/>
      <c r="DB20" s="164"/>
      <c r="DC20" s="164"/>
      <c r="DD20" s="164"/>
      <c r="DE20" s="164"/>
      <c r="DF20" s="164"/>
      <c r="DG20" s="164"/>
      <c r="DH20" s="164"/>
      <c r="DI20" s="164"/>
      <c r="DJ20" s="164"/>
      <c r="DK20" s="164"/>
      <c r="DL20" s="164"/>
      <c r="DM20" s="164"/>
      <c r="DN20" s="164"/>
      <c r="DO20" s="164"/>
      <c r="DP20" s="164"/>
      <c r="DQ20" s="164"/>
      <c r="DR20" s="164"/>
      <c r="DS20" s="164"/>
      <c r="DT20" s="164"/>
      <c r="DU20" s="164"/>
      <c r="DV20" s="164"/>
      <c r="DW20" s="164"/>
      <c r="DX20" s="164"/>
      <c r="DY20" s="164"/>
      <c r="DZ20" s="164"/>
      <c r="EA20" s="164"/>
      <c r="EB20" s="164"/>
      <c r="EC20" s="164"/>
      <c r="ED20" s="164"/>
      <c r="EE20" s="164"/>
      <c r="EF20" s="164"/>
      <c r="EG20" s="164"/>
      <c r="EH20" s="164"/>
      <c r="EI20" s="164"/>
      <c r="EJ20" s="164"/>
      <c r="EK20" s="164"/>
      <c r="EL20" s="164"/>
      <c r="EM20" s="164"/>
      <c r="EN20" s="164"/>
      <c r="EO20" s="164"/>
      <c r="EP20" s="164"/>
      <c r="EQ20" s="164"/>
      <c r="ER20" s="164"/>
      <c r="ES20" s="164"/>
      <c r="ET20" s="164"/>
      <c r="EU20" s="164"/>
      <c r="EV20" s="164"/>
      <c r="EW20" s="164"/>
      <c r="EX20" s="164"/>
      <c r="EY20" s="164"/>
      <c r="EZ20" s="164"/>
      <c r="FA20" s="164"/>
      <c r="FB20" s="164"/>
      <c r="FC20" s="164"/>
      <c r="FD20" s="164"/>
      <c r="FE20" s="164"/>
      <c r="FF20" s="164"/>
      <c r="FG20" s="164"/>
      <c r="FH20" s="164"/>
      <c r="FI20" s="164"/>
      <c r="FJ20" s="164"/>
      <c r="FK20" s="164"/>
      <c r="FL20" s="164"/>
      <c r="FM20" s="164"/>
      <c r="FN20" s="164"/>
      <c r="FO20" s="164"/>
      <c r="FP20" s="164"/>
      <c r="FQ20" s="164"/>
      <c r="FR20" s="164"/>
      <c r="FS20" s="164"/>
      <c r="FT20" s="164"/>
      <c r="FU20" s="164"/>
      <c r="FV20" s="164"/>
      <c r="FW20" s="164"/>
      <c r="FX20" s="164"/>
      <c r="FY20" s="164"/>
      <c r="FZ20" s="164"/>
      <c r="GA20" s="164"/>
      <c r="GB20" s="164"/>
      <c r="GC20" s="164"/>
      <c r="GD20" s="164"/>
      <c r="GE20" s="164"/>
      <c r="GF20" s="164"/>
      <c r="GG20" s="164"/>
      <c r="GH20" s="164"/>
      <c r="GI20" s="164"/>
      <c r="GJ20" s="164"/>
      <c r="GK20" s="164"/>
      <c r="GL20" s="164"/>
      <c r="GM20" s="164"/>
      <c r="GN20" s="164"/>
      <c r="GO20" s="164"/>
      <c r="GP20" s="164"/>
      <c r="GQ20" s="164"/>
      <c r="GR20" s="164"/>
      <c r="GS20" s="164"/>
      <c r="GT20" s="164"/>
      <c r="GU20" s="164"/>
      <c r="GV20" s="164"/>
      <c r="GW20" s="164"/>
      <c r="GX20" s="164"/>
      <c r="GY20" s="164"/>
      <c r="GZ20" s="164"/>
      <c r="HA20" s="164"/>
      <c r="HB20" s="164"/>
      <c r="HC20" s="164"/>
      <c r="HD20" s="164"/>
      <c r="HE20" s="164"/>
      <c r="HF20" s="164"/>
      <c r="HG20" s="164"/>
      <c r="HH20" s="164"/>
      <c r="HI20" s="164"/>
      <c r="HJ20" s="164"/>
      <c r="HK20" s="164"/>
      <c r="HL20" s="164"/>
      <c r="HM20" s="164"/>
      <c r="HN20" s="164"/>
      <c r="HO20" s="164"/>
      <c r="HP20" s="164"/>
      <c r="HQ20" s="164"/>
      <c r="HR20" s="164"/>
      <c r="HS20" s="164"/>
      <c r="HT20" s="164"/>
      <c r="HU20" s="164"/>
      <c r="HV20" s="164"/>
      <c r="HW20" s="164"/>
      <c r="HX20" s="164"/>
      <c r="HY20" s="164"/>
      <c r="HZ20" s="164"/>
      <c r="IA20" s="164"/>
      <c r="IB20" s="164"/>
      <c r="IC20" s="164"/>
      <c r="ID20" s="164"/>
      <c r="IE20" s="164"/>
      <c r="IF20" s="164"/>
      <c r="IG20" s="164"/>
      <c r="IH20" s="164"/>
      <c r="II20" s="164"/>
      <c r="IJ20" s="164"/>
      <c r="IK20" s="164"/>
      <c r="IL20" s="164"/>
      <c r="IM20" s="164"/>
      <c r="IN20" s="164"/>
      <c r="IO20" s="164"/>
      <c r="IP20" s="164"/>
      <c r="IQ20" s="164"/>
      <c r="IR20" s="164"/>
      <c r="IS20" s="164"/>
      <c r="IT20" s="164"/>
      <c r="IU20" s="164"/>
      <c r="IV20" s="164"/>
    </row>
    <row r="21" spans="1:256" s="86" customFormat="1" ht="19.5" x14ac:dyDescent="0.35">
      <c r="A21" s="209"/>
      <c r="B21" s="165" t="s">
        <v>184</v>
      </c>
      <c r="C21" s="165" t="s">
        <v>398</v>
      </c>
      <c r="D21" s="131" t="str">
        <f>TEXT(Cin_chosen*1000000,"0.0")&amp;" µF"</f>
        <v>9.4 µF</v>
      </c>
      <c r="E21" s="132" t="str">
        <f>Vin_Max&amp;"V"</f>
        <v>6.3V</v>
      </c>
      <c r="F21" s="133" t="str">
        <f>"Irms = "&amp;TEXT(Irms_cin,"0.000")&amp;"A"</f>
        <v>Irms = 0.324A</v>
      </c>
      <c r="G21" s="155"/>
      <c r="H21" s="151"/>
      <c r="I21" s="225"/>
      <c r="J21" s="226"/>
      <c r="K21" s="166"/>
      <c r="L21" s="167"/>
      <c r="M21" s="166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  <c r="AA21" s="167"/>
      <c r="AB21" s="167"/>
      <c r="AC21" s="167"/>
      <c r="AD21" s="167"/>
      <c r="AE21" s="167"/>
      <c r="AF21" s="167"/>
      <c r="AG21" s="167"/>
      <c r="AH21" s="167"/>
      <c r="AI21" s="167"/>
      <c r="AJ21" s="167"/>
      <c r="AK21" s="167"/>
      <c r="AL21" s="167"/>
      <c r="AM21" s="167"/>
      <c r="AN21" s="167"/>
      <c r="AO21" s="167"/>
      <c r="AP21" s="167"/>
      <c r="AQ21" s="167"/>
      <c r="AR21" s="167"/>
      <c r="AS21" s="167"/>
      <c r="AT21" s="167"/>
      <c r="AU21" s="167"/>
      <c r="AV21" s="167"/>
      <c r="AW21" s="167"/>
      <c r="AX21" s="167"/>
      <c r="AY21" s="167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/>
      <c r="BK21" s="167"/>
      <c r="BL21" s="167"/>
      <c r="BM21" s="167"/>
      <c r="BN21" s="167"/>
      <c r="BO21" s="167"/>
      <c r="BP21" s="167"/>
      <c r="BQ21" s="167"/>
      <c r="BR21" s="167"/>
      <c r="BS21" s="167"/>
      <c r="BT21" s="167"/>
      <c r="BU21" s="167"/>
      <c r="BV21" s="167"/>
      <c r="BW21" s="167"/>
      <c r="BX21" s="167"/>
      <c r="BY21" s="167"/>
      <c r="BZ21" s="167"/>
      <c r="CA21" s="167"/>
      <c r="CB21" s="167"/>
      <c r="CC21" s="167"/>
      <c r="CD21" s="167"/>
      <c r="CE21" s="167"/>
      <c r="CF21" s="167"/>
      <c r="CG21" s="167"/>
      <c r="CH21" s="167"/>
      <c r="CI21" s="167"/>
      <c r="CJ21" s="167"/>
      <c r="CK21" s="167"/>
      <c r="CL21" s="167"/>
      <c r="CM21" s="167"/>
      <c r="CN21" s="167"/>
      <c r="CO21" s="167"/>
      <c r="CP21" s="167"/>
      <c r="CQ21" s="167"/>
      <c r="CR21" s="167"/>
      <c r="CS21" s="167"/>
      <c r="CT21" s="167"/>
      <c r="CU21" s="167"/>
      <c r="CV21" s="167"/>
      <c r="CW21" s="167"/>
      <c r="CX21" s="167"/>
      <c r="CY21" s="167"/>
      <c r="CZ21" s="167"/>
      <c r="DA21" s="167"/>
      <c r="DB21" s="167"/>
      <c r="DC21" s="167"/>
      <c r="DD21" s="167"/>
      <c r="DE21" s="167"/>
      <c r="DF21" s="167"/>
      <c r="DG21" s="167"/>
      <c r="DH21" s="167"/>
      <c r="DI21" s="167"/>
      <c r="DJ21" s="167"/>
      <c r="DK21" s="167"/>
      <c r="DL21" s="167"/>
      <c r="DM21" s="167"/>
      <c r="DN21" s="167"/>
      <c r="DO21" s="167"/>
      <c r="DP21" s="167"/>
      <c r="DQ21" s="167"/>
      <c r="DR21" s="167"/>
      <c r="DS21" s="167"/>
      <c r="DT21" s="167"/>
      <c r="DU21" s="167"/>
      <c r="DV21" s="167"/>
      <c r="DW21" s="167"/>
      <c r="DX21" s="167"/>
      <c r="DY21" s="167"/>
      <c r="DZ21" s="167"/>
      <c r="EA21" s="167"/>
      <c r="EB21" s="167"/>
      <c r="EC21" s="167"/>
      <c r="ED21" s="167"/>
      <c r="EE21" s="167"/>
      <c r="EF21" s="167"/>
      <c r="EG21" s="167"/>
      <c r="EH21" s="167"/>
      <c r="EI21" s="167"/>
      <c r="EJ21" s="167"/>
      <c r="EK21" s="167"/>
      <c r="EL21" s="167"/>
      <c r="EM21" s="167"/>
      <c r="EN21" s="167"/>
      <c r="EO21" s="167"/>
      <c r="EP21" s="167"/>
      <c r="EQ21" s="167"/>
      <c r="ER21" s="167"/>
      <c r="ES21" s="167"/>
      <c r="ET21" s="167"/>
      <c r="EU21" s="167"/>
      <c r="EV21" s="167"/>
      <c r="EW21" s="167"/>
      <c r="EX21" s="167"/>
      <c r="EY21" s="167"/>
      <c r="EZ21" s="167"/>
      <c r="FA21" s="167"/>
      <c r="FB21" s="167"/>
      <c r="FC21" s="167"/>
      <c r="FD21" s="167"/>
      <c r="FE21" s="167"/>
      <c r="FF21" s="167"/>
      <c r="FG21" s="167"/>
      <c r="FH21" s="167"/>
      <c r="FI21" s="167"/>
      <c r="FJ21" s="167"/>
      <c r="FK21" s="167"/>
      <c r="FL21" s="167"/>
      <c r="FM21" s="167"/>
      <c r="FN21" s="167"/>
      <c r="FO21" s="167"/>
      <c r="FP21" s="167"/>
      <c r="FQ21" s="167"/>
      <c r="FR21" s="167"/>
      <c r="FS21" s="167"/>
      <c r="FT21" s="167"/>
      <c r="FU21" s="167"/>
      <c r="FV21" s="167"/>
      <c r="FW21" s="167"/>
      <c r="FX21" s="167"/>
      <c r="FY21" s="167"/>
      <c r="FZ21" s="167"/>
      <c r="GA21" s="167"/>
      <c r="GB21" s="167"/>
      <c r="GC21" s="167"/>
      <c r="GD21" s="167"/>
      <c r="GE21" s="167"/>
      <c r="GF21" s="167"/>
      <c r="GG21" s="167"/>
      <c r="GH21" s="167"/>
      <c r="GI21" s="167"/>
      <c r="GJ21" s="167"/>
      <c r="GK21" s="167"/>
      <c r="GL21" s="167"/>
      <c r="GM21" s="167"/>
      <c r="GN21" s="167"/>
      <c r="GO21" s="167"/>
      <c r="GP21" s="167"/>
      <c r="GQ21" s="167"/>
      <c r="GR21" s="167"/>
      <c r="GS21" s="167"/>
      <c r="GT21" s="167"/>
      <c r="GU21" s="167"/>
      <c r="GV21" s="167"/>
      <c r="GW21" s="167"/>
      <c r="GX21" s="167"/>
      <c r="GY21" s="167"/>
      <c r="GZ21" s="167"/>
      <c r="HA21" s="167"/>
      <c r="HB21" s="167"/>
      <c r="HC21" s="167"/>
      <c r="HD21" s="167"/>
      <c r="HE21" s="167"/>
      <c r="HF21" s="167"/>
      <c r="HG21" s="167"/>
      <c r="HH21" s="167"/>
      <c r="HI21" s="167"/>
      <c r="HJ21" s="167"/>
      <c r="HK21" s="167"/>
      <c r="HL21" s="167"/>
      <c r="HM21" s="167"/>
      <c r="HN21" s="167"/>
      <c r="HO21" s="167"/>
      <c r="HP21" s="167"/>
      <c r="HQ21" s="167"/>
      <c r="HR21" s="167"/>
      <c r="HS21" s="167"/>
      <c r="HT21" s="167"/>
      <c r="HU21" s="167"/>
      <c r="HV21" s="167"/>
      <c r="HW21" s="167"/>
      <c r="HX21" s="167"/>
      <c r="HY21" s="167"/>
      <c r="HZ21" s="167"/>
      <c r="IA21" s="167"/>
      <c r="IB21" s="167"/>
      <c r="IC21" s="167"/>
      <c r="ID21" s="167"/>
      <c r="IE21" s="167"/>
      <c r="IF21" s="167"/>
      <c r="IG21" s="167"/>
      <c r="IH21" s="167"/>
      <c r="II21" s="167"/>
      <c r="IJ21" s="167"/>
      <c r="IK21" s="167"/>
      <c r="IL21" s="167"/>
      <c r="IM21" s="167"/>
      <c r="IN21" s="167"/>
      <c r="IO21" s="167"/>
      <c r="IP21" s="167"/>
      <c r="IQ21" s="167"/>
      <c r="IR21" s="167"/>
      <c r="IS21" s="167"/>
      <c r="IT21" s="167"/>
      <c r="IU21" s="167"/>
      <c r="IV21" s="167"/>
    </row>
    <row r="22" spans="1:256" s="86" customFormat="1" ht="19.5" x14ac:dyDescent="0.35">
      <c r="A22" s="209"/>
      <c r="B22" s="165" t="s">
        <v>376</v>
      </c>
      <c r="C22" s="165" t="s">
        <v>390</v>
      </c>
      <c r="D22" s="131" t="str">
        <f>TEXT(Ccomp*1000000,"0.000")&amp;" µF"</f>
        <v>0.033 µF</v>
      </c>
      <c r="E22" s="132" t="s">
        <v>378</v>
      </c>
      <c r="F22" s="168"/>
      <c r="G22" s="155"/>
      <c r="H22" s="151"/>
      <c r="I22" s="225"/>
      <c r="J22" s="226"/>
      <c r="K22" s="166"/>
      <c r="L22" s="167"/>
      <c r="M22" s="166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  <c r="AA22" s="167"/>
      <c r="AB22" s="167"/>
      <c r="AC22" s="167"/>
      <c r="AD22" s="167"/>
      <c r="AE22" s="167"/>
      <c r="AF22" s="167"/>
      <c r="AG22" s="167"/>
      <c r="AH22" s="167"/>
      <c r="AI22" s="167"/>
      <c r="AJ22" s="167"/>
      <c r="AK22" s="167"/>
      <c r="AL22" s="167"/>
      <c r="AM22" s="167"/>
      <c r="AN22" s="167"/>
      <c r="AO22" s="167"/>
      <c r="AP22" s="167"/>
      <c r="AQ22" s="167"/>
      <c r="AR22" s="167"/>
      <c r="AS22" s="167"/>
      <c r="AT22" s="167"/>
      <c r="AU22" s="167"/>
      <c r="AV22" s="167"/>
      <c r="AW22" s="167"/>
      <c r="AX22" s="167"/>
      <c r="AY22" s="167"/>
      <c r="AZ22" s="167"/>
      <c r="BA22" s="167"/>
      <c r="BB22" s="167"/>
      <c r="BC22" s="167"/>
      <c r="BD22" s="167"/>
      <c r="BE22" s="167"/>
      <c r="BF22" s="167"/>
      <c r="BG22" s="167"/>
      <c r="BH22" s="167"/>
      <c r="BI22" s="167"/>
      <c r="BJ22" s="167"/>
      <c r="BK22" s="167"/>
      <c r="BL22" s="167"/>
      <c r="BM22" s="167"/>
      <c r="BN22" s="167"/>
      <c r="BO22" s="167"/>
      <c r="BP22" s="167"/>
      <c r="BQ22" s="167"/>
      <c r="BR22" s="167"/>
      <c r="BS22" s="167"/>
      <c r="BT22" s="167"/>
      <c r="BU22" s="167"/>
      <c r="BV22" s="167"/>
      <c r="BW22" s="167"/>
      <c r="BX22" s="167"/>
      <c r="BY22" s="167"/>
      <c r="BZ22" s="167"/>
      <c r="CA22" s="167"/>
      <c r="CB22" s="167"/>
      <c r="CC22" s="167"/>
      <c r="CD22" s="167"/>
      <c r="CE22" s="167"/>
      <c r="CF22" s="167"/>
      <c r="CG22" s="167"/>
      <c r="CH22" s="167"/>
      <c r="CI22" s="167"/>
      <c r="CJ22" s="167"/>
      <c r="CK22" s="167"/>
      <c r="CL22" s="167"/>
      <c r="CM22" s="167"/>
      <c r="CN22" s="167"/>
      <c r="CO22" s="167"/>
      <c r="CP22" s="167"/>
      <c r="CQ22" s="167"/>
      <c r="CR22" s="167"/>
      <c r="CS22" s="167"/>
      <c r="CT22" s="167"/>
      <c r="CU22" s="167"/>
      <c r="CV22" s="167"/>
      <c r="CW22" s="167"/>
      <c r="CX22" s="167"/>
      <c r="CY22" s="167"/>
      <c r="CZ22" s="167"/>
      <c r="DA22" s="167"/>
      <c r="DB22" s="167"/>
      <c r="DC22" s="167"/>
      <c r="DD22" s="167"/>
      <c r="DE22" s="167"/>
      <c r="DF22" s="167"/>
      <c r="DG22" s="167"/>
      <c r="DH22" s="167"/>
      <c r="DI22" s="167"/>
      <c r="DJ22" s="167"/>
      <c r="DK22" s="167"/>
      <c r="DL22" s="167"/>
      <c r="DM22" s="167"/>
      <c r="DN22" s="167"/>
      <c r="DO22" s="167"/>
      <c r="DP22" s="167"/>
      <c r="DQ22" s="167"/>
      <c r="DR22" s="167"/>
      <c r="DS22" s="167"/>
      <c r="DT22" s="167"/>
      <c r="DU22" s="167"/>
      <c r="DV22" s="167"/>
      <c r="DW22" s="167"/>
      <c r="DX22" s="167"/>
      <c r="DY22" s="167"/>
      <c r="DZ22" s="167"/>
      <c r="EA22" s="167"/>
      <c r="EB22" s="167"/>
      <c r="EC22" s="167"/>
      <c r="ED22" s="167"/>
      <c r="EE22" s="167"/>
      <c r="EF22" s="167"/>
      <c r="EG22" s="167"/>
      <c r="EH22" s="167"/>
      <c r="EI22" s="167"/>
      <c r="EJ22" s="167"/>
      <c r="EK22" s="167"/>
      <c r="EL22" s="167"/>
      <c r="EM22" s="167"/>
      <c r="EN22" s="167"/>
      <c r="EO22" s="167"/>
      <c r="EP22" s="167"/>
      <c r="EQ22" s="167"/>
      <c r="ER22" s="167"/>
      <c r="ES22" s="167"/>
      <c r="ET22" s="167"/>
      <c r="EU22" s="167"/>
      <c r="EV22" s="167"/>
      <c r="EW22" s="167"/>
      <c r="EX22" s="167"/>
      <c r="EY22" s="167"/>
      <c r="EZ22" s="167"/>
      <c r="FA22" s="167"/>
      <c r="FB22" s="167"/>
      <c r="FC22" s="167"/>
      <c r="FD22" s="167"/>
      <c r="FE22" s="167"/>
      <c r="FF22" s="167"/>
      <c r="FG22" s="167"/>
      <c r="FH22" s="167"/>
      <c r="FI22" s="167"/>
      <c r="FJ22" s="167"/>
      <c r="FK22" s="167"/>
      <c r="FL22" s="167"/>
      <c r="FM22" s="167"/>
      <c r="FN22" s="167"/>
      <c r="FO22" s="167"/>
      <c r="FP22" s="167"/>
      <c r="FQ22" s="167"/>
      <c r="FR22" s="167"/>
      <c r="FS22" s="167"/>
      <c r="FT22" s="167"/>
      <c r="FU22" s="167"/>
      <c r="FV22" s="167"/>
      <c r="FW22" s="167"/>
      <c r="FX22" s="167"/>
      <c r="FY22" s="167"/>
      <c r="FZ22" s="167"/>
      <c r="GA22" s="167"/>
      <c r="GB22" s="167"/>
      <c r="GC22" s="167"/>
      <c r="GD22" s="167"/>
      <c r="GE22" s="167"/>
      <c r="GF22" s="167"/>
      <c r="GG22" s="167"/>
      <c r="GH22" s="167"/>
      <c r="GI22" s="167"/>
      <c r="GJ22" s="167"/>
      <c r="GK22" s="167"/>
      <c r="GL22" s="167"/>
      <c r="GM22" s="167"/>
      <c r="GN22" s="167"/>
      <c r="GO22" s="167"/>
      <c r="GP22" s="167"/>
      <c r="GQ22" s="167"/>
      <c r="GR22" s="167"/>
      <c r="GS22" s="167"/>
      <c r="GT22" s="167"/>
      <c r="GU22" s="167"/>
      <c r="GV22" s="167"/>
      <c r="GW22" s="167"/>
      <c r="GX22" s="167"/>
      <c r="GY22" s="167"/>
      <c r="GZ22" s="167"/>
      <c r="HA22" s="167"/>
      <c r="HB22" s="167"/>
      <c r="HC22" s="167"/>
      <c r="HD22" s="167"/>
      <c r="HE22" s="167"/>
      <c r="HF22" s="167"/>
      <c r="HG22" s="167"/>
      <c r="HH22" s="167"/>
      <c r="HI22" s="167"/>
      <c r="HJ22" s="167"/>
      <c r="HK22" s="167"/>
      <c r="HL22" s="167"/>
      <c r="HM22" s="167"/>
      <c r="HN22" s="167"/>
      <c r="HO22" s="167"/>
      <c r="HP22" s="167"/>
      <c r="HQ22" s="167"/>
      <c r="HR22" s="167"/>
      <c r="HS22" s="167"/>
      <c r="HT22" s="167"/>
      <c r="HU22" s="167"/>
      <c r="HV22" s="167"/>
      <c r="HW22" s="167"/>
      <c r="HX22" s="167"/>
      <c r="HY22" s="167"/>
      <c r="HZ22" s="167"/>
      <c r="IA22" s="167"/>
      <c r="IB22" s="167"/>
      <c r="IC22" s="167"/>
      <c r="ID22" s="167"/>
      <c r="IE22" s="167"/>
      <c r="IF22" s="167"/>
      <c r="IG22" s="167"/>
      <c r="IH22" s="167"/>
      <c r="II22" s="167"/>
      <c r="IJ22" s="167"/>
      <c r="IK22" s="167"/>
      <c r="IL22" s="167"/>
      <c r="IM22" s="167"/>
      <c r="IN22" s="167"/>
      <c r="IO22" s="167"/>
      <c r="IP22" s="167"/>
      <c r="IQ22" s="167"/>
      <c r="IR22" s="167"/>
      <c r="IS22" s="167"/>
      <c r="IT22" s="167"/>
      <c r="IU22" s="167"/>
      <c r="IV22" s="167"/>
    </row>
    <row r="23" spans="1:256" s="86" customFormat="1" ht="19.5" x14ac:dyDescent="0.35">
      <c r="A23" s="209"/>
      <c r="B23" s="165" t="s">
        <v>186</v>
      </c>
      <c r="C23" s="165" t="s">
        <v>391</v>
      </c>
      <c r="D23" s="131" t="str">
        <f>TEXT(D142*1000000,"0.000")&amp;" µF"</f>
        <v>0.100 µF</v>
      </c>
      <c r="E23" s="132" t="s">
        <v>378</v>
      </c>
      <c r="F23" s="168"/>
      <c r="G23" s="155"/>
      <c r="H23" s="151"/>
      <c r="I23" s="225"/>
      <c r="J23" s="226"/>
      <c r="K23" s="166"/>
      <c r="L23" s="167"/>
      <c r="M23" s="166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  <c r="AA23" s="167"/>
      <c r="AB23" s="167"/>
      <c r="AC23" s="167"/>
      <c r="AD23" s="167"/>
      <c r="AE23" s="167"/>
      <c r="AF23" s="167"/>
      <c r="AG23" s="167"/>
      <c r="AH23" s="167"/>
      <c r="AI23" s="167"/>
      <c r="AJ23" s="167"/>
      <c r="AK23" s="167"/>
      <c r="AL23" s="167"/>
      <c r="AM23" s="167"/>
      <c r="AN23" s="167"/>
      <c r="AO23" s="167"/>
      <c r="AP23" s="167"/>
      <c r="AQ23" s="167"/>
      <c r="AR23" s="167"/>
      <c r="AS23" s="167"/>
      <c r="AT23" s="167"/>
      <c r="AU23" s="167"/>
      <c r="AV23" s="167"/>
      <c r="AW23" s="167"/>
      <c r="AX23" s="167"/>
      <c r="AY23" s="167"/>
      <c r="AZ23" s="167"/>
      <c r="BA23" s="167"/>
      <c r="BB23" s="167"/>
      <c r="BC23" s="167"/>
      <c r="BD23" s="167"/>
      <c r="BE23" s="167"/>
      <c r="BF23" s="167"/>
      <c r="BG23" s="167"/>
      <c r="BH23" s="167"/>
      <c r="BI23" s="167"/>
      <c r="BJ23" s="167"/>
      <c r="BK23" s="167"/>
      <c r="BL23" s="167"/>
      <c r="BM23" s="167"/>
      <c r="BN23" s="167"/>
      <c r="BO23" s="167"/>
      <c r="BP23" s="167"/>
      <c r="BQ23" s="167"/>
      <c r="BR23" s="167"/>
      <c r="BS23" s="167"/>
      <c r="BT23" s="167"/>
      <c r="BU23" s="167"/>
      <c r="BV23" s="167"/>
      <c r="BW23" s="167"/>
      <c r="BX23" s="167"/>
      <c r="BY23" s="167"/>
      <c r="BZ23" s="167"/>
      <c r="CA23" s="167"/>
      <c r="CB23" s="167"/>
      <c r="CC23" s="167"/>
      <c r="CD23" s="167"/>
      <c r="CE23" s="167"/>
      <c r="CF23" s="167"/>
      <c r="CG23" s="167"/>
      <c r="CH23" s="167"/>
      <c r="CI23" s="167"/>
      <c r="CJ23" s="167"/>
      <c r="CK23" s="167"/>
      <c r="CL23" s="167"/>
      <c r="CM23" s="167"/>
      <c r="CN23" s="167"/>
      <c r="CO23" s="167"/>
      <c r="CP23" s="167"/>
      <c r="CQ23" s="167"/>
      <c r="CR23" s="167"/>
      <c r="CS23" s="167"/>
      <c r="CT23" s="167"/>
      <c r="CU23" s="167"/>
      <c r="CV23" s="167"/>
      <c r="CW23" s="167"/>
      <c r="CX23" s="167"/>
      <c r="CY23" s="167"/>
      <c r="CZ23" s="167"/>
      <c r="DA23" s="167"/>
      <c r="DB23" s="167"/>
      <c r="DC23" s="167"/>
      <c r="DD23" s="167"/>
      <c r="DE23" s="167"/>
      <c r="DF23" s="167"/>
      <c r="DG23" s="167"/>
      <c r="DH23" s="167"/>
      <c r="DI23" s="167"/>
      <c r="DJ23" s="167"/>
      <c r="DK23" s="167"/>
      <c r="DL23" s="167"/>
      <c r="DM23" s="167"/>
      <c r="DN23" s="167"/>
      <c r="DO23" s="167"/>
      <c r="DP23" s="167"/>
      <c r="DQ23" s="167"/>
      <c r="DR23" s="167"/>
      <c r="DS23" s="167"/>
      <c r="DT23" s="167"/>
      <c r="DU23" s="167"/>
      <c r="DV23" s="167"/>
      <c r="DW23" s="167"/>
      <c r="DX23" s="167"/>
      <c r="DY23" s="167"/>
      <c r="DZ23" s="167"/>
      <c r="EA23" s="167"/>
      <c r="EB23" s="167"/>
      <c r="EC23" s="167"/>
      <c r="ED23" s="167"/>
      <c r="EE23" s="167"/>
      <c r="EF23" s="167"/>
      <c r="EG23" s="167"/>
      <c r="EH23" s="167"/>
      <c r="EI23" s="167"/>
      <c r="EJ23" s="167"/>
      <c r="EK23" s="167"/>
      <c r="EL23" s="167"/>
      <c r="EM23" s="167"/>
      <c r="EN23" s="167"/>
      <c r="EO23" s="167"/>
      <c r="EP23" s="167"/>
      <c r="EQ23" s="167"/>
      <c r="ER23" s="167"/>
      <c r="ES23" s="167"/>
      <c r="ET23" s="167"/>
      <c r="EU23" s="167"/>
      <c r="EV23" s="167"/>
      <c r="EW23" s="167"/>
      <c r="EX23" s="167"/>
      <c r="EY23" s="167"/>
      <c r="EZ23" s="167"/>
      <c r="FA23" s="167"/>
      <c r="FB23" s="167"/>
      <c r="FC23" s="167"/>
      <c r="FD23" s="167"/>
      <c r="FE23" s="167"/>
      <c r="FF23" s="167"/>
      <c r="FG23" s="167"/>
      <c r="FH23" s="167"/>
      <c r="FI23" s="167"/>
      <c r="FJ23" s="167"/>
      <c r="FK23" s="167"/>
      <c r="FL23" s="167"/>
      <c r="FM23" s="167"/>
      <c r="FN23" s="167"/>
      <c r="FO23" s="167"/>
      <c r="FP23" s="167"/>
      <c r="FQ23" s="167"/>
      <c r="FR23" s="167"/>
      <c r="FS23" s="167"/>
      <c r="FT23" s="167"/>
      <c r="FU23" s="167"/>
      <c r="FV23" s="167"/>
      <c r="FW23" s="167"/>
      <c r="FX23" s="167"/>
      <c r="FY23" s="167"/>
      <c r="FZ23" s="167"/>
      <c r="GA23" s="167"/>
      <c r="GB23" s="167"/>
      <c r="GC23" s="167"/>
      <c r="GD23" s="167"/>
      <c r="GE23" s="167"/>
      <c r="GF23" s="167"/>
      <c r="GG23" s="167"/>
      <c r="GH23" s="167"/>
      <c r="GI23" s="167"/>
      <c r="GJ23" s="167"/>
      <c r="GK23" s="167"/>
      <c r="GL23" s="167"/>
      <c r="GM23" s="167"/>
      <c r="GN23" s="167"/>
      <c r="GO23" s="167"/>
      <c r="GP23" s="167"/>
      <c r="GQ23" s="167"/>
      <c r="GR23" s="167"/>
      <c r="GS23" s="167"/>
      <c r="GT23" s="167"/>
      <c r="GU23" s="167"/>
      <c r="GV23" s="167"/>
      <c r="GW23" s="167"/>
      <c r="GX23" s="167"/>
      <c r="GY23" s="167"/>
      <c r="GZ23" s="167"/>
      <c r="HA23" s="167"/>
      <c r="HB23" s="167"/>
      <c r="HC23" s="167"/>
      <c r="HD23" s="167"/>
      <c r="HE23" s="167"/>
      <c r="HF23" s="167"/>
      <c r="HG23" s="167"/>
      <c r="HH23" s="167"/>
      <c r="HI23" s="167"/>
      <c r="HJ23" s="167"/>
      <c r="HK23" s="167"/>
      <c r="HL23" s="167"/>
      <c r="HM23" s="167"/>
      <c r="HN23" s="167"/>
      <c r="HO23" s="167"/>
      <c r="HP23" s="167"/>
      <c r="HQ23" s="167"/>
      <c r="HR23" s="167"/>
      <c r="HS23" s="167"/>
      <c r="HT23" s="167"/>
      <c r="HU23" s="167"/>
      <c r="HV23" s="167"/>
      <c r="HW23" s="167"/>
      <c r="HX23" s="167"/>
      <c r="HY23" s="167"/>
      <c r="HZ23" s="167"/>
      <c r="IA23" s="167"/>
      <c r="IB23" s="167"/>
      <c r="IC23" s="167"/>
      <c r="ID23" s="167"/>
      <c r="IE23" s="167"/>
      <c r="IF23" s="167"/>
      <c r="IG23" s="167"/>
      <c r="IH23" s="167"/>
      <c r="II23" s="167"/>
      <c r="IJ23" s="167"/>
      <c r="IK23" s="167"/>
      <c r="IL23" s="167"/>
      <c r="IM23" s="167"/>
      <c r="IN23" s="167"/>
      <c r="IO23" s="167"/>
      <c r="IP23" s="167"/>
      <c r="IQ23" s="167"/>
      <c r="IR23" s="167"/>
      <c r="IS23" s="167"/>
      <c r="IT23" s="167"/>
      <c r="IU23" s="167"/>
      <c r="IV23" s="167"/>
    </row>
    <row r="24" spans="1:256" s="86" customFormat="1" ht="19.5" x14ac:dyDescent="0.35">
      <c r="A24" s="209"/>
      <c r="B24" s="165" t="s">
        <v>187</v>
      </c>
      <c r="C24" s="165" t="s">
        <v>392</v>
      </c>
      <c r="D24" s="131" t="str">
        <f>IF(Chf&lt;=0.000000000001,"not used",TEXT(Chf*1000000000000,"0")&amp;" pF")</f>
        <v>330 pF</v>
      </c>
      <c r="E24" s="132" t="s">
        <v>378</v>
      </c>
      <c r="F24" s="168"/>
      <c r="G24" s="155"/>
      <c r="H24" s="151"/>
      <c r="I24" s="225"/>
      <c r="J24" s="226"/>
      <c r="K24" s="166"/>
      <c r="L24" s="167"/>
      <c r="M24" s="166"/>
      <c r="N24" s="167"/>
      <c r="O24" s="167"/>
      <c r="P24" s="167"/>
      <c r="Q24" s="167"/>
      <c r="R24" s="167"/>
      <c r="S24" s="167"/>
      <c r="T24" s="167"/>
      <c r="U24" s="167"/>
      <c r="V24" s="167"/>
      <c r="W24" s="167"/>
      <c r="X24" s="167"/>
      <c r="Y24" s="167"/>
      <c r="Z24" s="167"/>
      <c r="AA24" s="167"/>
      <c r="AB24" s="167"/>
      <c r="AC24" s="167"/>
      <c r="AD24" s="167"/>
      <c r="AE24" s="167"/>
      <c r="AF24" s="167"/>
      <c r="AG24" s="167"/>
      <c r="AH24" s="167"/>
      <c r="AI24" s="167"/>
      <c r="AJ24" s="167"/>
      <c r="AK24" s="167"/>
      <c r="AL24" s="167"/>
      <c r="AM24" s="167"/>
      <c r="AN24" s="167"/>
      <c r="AO24" s="167"/>
      <c r="AP24" s="167"/>
      <c r="AQ24" s="167"/>
      <c r="AR24" s="167"/>
      <c r="AS24" s="167"/>
      <c r="AT24" s="167"/>
      <c r="AU24" s="167"/>
      <c r="AV24" s="167"/>
      <c r="AW24" s="167"/>
      <c r="AX24" s="167"/>
      <c r="AY24" s="167"/>
      <c r="AZ24" s="167"/>
      <c r="BA24" s="167"/>
      <c r="BB24" s="167"/>
      <c r="BC24" s="167"/>
      <c r="BD24" s="167"/>
      <c r="BE24" s="167"/>
      <c r="BF24" s="167"/>
      <c r="BG24" s="167"/>
      <c r="BH24" s="167"/>
      <c r="BI24" s="167"/>
      <c r="BJ24" s="167"/>
      <c r="BK24" s="167"/>
      <c r="BL24" s="167"/>
      <c r="BM24" s="167"/>
      <c r="BN24" s="167"/>
      <c r="BO24" s="167"/>
      <c r="BP24" s="167"/>
      <c r="BQ24" s="167"/>
      <c r="BR24" s="167"/>
      <c r="BS24" s="167"/>
      <c r="BT24" s="167"/>
      <c r="BU24" s="167"/>
      <c r="BV24" s="167"/>
      <c r="BW24" s="167"/>
      <c r="BX24" s="167"/>
      <c r="BY24" s="167"/>
      <c r="BZ24" s="167"/>
      <c r="CA24" s="167"/>
      <c r="CB24" s="167"/>
      <c r="CC24" s="167"/>
      <c r="CD24" s="167"/>
      <c r="CE24" s="167"/>
      <c r="CF24" s="167"/>
      <c r="CG24" s="167"/>
      <c r="CH24" s="167"/>
      <c r="CI24" s="167"/>
      <c r="CJ24" s="167"/>
      <c r="CK24" s="167"/>
      <c r="CL24" s="167"/>
      <c r="CM24" s="167"/>
      <c r="CN24" s="167"/>
      <c r="CO24" s="167"/>
      <c r="CP24" s="167"/>
      <c r="CQ24" s="167"/>
      <c r="CR24" s="167"/>
      <c r="CS24" s="167"/>
      <c r="CT24" s="167"/>
      <c r="CU24" s="167"/>
      <c r="CV24" s="167"/>
      <c r="CW24" s="167"/>
      <c r="CX24" s="167"/>
      <c r="CY24" s="167"/>
      <c r="CZ24" s="167"/>
      <c r="DA24" s="167"/>
      <c r="DB24" s="167"/>
      <c r="DC24" s="167"/>
      <c r="DD24" s="167"/>
      <c r="DE24" s="167"/>
      <c r="DF24" s="167"/>
      <c r="DG24" s="167"/>
      <c r="DH24" s="167"/>
      <c r="DI24" s="167"/>
      <c r="DJ24" s="167"/>
      <c r="DK24" s="167"/>
      <c r="DL24" s="167"/>
      <c r="DM24" s="167"/>
      <c r="DN24" s="167"/>
      <c r="DO24" s="167"/>
      <c r="DP24" s="167"/>
      <c r="DQ24" s="167"/>
      <c r="DR24" s="167"/>
      <c r="DS24" s="167"/>
      <c r="DT24" s="167"/>
      <c r="DU24" s="167"/>
      <c r="DV24" s="167"/>
      <c r="DW24" s="167"/>
      <c r="DX24" s="167"/>
      <c r="DY24" s="167"/>
      <c r="DZ24" s="167"/>
      <c r="EA24" s="167"/>
      <c r="EB24" s="167"/>
      <c r="EC24" s="167"/>
      <c r="ED24" s="167"/>
      <c r="EE24" s="167"/>
      <c r="EF24" s="167"/>
      <c r="EG24" s="167"/>
      <c r="EH24" s="167"/>
      <c r="EI24" s="167"/>
      <c r="EJ24" s="167"/>
      <c r="EK24" s="167"/>
      <c r="EL24" s="167"/>
      <c r="EM24" s="167"/>
      <c r="EN24" s="167"/>
      <c r="EO24" s="167"/>
      <c r="EP24" s="167"/>
      <c r="EQ24" s="167"/>
      <c r="ER24" s="167"/>
      <c r="ES24" s="167"/>
      <c r="ET24" s="167"/>
      <c r="EU24" s="167"/>
      <c r="EV24" s="167"/>
      <c r="EW24" s="167"/>
      <c r="EX24" s="167"/>
      <c r="EY24" s="167"/>
      <c r="EZ24" s="167"/>
      <c r="FA24" s="167"/>
      <c r="FB24" s="167"/>
      <c r="FC24" s="167"/>
      <c r="FD24" s="167"/>
      <c r="FE24" s="167"/>
      <c r="FF24" s="167"/>
      <c r="FG24" s="167"/>
      <c r="FH24" s="167"/>
      <c r="FI24" s="167"/>
      <c r="FJ24" s="167"/>
      <c r="FK24" s="167"/>
      <c r="FL24" s="167"/>
      <c r="FM24" s="167"/>
      <c r="FN24" s="167"/>
      <c r="FO24" s="167"/>
      <c r="FP24" s="167"/>
      <c r="FQ24" s="167"/>
      <c r="FR24" s="167"/>
      <c r="FS24" s="167"/>
      <c r="FT24" s="167"/>
      <c r="FU24" s="167"/>
      <c r="FV24" s="167"/>
      <c r="FW24" s="167"/>
      <c r="FX24" s="167"/>
      <c r="FY24" s="167"/>
      <c r="FZ24" s="167"/>
      <c r="GA24" s="167"/>
      <c r="GB24" s="167"/>
      <c r="GC24" s="167"/>
      <c r="GD24" s="167"/>
      <c r="GE24" s="167"/>
      <c r="GF24" s="167"/>
      <c r="GG24" s="167"/>
      <c r="GH24" s="167"/>
      <c r="GI24" s="167"/>
      <c r="GJ24" s="167"/>
      <c r="GK24" s="167"/>
      <c r="GL24" s="167"/>
      <c r="GM24" s="167"/>
      <c r="GN24" s="167"/>
      <c r="GO24" s="167"/>
      <c r="GP24" s="167"/>
      <c r="GQ24" s="167"/>
      <c r="GR24" s="167"/>
      <c r="GS24" s="167"/>
      <c r="GT24" s="167"/>
      <c r="GU24" s="167"/>
      <c r="GV24" s="167"/>
      <c r="GW24" s="167"/>
      <c r="GX24" s="167"/>
      <c r="GY24" s="167"/>
      <c r="GZ24" s="167"/>
      <c r="HA24" s="167"/>
      <c r="HB24" s="167"/>
      <c r="HC24" s="167"/>
      <c r="HD24" s="167"/>
      <c r="HE24" s="167"/>
      <c r="HF24" s="167"/>
      <c r="HG24" s="167"/>
      <c r="HH24" s="167"/>
      <c r="HI24" s="167"/>
      <c r="HJ24" s="167"/>
      <c r="HK24" s="167"/>
      <c r="HL24" s="167"/>
      <c r="HM24" s="167"/>
      <c r="HN24" s="167"/>
      <c r="HO24" s="167"/>
      <c r="HP24" s="167"/>
      <c r="HQ24" s="167"/>
      <c r="HR24" s="167"/>
      <c r="HS24" s="167"/>
      <c r="HT24" s="167"/>
      <c r="HU24" s="167"/>
      <c r="HV24" s="167"/>
      <c r="HW24" s="167"/>
      <c r="HX24" s="167"/>
      <c r="HY24" s="167"/>
      <c r="HZ24" s="167"/>
      <c r="IA24" s="167"/>
      <c r="IB24" s="167"/>
      <c r="IC24" s="167"/>
      <c r="ID24" s="167"/>
      <c r="IE24" s="167"/>
      <c r="IF24" s="167"/>
      <c r="IG24" s="167"/>
      <c r="IH24" s="167"/>
      <c r="II24" s="167"/>
      <c r="IJ24" s="167"/>
      <c r="IK24" s="167"/>
      <c r="IL24" s="167"/>
      <c r="IM24" s="167"/>
      <c r="IN24" s="167"/>
      <c r="IO24" s="167"/>
      <c r="IP24" s="167"/>
      <c r="IQ24" s="167"/>
      <c r="IR24" s="167"/>
      <c r="IS24" s="167"/>
      <c r="IT24" s="167"/>
      <c r="IU24" s="167"/>
      <c r="IV24" s="167"/>
    </row>
    <row r="25" spans="1:256" s="86" customFormat="1" ht="19.5" x14ac:dyDescent="0.35">
      <c r="A25" s="209"/>
      <c r="B25" s="165" t="s">
        <v>380</v>
      </c>
      <c r="C25" s="165" t="s">
        <v>393</v>
      </c>
      <c r="D25" s="131" t="str">
        <f>TEXT(D107*1000000,"0.000")&amp;" µF"</f>
        <v>0.100 µF</v>
      </c>
      <c r="E25" s="132" t="str">
        <f>Vcc_typ&amp;"V"</f>
        <v>5.5V</v>
      </c>
      <c r="F25" s="168"/>
      <c r="G25" s="155"/>
      <c r="H25" s="151"/>
      <c r="I25" s="225"/>
      <c r="J25" s="226"/>
      <c r="K25" s="166"/>
      <c r="L25" s="167"/>
      <c r="M25" s="166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7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7"/>
      <c r="AT25" s="167"/>
      <c r="AU25" s="167"/>
      <c r="AV25" s="167"/>
      <c r="AW25" s="167"/>
      <c r="AX25" s="167"/>
      <c r="AY25" s="167"/>
      <c r="AZ25" s="167"/>
      <c r="BA25" s="167"/>
      <c r="BB25" s="167"/>
      <c r="BC25" s="167"/>
      <c r="BD25" s="167"/>
      <c r="BE25" s="167"/>
      <c r="BF25" s="167"/>
      <c r="BG25" s="167"/>
      <c r="BH25" s="167"/>
      <c r="BI25" s="167"/>
      <c r="BJ25" s="167"/>
      <c r="BK25" s="167"/>
      <c r="BL25" s="167"/>
      <c r="BM25" s="167"/>
      <c r="BN25" s="167"/>
      <c r="BO25" s="167"/>
      <c r="BP25" s="167"/>
      <c r="BQ25" s="167"/>
      <c r="BR25" s="167"/>
      <c r="BS25" s="167"/>
      <c r="BT25" s="167"/>
      <c r="BU25" s="167"/>
      <c r="BV25" s="167"/>
      <c r="BW25" s="167"/>
      <c r="BX25" s="167"/>
      <c r="BY25" s="167"/>
      <c r="BZ25" s="167"/>
      <c r="CA25" s="167"/>
      <c r="CB25" s="167"/>
      <c r="CC25" s="167"/>
      <c r="CD25" s="167"/>
      <c r="CE25" s="167"/>
      <c r="CF25" s="167"/>
      <c r="CG25" s="167"/>
      <c r="CH25" s="167"/>
      <c r="CI25" s="167"/>
      <c r="CJ25" s="167"/>
      <c r="CK25" s="167"/>
      <c r="CL25" s="167"/>
      <c r="CM25" s="167"/>
      <c r="CN25" s="167"/>
      <c r="CO25" s="167"/>
      <c r="CP25" s="167"/>
      <c r="CQ25" s="167"/>
      <c r="CR25" s="167"/>
      <c r="CS25" s="167"/>
      <c r="CT25" s="167"/>
      <c r="CU25" s="167"/>
      <c r="CV25" s="167"/>
      <c r="CW25" s="167"/>
      <c r="CX25" s="167"/>
      <c r="CY25" s="167"/>
      <c r="CZ25" s="167"/>
      <c r="DA25" s="167"/>
      <c r="DB25" s="167"/>
      <c r="DC25" s="167"/>
      <c r="DD25" s="167"/>
      <c r="DE25" s="167"/>
      <c r="DF25" s="167"/>
      <c r="DG25" s="167"/>
      <c r="DH25" s="167"/>
      <c r="DI25" s="167"/>
      <c r="DJ25" s="167"/>
      <c r="DK25" s="167"/>
      <c r="DL25" s="167"/>
      <c r="DM25" s="167"/>
      <c r="DN25" s="167"/>
      <c r="DO25" s="167"/>
      <c r="DP25" s="167"/>
      <c r="DQ25" s="167"/>
      <c r="DR25" s="167"/>
      <c r="DS25" s="167"/>
      <c r="DT25" s="167"/>
      <c r="DU25" s="167"/>
      <c r="DV25" s="167"/>
      <c r="DW25" s="167"/>
      <c r="DX25" s="167"/>
      <c r="DY25" s="167"/>
      <c r="DZ25" s="167"/>
      <c r="EA25" s="167"/>
      <c r="EB25" s="167"/>
      <c r="EC25" s="167"/>
      <c r="ED25" s="167"/>
      <c r="EE25" s="167"/>
      <c r="EF25" s="167"/>
      <c r="EG25" s="167"/>
      <c r="EH25" s="167"/>
      <c r="EI25" s="167"/>
      <c r="EJ25" s="167"/>
      <c r="EK25" s="167"/>
      <c r="EL25" s="167"/>
      <c r="EM25" s="167"/>
      <c r="EN25" s="167"/>
      <c r="EO25" s="167"/>
      <c r="EP25" s="167"/>
      <c r="EQ25" s="167"/>
      <c r="ER25" s="167"/>
      <c r="ES25" s="167"/>
      <c r="ET25" s="167"/>
      <c r="EU25" s="167"/>
      <c r="EV25" s="167"/>
      <c r="EW25" s="167"/>
      <c r="EX25" s="167"/>
      <c r="EY25" s="167"/>
      <c r="EZ25" s="167"/>
      <c r="FA25" s="167"/>
      <c r="FB25" s="167"/>
      <c r="FC25" s="167"/>
      <c r="FD25" s="167"/>
      <c r="FE25" s="167"/>
      <c r="FF25" s="167"/>
      <c r="FG25" s="167"/>
      <c r="FH25" s="167"/>
      <c r="FI25" s="167"/>
      <c r="FJ25" s="167"/>
      <c r="FK25" s="167"/>
      <c r="FL25" s="167"/>
      <c r="FM25" s="167"/>
      <c r="FN25" s="167"/>
      <c r="FO25" s="167"/>
      <c r="FP25" s="167"/>
      <c r="FQ25" s="167"/>
      <c r="FR25" s="167"/>
      <c r="FS25" s="167"/>
      <c r="FT25" s="167"/>
      <c r="FU25" s="167"/>
      <c r="FV25" s="167"/>
      <c r="FW25" s="167"/>
      <c r="FX25" s="167"/>
      <c r="FY25" s="167"/>
      <c r="FZ25" s="167"/>
      <c r="GA25" s="167"/>
      <c r="GB25" s="167"/>
      <c r="GC25" s="167"/>
      <c r="GD25" s="167"/>
      <c r="GE25" s="167"/>
      <c r="GF25" s="167"/>
      <c r="GG25" s="167"/>
      <c r="GH25" s="167"/>
      <c r="GI25" s="167"/>
      <c r="GJ25" s="167"/>
      <c r="GK25" s="167"/>
      <c r="GL25" s="167"/>
      <c r="GM25" s="167"/>
      <c r="GN25" s="167"/>
      <c r="GO25" s="167"/>
      <c r="GP25" s="167"/>
      <c r="GQ25" s="167"/>
      <c r="GR25" s="167"/>
      <c r="GS25" s="167"/>
      <c r="GT25" s="167"/>
      <c r="GU25" s="167"/>
      <c r="GV25" s="167"/>
      <c r="GW25" s="167"/>
      <c r="GX25" s="167"/>
      <c r="GY25" s="167"/>
      <c r="GZ25" s="167"/>
      <c r="HA25" s="167"/>
      <c r="HB25" s="167"/>
      <c r="HC25" s="167"/>
      <c r="HD25" s="167"/>
      <c r="HE25" s="167"/>
      <c r="HF25" s="167"/>
      <c r="HG25" s="167"/>
      <c r="HH25" s="167"/>
      <c r="HI25" s="167"/>
      <c r="HJ25" s="167"/>
      <c r="HK25" s="167"/>
      <c r="HL25" s="167"/>
      <c r="HM25" s="167"/>
      <c r="HN25" s="167"/>
      <c r="HO25" s="167"/>
      <c r="HP25" s="167"/>
      <c r="HQ25" s="167"/>
      <c r="HR25" s="167"/>
      <c r="HS25" s="167"/>
      <c r="HT25" s="167"/>
      <c r="HU25" s="167"/>
      <c r="HV25" s="167"/>
      <c r="HW25" s="167"/>
      <c r="HX25" s="167"/>
      <c r="HY25" s="167"/>
      <c r="HZ25" s="167"/>
      <c r="IA25" s="167"/>
      <c r="IB25" s="167"/>
      <c r="IC25" s="167"/>
      <c r="ID25" s="167"/>
      <c r="IE25" s="167"/>
      <c r="IF25" s="167"/>
      <c r="IG25" s="167"/>
      <c r="IH25" s="167"/>
      <c r="II25" s="167"/>
      <c r="IJ25" s="167"/>
      <c r="IK25" s="167"/>
      <c r="IL25" s="167"/>
      <c r="IM25" s="167"/>
      <c r="IN25" s="167"/>
      <c r="IO25" s="167"/>
      <c r="IP25" s="167"/>
      <c r="IQ25" s="167"/>
      <c r="IR25" s="167"/>
      <c r="IS25" s="167"/>
      <c r="IT25" s="167"/>
      <c r="IU25" s="167"/>
      <c r="IV25" s="167"/>
    </row>
    <row r="26" spans="1:256" s="86" customFormat="1" ht="19.5" x14ac:dyDescent="0.35">
      <c r="A26" s="209"/>
      <c r="B26" s="165" t="s">
        <v>381</v>
      </c>
      <c r="C26" s="165" t="s">
        <v>394</v>
      </c>
      <c r="D26" s="131" t="str">
        <f>TEXT(CVcc*1000000,"0.000")&amp;" µF"</f>
        <v>4.700 µF</v>
      </c>
      <c r="E26" s="132" t="str">
        <f>Vcc_typ&amp;"V"</f>
        <v>5.5V</v>
      </c>
      <c r="F26" s="168"/>
      <c r="G26" s="155"/>
      <c r="H26" s="151"/>
      <c r="I26" s="225"/>
      <c r="J26" s="226"/>
      <c r="K26" s="166"/>
      <c r="L26" s="167"/>
      <c r="M26" s="166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  <c r="AA26" s="167"/>
      <c r="AB26" s="167"/>
      <c r="AC26" s="167"/>
      <c r="AD26" s="167"/>
      <c r="AE26" s="167"/>
      <c r="AF26" s="167"/>
      <c r="AG26" s="167"/>
      <c r="AH26" s="167"/>
      <c r="AI26" s="167"/>
      <c r="AJ26" s="167"/>
      <c r="AK26" s="167"/>
      <c r="AL26" s="167"/>
      <c r="AM26" s="167"/>
      <c r="AN26" s="167"/>
      <c r="AO26" s="167"/>
      <c r="AP26" s="167"/>
      <c r="AQ26" s="167"/>
      <c r="AR26" s="167"/>
      <c r="AS26" s="167"/>
      <c r="AT26" s="167"/>
      <c r="AU26" s="167"/>
      <c r="AV26" s="167"/>
      <c r="AW26" s="167"/>
      <c r="AX26" s="167"/>
      <c r="AY26" s="167"/>
      <c r="AZ26" s="167"/>
      <c r="BA26" s="167"/>
      <c r="BB26" s="167"/>
      <c r="BC26" s="167"/>
      <c r="BD26" s="167"/>
      <c r="BE26" s="167"/>
      <c r="BF26" s="167"/>
      <c r="BG26" s="167"/>
      <c r="BH26" s="167"/>
      <c r="BI26" s="167"/>
      <c r="BJ26" s="167"/>
      <c r="BK26" s="167"/>
      <c r="BL26" s="167"/>
      <c r="BM26" s="167"/>
      <c r="BN26" s="167"/>
      <c r="BO26" s="167"/>
      <c r="BP26" s="167"/>
      <c r="BQ26" s="167"/>
      <c r="BR26" s="167"/>
      <c r="BS26" s="167"/>
      <c r="BT26" s="167"/>
      <c r="BU26" s="167"/>
      <c r="BV26" s="167"/>
      <c r="BW26" s="167"/>
      <c r="BX26" s="167"/>
      <c r="BY26" s="167"/>
      <c r="BZ26" s="167"/>
      <c r="CA26" s="167"/>
      <c r="CB26" s="167"/>
      <c r="CC26" s="167"/>
      <c r="CD26" s="167"/>
      <c r="CE26" s="167"/>
      <c r="CF26" s="167"/>
      <c r="CG26" s="167"/>
      <c r="CH26" s="167"/>
      <c r="CI26" s="167"/>
      <c r="CJ26" s="167"/>
      <c r="CK26" s="167"/>
      <c r="CL26" s="167"/>
      <c r="CM26" s="167"/>
      <c r="CN26" s="167"/>
      <c r="CO26" s="167"/>
      <c r="CP26" s="167"/>
      <c r="CQ26" s="167"/>
      <c r="CR26" s="167"/>
      <c r="CS26" s="167"/>
      <c r="CT26" s="167"/>
      <c r="CU26" s="167"/>
      <c r="CV26" s="167"/>
      <c r="CW26" s="167"/>
      <c r="CX26" s="167"/>
      <c r="CY26" s="167"/>
      <c r="CZ26" s="167"/>
      <c r="DA26" s="167"/>
      <c r="DB26" s="167"/>
      <c r="DC26" s="167"/>
      <c r="DD26" s="167"/>
      <c r="DE26" s="167"/>
      <c r="DF26" s="167"/>
      <c r="DG26" s="167"/>
      <c r="DH26" s="167"/>
      <c r="DI26" s="167"/>
      <c r="DJ26" s="167"/>
      <c r="DK26" s="167"/>
      <c r="DL26" s="167"/>
      <c r="DM26" s="167"/>
      <c r="DN26" s="167"/>
      <c r="DO26" s="167"/>
      <c r="DP26" s="167"/>
      <c r="DQ26" s="167"/>
      <c r="DR26" s="167"/>
      <c r="DS26" s="167"/>
      <c r="DT26" s="167"/>
      <c r="DU26" s="167"/>
      <c r="DV26" s="167"/>
      <c r="DW26" s="167"/>
      <c r="DX26" s="167"/>
      <c r="DY26" s="167"/>
      <c r="DZ26" s="167"/>
      <c r="EA26" s="167"/>
      <c r="EB26" s="167"/>
      <c r="EC26" s="167"/>
      <c r="ED26" s="167"/>
      <c r="EE26" s="167"/>
      <c r="EF26" s="167"/>
      <c r="EG26" s="167"/>
      <c r="EH26" s="167"/>
      <c r="EI26" s="167"/>
      <c r="EJ26" s="167"/>
      <c r="EK26" s="167"/>
      <c r="EL26" s="167"/>
      <c r="EM26" s="167"/>
      <c r="EN26" s="167"/>
      <c r="EO26" s="167"/>
      <c r="EP26" s="167"/>
      <c r="EQ26" s="167"/>
      <c r="ER26" s="167"/>
      <c r="ES26" s="167"/>
      <c r="ET26" s="167"/>
      <c r="EU26" s="167"/>
      <c r="EV26" s="167"/>
      <c r="EW26" s="167"/>
      <c r="EX26" s="167"/>
      <c r="EY26" s="167"/>
      <c r="EZ26" s="167"/>
      <c r="FA26" s="167"/>
      <c r="FB26" s="167"/>
      <c r="FC26" s="167"/>
      <c r="FD26" s="167"/>
      <c r="FE26" s="167"/>
      <c r="FF26" s="167"/>
      <c r="FG26" s="167"/>
      <c r="FH26" s="167"/>
      <c r="FI26" s="167"/>
      <c r="FJ26" s="167"/>
      <c r="FK26" s="167"/>
      <c r="FL26" s="167"/>
      <c r="FM26" s="167"/>
      <c r="FN26" s="167"/>
      <c r="FO26" s="167"/>
      <c r="FP26" s="167"/>
      <c r="FQ26" s="167"/>
      <c r="FR26" s="167"/>
      <c r="FS26" s="167"/>
      <c r="FT26" s="167"/>
      <c r="FU26" s="167"/>
      <c r="FV26" s="167"/>
      <c r="FW26" s="167"/>
      <c r="FX26" s="167"/>
      <c r="FY26" s="167"/>
      <c r="FZ26" s="167"/>
      <c r="GA26" s="167"/>
      <c r="GB26" s="167"/>
      <c r="GC26" s="167"/>
      <c r="GD26" s="167"/>
      <c r="GE26" s="167"/>
      <c r="GF26" s="167"/>
      <c r="GG26" s="167"/>
      <c r="GH26" s="167"/>
      <c r="GI26" s="167"/>
      <c r="GJ26" s="167"/>
      <c r="GK26" s="167"/>
      <c r="GL26" s="167"/>
      <c r="GM26" s="167"/>
      <c r="GN26" s="167"/>
      <c r="GO26" s="167"/>
      <c r="GP26" s="167"/>
      <c r="GQ26" s="167"/>
      <c r="GR26" s="167"/>
      <c r="GS26" s="167"/>
      <c r="GT26" s="167"/>
      <c r="GU26" s="167"/>
      <c r="GV26" s="167"/>
      <c r="GW26" s="167"/>
      <c r="GX26" s="167"/>
      <c r="GY26" s="167"/>
      <c r="GZ26" s="167"/>
      <c r="HA26" s="167"/>
      <c r="HB26" s="167"/>
      <c r="HC26" s="167"/>
      <c r="HD26" s="167"/>
      <c r="HE26" s="167"/>
      <c r="HF26" s="167"/>
      <c r="HG26" s="167"/>
      <c r="HH26" s="167"/>
      <c r="HI26" s="167"/>
      <c r="HJ26" s="167"/>
      <c r="HK26" s="167"/>
      <c r="HL26" s="167"/>
      <c r="HM26" s="167"/>
      <c r="HN26" s="167"/>
      <c r="HO26" s="167"/>
      <c r="HP26" s="167"/>
      <c r="HQ26" s="167"/>
      <c r="HR26" s="167"/>
      <c r="HS26" s="167"/>
      <c r="HT26" s="167"/>
      <c r="HU26" s="167"/>
      <c r="HV26" s="167"/>
      <c r="HW26" s="167"/>
      <c r="HX26" s="167"/>
      <c r="HY26" s="167"/>
      <c r="HZ26" s="167"/>
      <c r="IA26" s="167"/>
      <c r="IB26" s="167"/>
      <c r="IC26" s="167"/>
      <c r="ID26" s="167"/>
      <c r="IE26" s="167"/>
      <c r="IF26" s="167"/>
      <c r="IG26" s="167"/>
      <c r="IH26" s="167"/>
      <c r="II26" s="167"/>
      <c r="IJ26" s="167"/>
      <c r="IK26" s="167"/>
      <c r="IL26" s="167"/>
      <c r="IM26" s="167"/>
      <c r="IN26" s="167"/>
      <c r="IO26" s="167"/>
      <c r="IP26" s="167"/>
      <c r="IQ26" s="167"/>
      <c r="IR26" s="167"/>
      <c r="IS26" s="167"/>
      <c r="IT26" s="167"/>
      <c r="IU26" s="167"/>
      <c r="IV26" s="167"/>
    </row>
    <row r="27" spans="1:256" s="86" customFormat="1" ht="19.5" x14ac:dyDescent="0.35">
      <c r="A27" s="209"/>
      <c r="B27" s="165" t="s">
        <v>185</v>
      </c>
      <c r="C27" s="165" t="s">
        <v>399</v>
      </c>
      <c r="D27" s="131" t="str">
        <f>TEXT(Cochosen*1000000,"0.0")&amp;" µF, "&amp;TEXT(Co_esr,"0.000")&amp;"Ω"</f>
        <v>9.4 µF, 0.025Ω</v>
      </c>
      <c r="E27" s="132" t="str">
        <f>Vout&amp;"V"</f>
        <v>24V</v>
      </c>
      <c r="F27" s="133" t="str">
        <f>"Irms = "&amp;TEXT(Irms_cout,"0.000")&amp;"A"</f>
        <v>Irms = 1.949A</v>
      </c>
      <c r="G27" s="155"/>
      <c r="H27" s="151"/>
      <c r="I27" s="225"/>
      <c r="J27" s="226"/>
      <c r="K27" s="166"/>
      <c r="L27" s="167"/>
      <c r="M27" s="166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  <c r="AB27" s="167"/>
      <c r="AC27" s="167"/>
      <c r="AD27" s="167"/>
      <c r="AE27" s="167"/>
      <c r="AF27" s="167"/>
      <c r="AG27" s="167"/>
      <c r="AH27" s="167"/>
      <c r="AI27" s="167"/>
      <c r="AJ27" s="167"/>
      <c r="AK27" s="167"/>
      <c r="AL27" s="167"/>
      <c r="AM27" s="167"/>
      <c r="AN27" s="167"/>
      <c r="AO27" s="167"/>
      <c r="AP27" s="167"/>
      <c r="AQ27" s="167"/>
      <c r="AR27" s="167"/>
      <c r="AS27" s="167"/>
      <c r="AT27" s="167"/>
      <c r="AU27" s="167"/>
      <c r="AV27" s="167"/>
      <c r="AW27" s="167"/>
      <c r="AX27" s="167"/>
      <c r="AY27" s="167"/>
      <c r="AZ27" s="167"/>
      <c r="BA27" s="167"/>
      <c r="BB27" s="167"/>
      <c r="BC27" s="167"/>
      <c r="BD27" s="167"/>
      <c r="BE27" s="167"/>
      <c r="BF27" s="167"/>
      <c r="BG27" s="167"/>
      <c r="BH27" s="167"/>
      <c r="BI27" s="167"/>
      <c r="BJ27" s="167"/>
      <c r="BK27" s="167"/>
      <c r="BL27" s="167"/>
      <c r="BM27" s="167"/>
      <c r="BN27" s="167"/>
      <c r="BO27" s="167"/>
      <c r="BP27" s="167"/>
      <c r="BQ27" s="167"/>
      <c r="BR27" s="167"/>
      <c r="BS27" s="167"/>
      <c r="BT27" s="167"/>
      <c r="BU27" s="167"/>
      <c r="BV27" s="167"/>
      <c r="BW27" s="167"/>
      <c r="BX27" s="167"/>
      <c r="BY27" s="167"/>
      <c r="BZ27" s="167"/>
      <c r="CA27" s="167"/>
      <c r="CB27" s="167"/>
      <c r="CC27" s="167"/>
      <c r="CD27" s="167"/>
      <c r="CE27" s="167"/>
      <c r="CF27" s="167"/>
      <c r="CG27" s="167"/>
      <c r="CH27" s="167"/>
      <c r="CI27" s="167"/>
      <c r="CJ27" s="167"/>
      <c r="CK27" s="167"/>
      <c r="CL27" s="167"/>
      <c r="CM27" s="167"/>
      <c r="CN27" s="167"/>
      <c r="CO27" s="167"/>
      <c r="CP27" s="167"/>
      <c r="CQ27" s="167"/>
      <c r="CR27" s="167"/>
      <c r="CS27" s="167"/>
      <c r="CT27" s="167"/>
      <c r="CU27" s="167"/>
      <c r="CV27" s="167"/>
      <c r="CW27" s="167"/>
      <c r="CX27" s="167"/>
      <c r="CY27" s="167"/>
      <c r="CZ27" s="167"/>
      <c r="DA27" s="167"/>
      <c r="DB27" s="167"/>
      <c r="DC27" s="167"/>
      <c r="DD27" s="167"/>
      <c r="DE27" s="167"/>
      <c r="DF27" s="167"/>
      <c r="DG27" s="167"/>
      <c r="DH27" s="167"/>
      <c r="DI27" s="167"/>
      <c r="DJ27" s="167"/>
      <c r="DK27" s="167"/>
      <c r="DL27" s="167"/>
      <c r="DM27" s="167"/>
      <c r="DN27" s="167"/>
      <c r="DO27" s="167"/>
      <c r="DP27" s="167"/>
      <c r="DQ27" s="167"/>
      <c r="DR27" s="167"/>
      <c r="DS27" s="167"/>
      <c r="DT27" s="167"/>
      <c r="DU27" s="167"/>
      <c r="DV27" s="167"/>
      <c r="DW27" s="167"/>
      <c r="DX27" s="167"/>
      <c r="DY27" s="167"/>
      <c r="DZ27" s="167"/>
      <c r="EA27" s="167"/>
      <c r="EB27" s="167"/>
      <c r="EC27" s="167"/>
      <c r="ED27" s="167"/>
      <c r="EE27" s="167"/>
      <c r="EF27" s="167"/>
      <c r="EG27" s="167"/>
      <c r="EH27" s="167"/>
      <c r="EI27" s="167"/>
      <c r="EJ27" s="167"/>
      <c r="EK27" s="167"/>
      <c r="EL27" s="167"/>
      <c r="EM27" s="167"/>
      <c r="EN27" s="167"/>
      <c r="EO27" s="167"/>
      <c r="EP27" s="167"/>
      <c r="EQ27" s="167"/>
      <c r="ER27" s="167"/>
      <c r="ES27" s="167"/>
      <c r="ET27" s="167"/>
      <c r="EU27" s="167"/>
      <c r="EV27" s="167"/>
      <c r="EW27" s="167"/>
      <c r="EX27" s="167"/>
      <c r="EY27" s="167"/>
      <c r="EZ27" s="167"/>
      <c r="FA27" s="167"/>
      <c r="FB27" s="167"/>
      <c r="FC27" s="167"/>
      <c r="FD27" s="167"/>
      <c r="FE27" s="167"/>
      <c r="FF27" s="167"/>
      <c r="FG27" s="167"/>
      <c r="FH27" s="167"/>
      <c r="FI27" s="167"/>
      <c r="FJ27" s="167"/>
      <c r="FK27" s="167"/>
      <c r="FL27" s="167"/>
      <c r="FM27" s="167"/>
      <c r="FN27" s="167"/>
      <c r="FO27" s="167"/>
      <c r="FP27" s="167"/>
      <c r="FQ27" s="167"/>
      <c r="FR27" s="167"/>
      <c r="FS27" s="167"/>
      <c r="FT27" s="167"/>
      <c r="FU27" s="167"/>
      <c r="FV27" s="167"/>
      <c r="FW27" s="167"/>
      <c r="FX27" s="167"/>
      <c r="FY27" s="167"/>
      <c r="FZ27" s="167"/>
      <c r="GA27" s="167"/>
      <c r="GB27" s="167"/>
      <c r="GC27" s="167"/>
      <c r="GD27" s="167"/>
      <c r="GE27" s="167"/>
      <c r="GF27" s="167"/>
      <c r="GG27" s="167"/>
      <c r="GH27" s="167"/>
      <c r="GI27" s="167"/>
      <c r="GJ27" s="167"/>
      <c r="GK27" s="167"/>
      <c r="GL27" s="167"/>
      <c r="GM27" s="167"/>
      <c r="GN27" s="167"/>
      <c r="GO27" s="167"/>
      <c r="GP27" s="167"/>
      <c r="GQ27" s="167"/>
      <c r="GR27" s="167"/>
      <c r="GS27" s="167"/>
      <c r="GT27" s="167"/>
      <c r="GU27" s="167"/>
      <c r="GV27" s="167"/>
      <c r="GW27" s="167"/>
      <c r="GX27" s="167"/>
      <c r="GY27" s="167"/>
      <c r="GZ27" s="167"/>
      <c r="HA27" s="167"/>
      <c r="HB27" s="167"/>
      <c r="HC27" s="167"/>
      <c r="HD27" s="167"/>
      <c r="HE27" s="167"/>
      <c r="HF27" s="167"/>
      <c r="HG27" s="167"/>
      <c r="HH27" s="167"/>
      <c r="HI27" s="167"/>
      <c r="HJ27" s="167"/>
      <c r="HK27" s="167"/>
      <c r="HL27" s="167"/>
      <c r="HM27" s="167"/>
      <c r="HN27" s="167"/>
      <c r="HO27" s="167"/>
      <c r="HP27" s="167"/>
      <c r="HQ27" s="167"/>
      <c r="HR27" s="167"/>
      <c r="HS27" s="167"/>
      <c r="HT27" s="167"/>
      <c r="HU27" s="167"/>
      <c r="HV27" s="167"/>
      <c r="HW27" s="167"/>
      <c r="HX27" s="167"/>
      <c r="HY27" s="167"/>
      <c r="HZ27" s="167"/>
      <c r="IA27" s="167"/>
      <c r="IB27" s="167"/>
      <c r="IC27" s="167"/>
      <c r="ID27" s="167"/>
      <c r="IE27" s="167"/>
      <c r="IF27" s="167"/>
      <c r="IG27" s="167"/>
      <c r="IH27" s="167"/>
      <c r="II27" s="167"/>
      <c r="IJ27" s="167"/>
      <c r="IK27" s="167"/>
      <c r="IL27" s="167"/>
      <c r="IM27" s="167"/>
      <c r="IN27" s="167"/>
      <c r="IO27" s="167"/>
      <c r="IP27" s="167"/>
      <c r="IQ27" s="167"/>
      <c r="IR27" s="167"/>
      <c r="IS27" s="167"/>
      <c r="IT27" s="167"/>
      <c r="IU27" s="167"/>
      <c r="IV27" s="167"/>
    </row>
    <row r="28" spans="1:256" s="86" customFormat="1" ht="19.5" x14ac:dyDescent="0.35">
      <c r="A28" s="209"/>
      <c r="B28" s="165" t="s">
        <v>384</v>
      </c>
      <c r="C28" s="165" t="s">
        <v>395</v>
      </c>
      <c r="D28" s="131" t="str">
        <f>D118</f>
        <v>n/a</v>
      </c>
      <c r="E28" s="132" t="str">
        <f>Vout&amp;"V"</f>
        <v>24V</v>
      </c>
      <c r="F28" s="151"/>
      <c r="G28" s="166"/>
      <c r="H28" s="167"/>
      <c r="I28" s="213"/>
      <c r="J28" s="226"/>
      <c r="K28" s="166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  <c r="AA28" s="167"/>
      <c r="AB28" s="167"/>
      <c r="AC28" s="167"/>
      <c r="AD28" s="167"/>
      <c r="AE28" s="167"/>
      <c r="AF28" s="167"/>
      <c r="AG28" s="167"/>
      <c r="AH28" s="167"/>
      <c r="AI28" s="167"/>
      <c r="AJ28" s="167"/>
      <c r="AK28" s="167"/>
      <c r="AL28" s="167"/>
      <c r="AM28" s="167"/>
      <c r="AN28" s="167"/>
      <c r="AO28" s="167"/>
      <c r="AP28" s="167"/>
      <c r="AQ28" s="167"/>
      <c r="AR28" s="167"/>
      <c r="AS28" s="167"/>
      <c r="AT28" s="167"/>
      <c r="AU28" s="167"/>
      <c r="AV28" s="167"/>
      <c r="AW28" s="167"/>
      <c r="AX28" s="167"/>
      <c r="AY28" s="167"/>
      <c r="AZ28" s="167"/>
      <c r="BA28" s="167"/>
      <c r="BB28" s="167"/>
      <c r="BC28" s="167"/>
      <c r="BD28" s="167"/>
      <c r="BE28" s="167"/>
      <c r="BF28" s="167"/>
      <c r="BG28" s="167"/>
      <c r="BH28" s="167"/>
      <c r="BI28" s="167"/>
      <c r="BJ28" s="167"/>
      <c r="BK28" s="167"/>
      <c r="BL28" s="167"/>
      <c r="BM28" s="167"/>
      <c r="BN28" s="167"/>
      <c r="BO28" s="167"/>
      <c r="BP28" s="167"/>
      <c r="BQ28" s="167"/>
      <c r="BR28" s="167"/>
      <c r="BS28" s="167"/>
      <c r="BT28" s="167"/>
      <c r="BU28" s="167"/>
      <c r="BV28" s="167"/>
      <c r="BW28" s="167"/>
      <c r="BX28" s="167"/>
      <c r="BY28" s="167"/>
      <c r="BZ28" s="167"/>
      <c r="CA28" s="167"/>
      <c r="CB28" s="167"/>
      <c r="CC28" s="167"/>
      <c r="CD28" s="167"/>
      <c r="CE28" s="167"/>
      <c r="CF28" s="167"/>
      <c r="CG28" s="167"/>
      <c r="CH28" s="167"/>
      <c r="CI28" s="167"/>
      <c r="CJ28" s="167"/>
      <c r="CK28" s="167"/>
      <c r="CL28" s="167"/>
      <c r="CM28" s="167"/>
      <c r="CN28" s="167"/>
      <c r="CO28" s="167"/>
      <c r="CP28" s="167"/>
      <c r="CQ28" s="167"/>
      <c r="CR28" s="167"/>
      <c r="CS28" s="167"/>
      <c r="CT28" s="167"/>
      <c r="CU28" s="167"/>
      <c r="CV28" s="167"/>
      <c r="CW28" s="167"/>
      <c r="CX28" s="167"/>
      <c r="CY28" s="167"/>
      <c r="CZ28" s="167"/>
      <c r="DA28" s="167"/>
      <c r="DB28" s="167"/>
      <c r="DC28" s="167"/>
      <c r="DD28" s="167"/>
      <c r="DE28" s="167"/>
      <c r="DF28" s="167"/>
      <c r="DG28" s="167"/>
      <c r="DH28" s="167"/>
      <c r="DI28" s="167"/>
      <c r="DJ28" s="167"/>
      <c r="DK28" s="167"/>
      <c r="DL28" s="167"/>
      <c r="DM28" s="167"/>
      <c r="DN28" s="167"/>
      <c r="DO28" s="167"/>
      <c r="DP28" s="167"/>
      <c r="DQ28" s="167"/>
      <c r="DR28" s="167"/>
      <c r="DS28" s="167"/>
      <c r="DT28" s="167"/>
      <c r="DU28" s="167"/>
      <c r="DV28" s="167"/>
      <c r="DW28" s="167"/>
      <c r="DX28" s="167"/>
      <c r="DY28" s="167"/>
      <c r="DZ28" s="167"/>
      <c r="EA28" s="167"/>
      <c r="EB28" s="167"/>
      <c r="EC28" s="167"/>
      <c r="ED28" s="167"/>
      <c r="EE28" s="167"/>
      <c r="EF28" s="167"/>
      <c r="EG28" s="167"/>
      <c r="EH28" s="167"/>
      <c r="EI28" s="167"/>
      <c r="EJ28" s="167"/>
      <c r="EK28" s="167"/>
      <c r="EL28" s="167"/>
      <c r="EM28" s="167"/>
      <c r="EN28" s="167"/>
      <c r="EO28" s="167"/>
      <c r="EP28" s="167"/>
      <c r="EQ28" s="167"/>
      <c r="ER28" s="167"/>
      <c r="ES28" s="167"/>
      <c r="ET28" s="167"/>
      <c r="EU28" s="167"/>
      <c r="EV28" s="167"/>
      <c r="EW28" s="167"/>
      <c r="EX28" s="167"/>
      <c r="EY28" s="167"/>
      <c r="EZ28" s="167"/>
      <c r="FA28" s="167"/>
      <c r="FB28" s="167"/>
      <c r="FC28" s="167"/>
      <c r="FD28" s="167"/>
      <c r="FE28" s="167"/>
      <c r="FF28" s="167"/>
      <c r="FG28" s="167"/>
      <c r="FH28" s="167"/>
      <c r="FI28" s="167"/>
      <c r="FJ28" s="167"/>
      <c r="FK28" s="167"/>
      <c r="FL28" s="167"/>
      <c r="FM28" s="167"/>
      <c r="FN28" s="167"/>
      <c r="FO28" s="167"/>
      <c r="FP28" s="167"/>
      <c r="FQ28" s="167"/>
      <c r="FR28" s="167"/>
      <c r="FS28" s="167"/>
      <c r="FT28" s="167"/>
      <c r="FU28" s="167"/>
      <c r="FV28" s="167"/>
      <c r="FW28" s="167"/>
      <c r="FX28" s="167"/>
      <c r="FY28" s="167"/>
      <c r="FZ28" s="167"/>
      <c r="GA28" s="167"/>
      <c r="GB28" s="167"/>
      <c r="GC28" s="167"/>
      <c r="GD28" s="167"/>
      <c r="GE28" s="167"/>
      <c r="GF28" s="167"/>
      <c r="GG28" s="167"/>
      <c r="GH28" s="167"/>
      <c r="GI28" s="167"/>
      <c r="GJ28" s="167"/>
      <c r="GK28" s="167"/>
      <c r="GL28" s="167"/>
      <c r="GM28" s="167"/>
      <c r="GN28" s="167"/>
      <c r="GO28" s="167"/>
      <c r="GP28" s="167"/>
      <c r="GQ28" s="167"/>
      <c r="GR28" s="167"/>
      <c r="GS28" s="167"/>
      <c r="GT28" s="167"/>
      <c r="GU28" s="167"/>
      <c r="GV28" s="167"/>
      <c r="GW28" s="167"/>
      <c r="GX28" s="167"/>
      <c r="GY28" s="167"/>
      <c r="GZ28" s="167"/>
      <c r="HA28" s="167"/>
      <c r="HB28" s="167"/>
      <c r="HC28" s="167"/>
      <c r="HD28" s="167"/>
      <c r="HE28" s="167"/>
      <c r="HF28" s="167"/>
      <c r="HG28" s="167"/>
      <c r="HH28" s="167"/>
      <c r="HI28" s="167"/>
      <c r="HJ28" s="167"/>
      <c r="HK28" s="167"/>
      <c r="HL28" s="167"/>
      <c r="HM28" s="167"/>
      <c r="HN28" s="167"/>
      <c r="HO28" s="167"/>
      <c r="HP28" s="167"/>
      <c r="HQ28" s="167"/>
      <c r="HR28" s="167"/>
      <c r="HS28" s="167"/>
      <c r="HT28" s="167"/>
      <c r="HU28" s="167"/>
      <c r="HV28" s="167"/>
      <c r="HW28" s="167"/>
      <c r="HX28" s="167"/>
      <c r="HY28" s="167"/>
      <c r="HZ28" s="167"/>
      <c r="IA28" s="167"/>
      <c r="IB28" s="167"/>
      <c r="IC28" s="167"/>
      <c r="ID28" s="167"/>
      <c r="IE28" s="167"/>
      <c r="IF28" s="167"/>
      <c r="IG28" s="167"/>
      <c r="IH28" s="167"/>
      <c r="II28" s="167"/>
      <c r="IJ28" s="167"/>
      <c r="IK28" s="167"/>
      <c r="IL28" s="167"/>
      <c r="IM28" s="167"/>
      <c r="IN28" s="167"/>
      <c r="IO28" s="167"/>
      <c r="IP28" s="167"/>
      <c r="IQ28" s="167"/>
      <c r="IR28" s="167"/>
      <c r="IS28" s="167"/>
      <c r="IT28" s="167"/>
      <c r="IU28" s="167"/>
      <c r="IV28" s="167"/>
    </row>
    <row r="29" spans="1:256" s="86" customFormat="1" x14ac:dyDescent="0.2">
      <c r="A29" s="209"/>
      <c r="B29" s="165" t="s">
        <v>59</v>
      </c>
      <c r="C29" s="165" t="s">
        <v>396</v>
      </c>
      <c r="D29" s="131" t="str">
        <f>TEXT(L*1000000,"0.0")&amp;" µH"</f>
        <v>4.7 µH</v>
      </c>
      <c r="E29" s="133" t="str">
        <f>"Isat = "&amp;TEXT(Isat,"0.000")&amp;"A"</f>
        <v>Isat = 6.434A</v>
      </c>
      <c r="F29" s="133" t="str">
        <f>"Irms = "&amp;TEXT(Ilrms,"0.000")&amp;"A"</f>
        <v>Irms = 4.801A</v>
      </c>
      <c r="G29" s="155"/>
      <c r="H29" s="151"/>
      <c r="I29" s="225"/>
      <c r="J29" s="226"/>
      <c r="K29" s="166"/>
      <c r="L29" s="167"/>
      <c r="M29" s="166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  <c r="AC29" s="167"/>
      <c r="AD29" s="167"/>
      <c r="AE29" s="167"/>
      <c r="AF29" s="167"/>
      <c r="AG29" s="167"/>
      <c r="AH29" s="167"/>
      <c r="AI29" s="167"/>
      <c r="AJ29" s="167"/>
      <c r="AK29" s="167"/>
      <c r="AL29" s="167"/>
      <c r="AM29" s="167"/>
      <c r="AN29" s="167"/>
      <c r="AO29" s="167"/>
      <c r="AP29" s="167"/>
      <c r="AQ29" s="167"/>
      <c r="AR29" s="167"/>
      <c r="AS29" s="167"/>
      <c r="AT29" s="167"/>
      <c r="AU29" s="167"/>
      <c r="AV29" s="167"/>
      <c r="AW29" s="167"/>
      <c r="AX29" s="167"/>
      <c r="AY29" s="167"/>
      <c r="AZ29" s="167"/>
      <c r="BA29" s="167"/>
      <c r="BB29" s="167"/>
      <c r="BC29" s="167"/>
      <c r="BD29" s="167"/>
      <c r="BE29" s="167"/>
      <c r="BF29" s="167"/>
      <c r="BG29" s="167"/>
      <c r="BH29" s="167"/>
      <c r="BI29" s="167"/>
      <c r="BJ29" s="167"/>
      <c r="BK29" s="167"/>
      <c r="BL29" s="167"/>
      <c r="BM29" s="167"/>
      <c r="BN29" s="167"/>
      <c r="BO29" s="167"/>
      <c r="BP29" s="167"/>
      <c r="BQ29" s="167"/>
      <c r="BR29" s="167"/>
      <c r="BS29" s="167"/>
      <c r="BT29" s="167"/>
      <c r="BU29" s="167"/>
      <c r="BV29" s="167"/>
      <c r="BW29" s="167"/>
      <c r="BX29" s="167"/>
      <c r="BY29" s="167"/>
      <c r="BZ29" s="167"/>
      <c r="CA29" s="167"/>
      <c r="CB29" s="167"/>
      <c r="CC29" s="167"/>
      <c r="CD29" s="167"/>
      <c r="CE29" s="167"/>
      <c r="CF29" s="167"/>
      <c r="CG29" s="167"/>
      <c r="CH29" s="167"/>
      <c r="CI29" s="167"/>
      <c r="CJ29" s="167"/>
      <c r="CK29" s="167"/>
      <c r="CL29" s="167"/>
      <c r="CM29" s="167"/>
      <c r="CN29" s="167"/>
      <c r="CO29" s="167"/>
      <c r="CP29" s="167"/>
      <c r="CQ29" s="167"/>
      <c r="CR29" s="167"/>
      <c r="CS29" s="167"/>
      <c r="CT29" s="167"/>
      <c r="CU29" s="167"/>
      <c r="CV29" s="167"/>
      <c r="CW29" s="167"/>
      <c r="CX29" s="167"/>
      <c r="CY29" s="167"/>
      <c r="CZ29" s="167"/>
      <c r="DA29" s="167"/>
      <c r="DB29" s="167"/>
      <c r="DC29" s="167"/>
      <c r="DD29" s="167"/>
      <c r="DE29" s="167"/>
      <c r="DF29" s="167"/>
      <c r="DG29" s="167"/>
      <c r="DH29" s="167"/>
      <c r="DI29" s="167"/>
      <c r="DJ29" s="167"/>
      <c r="DK29" s="167"/>
      <c r="DL29" s="167"/>
      <c r="DM29" s="167"/>
      <c r="DN29" s="167"/>
      <c r="DO29" s="167"/>
      <c r="DP29" s="167"/>
      <c r="DQ29" s="167"/>
      <c r="DR29" s="167"/>
      <c r="DS29" s="167"/>
      <c r="DT29" s="167"/>
      <c r="DU29" s="167"/>
      <c r="DV29" s="167"/>
      <c r="DW29" s="167"/>
      <c r="DX29" s="167"/>
      <c r="DY29" s="167"/>
      <c r="DZ29" s="167"/>
      <c r="EA29" s="167"/>
      <c r="EB29" s="167"/>
      <c r="EC29" s="167"/>
      <c r="ED29" s="167"/>
      <c r="EE29" s="167"/>
      <c r="EF29" s="167"/>
      <c r="EG29" s="167"/>
      <c r="EH29" s="167"/>
      <c r="EI29" s="167"/>
      <c r="EJ29" s="167"/>
      <c r="EK29" s="167"/>
      <c r="EL29" s="167"/>
      <c r="EM29" s="167"/>
      <c r="EN29" s="167"/>
      <c r="EO29" s="167"/>
      <c r="EP29" s="167"/>
      <c r="EQ29" s="167"/>
      <c r="ER29" s="167"/>
      <c r="ES29" s="167"/>
      <c r="ET29" s="167"/>
      <c r="EU29" s="167"/>
      <c r="EV29" s="167"/>
      <c r="EW29" s="167"/>
      <c r="EX29" s="167"/>
      <c r="EY29" s="167"/>
      <c r="EZ29" s="167"/>
      <c r="FA29" s="167"/>
      <c r="FB29" s="167"/>
      <c r="FC29" s="167"/>
      <c r="FD29" s="167"/>
      <c r="FE29" s="167"/>
      <c r="FF29" s="167"/>
      <c r="FG29" s="167"/>
      <c r="FH29" s="167"/>
      <c r="FI29" s="167"/>
      <c r="FJ29" s="167"/>
      <c r="FK29" s="167"/>
      <c r="FL29" s="167"/>
      <c r="FM29" s="167"/>
      <c r="FN29" s="167"/>
      <c r="FO29" s="167"/>
      <c r="FP29" s="167"/>
      <c r="FQ29" s="167"/>
      <c r="FR29" s="167"/>
      <c r="FS29" s="167"/>
      <c r="FT29" s="167"/>
      <c r="FU29" s="167"/>
      <c r="FV29" s="167"/>
      <c r="FW29" s="167"/>
      <c r="FX29" s="167"/>
      <c r="FY29" s="167"/>
      <c r="FZ29" s="167"/>
      <c r="GA29" s="167"/>
      <c r="GB29" s="167"/>
      <c r="GC29" s="167"/>
      <c r="GD29" s="167"/>
      <c r="GE29" s="167"/>
      <c r="GF29" s="167"/>
      <c r="GG29" s="167"/>
      <c r="GH29" s="167"/>
      <c r="GI29" s="167"/>
      <c r="GJ29" s="167"/>
      <c r="GK29" s="167"/>
      <c r="GL29" s="167"/>
      <c r="GM29" s="167"/>
      <c r="GN29" s="167"/>
      <c r="GO29" s="167"/>
      <c r="GP29" s="167"/>
      <c r="GQ29" s="167"/>
      <c r="GR29" s="167"/>
      <c r="GS29" s="167"/>
      <c r="GT29" s="167"/>
      <c r="GU29" s="167"/>
      <c r="GV29" s="167"/>
      <c r="GW29" s="167"/>
      <c r="GX29" s="167"/>
      <c r="GY29" s="167"/>
      <c r="GZ29" s="167"/>
      <c r="HA29" s="167"/>
      <c r="HB29" s="167"/>
      <c r="HC29" s="167"/>
      <c r="HD29" s="167"/>
      <c r="HE29" s="167"/>
      <c r="HF29" s="167"/>
      <c r="HG29" s="167"/>
      <c r="HH29" s="167"/>
      <c r="HI29" s="167"/>
      <c r="HJ29" s="167"/>
      <c r="HK29" s="167"/>
      <c r="HL29" s="167"/>
      <c r="HM29" s="167"/>
      <c r="HN29" s="167"/>
      <c r="HO29" s="167"/>
      <c r="HP29" s="167"/>
      <c r="HQ29" s="167"/>
      <c r="HR29" s="167"/>
      <c r="HS29" s="167"/>
      <c r="HT29" s="167"/>
      <c r="HU29" s="167"/>
      <c r="HV29" s="167"/>
      <c r="HW29" s="167"/>
      <c r="HX29" s="167"/>
      <c r="HY29" s="167"/>
      <c r="HZ29" s="167"/>
      <c r="IA29" s="167"/>
      <c r="IB29" s="167"/>
      <c r="IC29" s="167"/>
      <c r="ID29" s="167"/>
      <c r="IE29" s="167"/>
      <c r="IF29" s="167"/>
      <c r="IG29" s="167"/>
      <c r="IH29" s="167"/>
      <c r="II29" s="167"/>
      <c r="IJ29" s="167"/>
      <c r="IK29" s="167"/>
      <c r="IL29" s="167"/>
      <c r="IM29" s="167"/>
      <c r="IN29" s="167"/>
      <c r="IO29" s="167"/>
      <c r="IP29" s="167"/>
      <c r="IQ29" s="167"/>
      <c r="IR29" s="167"/>
      <c r="IS29" s="167"/>
      <c r="IT29" s="167"/>
      <c r="IU29" s="167"/>
      <c r="IV29" s="167"/>
    </row>
    <row r="30" spans="1:256" s="86" customFormat="1" ht="19.5" x14ac:dyDescent="0.35">
      <c r="A30" s="209"/>
      <c r="B30" s="165" t="s">
        <v>383</v>
      </c>
      <c r="C30" s="165" t="s">
        <v>397</v>
      </c>
      <c r="D30" s="131" t="str">
        <f>D88</f>
        <v>BSC059N04LS6</v>
      </c>
      <c r="E30" s="155"/>
      <c r="F30" s="151"/>
      <c r="G30" s="166"/>
      <c r="H30" s="167"/>
      <c r="I30" s="213"/>
      <c r="J30" s="226"/>
      <c r="K30" s="166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/>
      <c r="AA30" s="167"/>
      <c r="AB30" s="167"/>
      <c r="AC30" s="167"/>
      <c r="AD30" s="167"/>
      <c r="AE30" s="167"/>
      <c r="AF30" s="167"/>
      <c r="AG30" s="167"/>
      <c r="AH30" s="167"/>
      <c r="AI30" s="167"/>
      <c r="AJ30" s="167"/>
      <c r="AK30" s="167"/>
      <c r="AL30" s="167"/>
      <c r="AM30" s="167"/>
      <c r="AN30" s="167"/>
      <c r="AO30" s="167"/>
      <c r="AP30" s="167"/>
      <c r="AQ30" s="167"/>
      <c r="AR30" s="167"/>
      <c r="AS30" s="167"/>
      <c r="AT30" s="167"/>
      <c r="AU30" s="167"/>
      <c r="AV30" s="167"/>
      <c r="AW30" s="167"/>
      <c r="AX30" s="167"/>
      <c r="AY30" s="167"/>
      <c r="AZ30" s="167"/>
      <c r="BA30" s="167"/>
      <c r="BB30" s="167"/>
      <c r="BC30" s="167"/>
      <c r="BD30" s="167"/>
      <c r="BE30" s="167"/>
      <c r="BF30" s="167"/>
      <c r="BG30" s="167"/>
      <c r="BH30" s="167"/>
      <c r="BI30" s="167"/>
      <c r="BJ30" s="167"/>
      <c r="BK30" s="167"/>
      <c r="BL30" s="167"/>
      <c r="BM30" s="167"/>
      <c r="BN30" s="167"/>
      <c r="BO30" s="167"/>
      <c r="BP30" s="167"/>
      <c r="BQ30" s="167"/>
      <c r="BR30" s="167"/>
      <c r="BS30" s="167"/>
      <c r="BT30" s="167"/>
      <c r="BU30" s="167"/>
      <c r="BV30" s="167"/>
      <c r="BW30" s="167"/>
      <c r="BX30" s="167"/>
      <c r="BY30" s="167"/>
      <c r="BZ30" s="167"/>
      <c r="CA30" s="167"/>
      <c r="CB30" s="167"/>
      <c r="CC30" s="167"/>
      <c r="CD30" s="167"/>
      <c r="CE30" s="167"/>
      <c r="CF30" s="167"/>
      <c r="CG30" s="167"/>
      <c r="CH30" s="167"/>
      <c r="CI30" s="167"/>
      <c r="CJ30" s="167"/>
      <c r="CK30" s="167"/>
      <c r="CL30" s="167"/>
      <c r="CM30" s="167"/>
      <c r="CN30" s="167"/>
      <c r="CO30" s="167"/>
      <c r="CP30" s="167"/>
      <c r="CQ30" s="167"/>
      <c r="CR30" s="167"/>
      <c r="CS30" s="167"/>
      <c r="CT30" s="167"/>
      <c r="CU30" s="167"/>
      <c r="CV30" s="167"/>
      <c r="CW30" s="167"/>
      <c r="CX30" s="167"/>
      <c r="CY30" s="167"/>
      <c r="CZ30" s="167"/>
      <c r="DA30" s="167"/>
      <c r="DB30" s="167"/>
      <c r="DC30" s="167"/>
      <c r="DD30" s="167"/>
      <c r="DE30" s="167"/>
      <c r="DF30" s="167"/>
      <c r="DG30" s="167"/>
      <c r="DH30" s="167"/>
      <c r="DI30" s="167"/>
      <c r="DJ30" s="167"/>
      <c r="DK30" s="167"/>
      <c r="DL30" s="167"/>
      <c r="DM30" s="167"/>
      <c r="DN30" s="167"/>
      <c r="DO30" s="167"/>
      <c r="DP30" s="167"/>
      <c r="DQ30" s="167"/>
      <c r="DR30" s="167"/>
      <c r="DS30" s="167"/>
      <c r="DT30" s="167"/>
      <c r="DU30" s="167"/>
      <c r="DV30" s="167"/>
      <c r="DW30" s="167"/>
      <c r="DX30" s="167"/>
      <c r="DY30" s="167"/>
      <c r="DZ30" s="167"/>
      <c r="EA30" s="167"/>
      <c r="EB30" s="167"/>
      <c r="EC30" s="167"/>
      <c r="ED30" s="167"/>
      <c r="EE30" s="167"/>
      <c r="EF30" s="167"/>
      <c r="EG30" s="167"/>
      <c r="EH30" s="167"/>
      <c r="EI30" s="167"/>
      <c r="EJ30" s="167"/>
      <c r="EK30" s="167"/>
      <c r="EL30" s="167"/>
      <c r="EM30" s="167"/>
      <c r="EN30" s="167"/>
      <c r="EO30" s="167"/>
      <c r="EP30" s="167"/>
      <c r="EQ30" s="167"/>
      <c r="ER30" s="167"/>
      <c r="ES30" s="167"/>
      <c r="ET30" s="167"/>
      <c r="EU30" s="167"/>
      <c r="EV30" s="167"/>
      <c r="EW30" s="167"/>
      <c r="EX30" s="167"/>
      <c r="EY30" s="167"/>
      <c r="EZ30" s="167"/>
      <c r="FA30" s="167"/>
      <c r="FB30" s="167"/>
      <c r="FC30" s="167"/>
      <c r="FD30" s="167"/>
      <c r="FE30" s="167"/>
      <c r="FF30" s="167"/>
      <c r="FG30" s="167"/>
      <c r="FH30" s="167"/>
      <c r="FI30" s="167"/>
      <c r="FJ30" s="167"/>
      <c r="FK30" s="167"/>
      <c r="FL30" s="167"/>
      <c r="FM30" s="167"/>
      <c r="FN30" s="167"/>
      <c r="FO30" s="167"/>
      <c r="FP30" s="167"/>
      <c r="FQ30" s="167"/>
      <c r="FR30" s="167"/>
      <c r="FS30" s="167"/>
      <c r="FT30" s="167"/>
      <c r="FU30" s="167"/>
      <c r="FV30" s="167"/>
      <c r="FW30" s="167"/>
      <c r="FX30" s="167"/>
      <c r="FY30" s="167"/>
      <c r="FZ30" s="167"/>
      <c r="GA30" s="167"/>
      <c r="GB30" s="167"/>
      <c r="GC30" s="167"/>
      <c r="GD30" s="167"/>
      <c r="GE30" s="167"/>
      <c r="GF30" s="167"/>
      <c r="GG30" s="167"/>
      <c r="GH30" s="167"/>
      <c r="GI30" s="167"/>
      <c r="GJ30" s="167"/>
      <c r="GK30" s="167"/>
      <c r="GL30" s="167"/>
      <c r="GM30" s="167"/>
      <c r="GN30" s="167"/>
      <c r="GO30" s="167"/>
      <c r="GP30" s="167"/>
      <c r="GQ30" s="167"/>
      <c r="GR30" s="167"/>
      <c r="GS30" s="167"/>
      <c r="GT30" s="167"/>
      <c r="GU30" s="167"/>
      <c r="GV30" s="167"/>
      <c r="GW30" s="167"/>
      <c r="GX30" s="167"/>
      <c r="GY30" s="167"/>
      <c r="GZ30" s="167"/>
      <c r="HA30" s="167"/>
      <c r="HB30" s="167"/>
      <c r="HC30" s="167"/>
      <c r="HD30" s="167"/>
      <c r="HE30" s="167"/>
      <c r="HF30" s="167"/>
      <c r="HG30" s="167"/>
      <c r="HH30" s="167"/>
      <c r="HI30" s="167"/>
      <c r="HJ30" s="167"/>
      <c r="HK30" s="167"/>
      <c r="HL30" s="167"/>
      <c r="HM30" s="167"/>
      <c r="HN30" s="167"/>
      <c r="HO30" s="167"/>
      <c r="HP30" s="167"/>
      <c r="HQ30" s="167"/>
      <c r="HR30" s="167"/>
      <c r="HS30" s="167"/>
      <c r="HT30" s="167"/>
      <c r="HU30" s="167"/>
      <c r="HV30" s="167"/>
      <c r="HW30" s="167"/>
      <c r="HX30" s="167"/>
      <c r="HY30" s="167"/>
      <c r="HZ30" s="167"/>
      <c r="IA30" s="167"/>
      <c r="IB30" s="167"/>
      <c r="IC30" s="167"/>
      <c r="ID30" s="167"/>
      <c r="IE30" s="167"/>
      <c r="IF30" s="167"/>
      <c r="IG30" s="167"/>
      <c r="IH30" s="167"/>
      <c r="II30" s="167"/>
      <c r="IJ30" s="167"/>
      <c r="IK30" s="167"/>
      <c r="IL30" s="167"/>
      <c r="IM30" s="167"/>
      <c r="IN30" s="167"/>
      <c r="IO30" s="167"/>
      <c r="IP30" s="167"/>
      <c r="IQ30" s="167"/>
      <c r="IR30" s="167"/>
      <c r="IS30" s="167"/>
      <c r="IT30" s="167"/>
      <c r="IU30" s="167"/>
      <c r="IV30" s="167"/>
    </row>
    <row r="31" spans="1:256" s="86" customFormat="1" ht="19.5" x14ac:dyDescent="0.35">
      <c r="A31" s="209"/>
      <c r="B31" s="165" t="s">
        <v>382</v>
      </c>
      <c r="C31" s="165" t="s">
        <v>400</v>
      </c>
      <c r="D31" s="131" t="str">
        <f>D103</f>
        <v>BSC059N04LS6</v>
      </c>
      <c r="E31" s="155"/>
      <c r="F31" s="151"/>
      <c r="G31" s="166"/>
      <c r="H31" s="167"/>
      <c r="I31" s="213"/>
      <c r="J31" s="226"/>
      <c r="K31" s="166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67"/>
      <c r="AB31" s="167"/>
      <c r="AC31" s="167"/>
      <c r="AD31" s="167"/>
      <c r="AE31" s="167"/>
      <c r="AF31" s="167"/>
      <c r="AG31" s="167"/>
      <c r="AH31" s="167"/>
      <c r="AI31" s="167"/>
      <c r="AJ31" s="167"/>
      <c r="AK31" s="167"/>
      <c r="AL31" s="167"/>
      <c r="AM31" s="167"/>
      <c r="AN31" s="167"/>
      <c r="AO31" s="167"/>
      <c r="AP31" s="167"/>
      <c r="AQ31" s="167"/>
      <c r="AR31" s="167"/>
      <c r="AS31" s="167"/>
      <c r="AT31" s="167"/>
      <c r="AU31" s="167"/>
      <c r="AV31" s="167"/>
      <c r="AW31" s="167"/>
      <c r="AX31" s="167"/>
      <c r="AY31" s="167"/>
      <c r="AZ31" s="167"/>
      <c r="BA31" s="167"/>
      <c r="BB31" s="167"/>
      <c r="BC31" s="167"/>
      <c r="BD31" s="167"/>
      <c r="BE31" s="167"/>
      <c r="BF31" s="167"/>
      <c r="BG31" s="167"/>
      <c r="BH31" s="167"/>
      <c r="BI31" s="167"/>
      <c r="BJ31" s="167"/>
      <c r="BK31" s="167"/>
      <c r="BL31" s="167"/>
      <c r="BM31" s="167"/>
      <c r="BN31" s="167"/>
      <c r="BO31" s="167"/>
      <c r="BP31" s="167"/>
      <c r="BQ31" s="167"/>
      <c r="BR31" s="167"/>
      <c r="BS31" s="167"/>
      <c r="BT31" s="167"/>
      <c r="BU31" s="167"/>
      <c r="BV31" s="167"/>
      <c r="BW31" s="167"/>
      <c r="BX31" s="167"/>
      <c r="BY31" s="167"/>
      <c r="BZ31" s="167"/>
      <c r="CA31" s="167"/>
      <c r="CB31" s="167"/>
      <c r="CC31" s="167"/>
      <c r="CD31" s="167"/>
      <c r="CE31" s="167"/>
      <c r="CF31" s="167"/>
      <c r="CG31" s="167"/>
      <c r="CH31" s="167"/>
      <c r="CI31" s="167"/>
      <c r="CJ31" s="167"/>
      <c r="CK31" s="167"/>
      <c r="CL31" s="167"/>
      <c r="CM31" s="167"/>
      <c r="CN31" s="167"/>
      <c r="CO31" s="167"/>
      <c r="CP31" s="167"/>
      <c r="CQ31" s="167"/>
      <c r="CR31" s="167"/>
      <c r="CS31" s="167"/>
      <c r="CT31" s="167"/>
      <c r="CU31" s="167"/>
      <c r="CV31" s="167"/>
      <c r="CW31" s="167"/>
      <c r="CX31" s="167"/>
      <c r="CY31" s="167"/>
      <c r="CZ31" s="167"/>
      <c r="DA31" s="167"/>
      <c r="DB31" s="167"/>
      <c r="DC31" s="167"/>
      <c r="DD31" s="167"/>
      <c r="DE31" s="167"/>
      <c r="DF31" s="167"/>
      <c r="DG31" s="167"/>
      <c r="DH31" s="167"/>
      <c r="DI31" s="167"/>
      <c r="DJ31" s="167"/>
      <c r="DK31" s="167"/>
      <c r="DL31" s="167"/>
      <c r="DM31" s="167"/>
      <c r="DN31" s="167"/>
      <c r="DO31" s="167"/>
      <c r="DP31" s="167"/>
      <c r="DQ31" s="167"/>
      <c r="DR31" s="167"/>
      <c r="DS31" s="167"/>
      <c r="DT31" s="167"/>
      <c r="DU31" s="167"/>
      <c r="DV31" s="167"/>
      <c r="DW31" s="167"/>
      <c r="DX31" s="167"/>
      <c r="DY31" s="167"/>
      <c r="DZ31" s="167"/>
      <c r="EA31" s="167"/>
      <c r="EB31" s="167"/>
      <c r="EC31" s="167"/>
      <c r="ED31" s="167"/>
      <c r="EE31" s="167"/>
      <c r="EF31" s="167"/>
      <c r="EG31" s="167"/>
      <c r="EH31" s="167"/>
      <c r="EI31" s="167"/>
      <c r="EJ31" s="167"/>
      <c r="EK31" s="167"/>
      <c r="EL31" s="167"/>
      <c r="EM31" s="167"/>
      <c r="EN31" s="167"/>
      <c r="EO31" s="167"/>
      <c r="EP31" s="167"/>
      <c r="EQ31" s="167"/>
      <c r="ER31" s="167"/>
      <c r="ES31" s="167"/>
      <c r="ET31" s="167"/>
      <c r="EU31" s="167"/>
      <c r="EV31" s="167"/>
      <c r="EW31" s="167"/>
      <c r="EX31" s="167"/>
      <c r="EY31" s="167"/>
      <c r="EZ31" s="167"/>
      <c r="FA31" s="167"/>
      <c r="FB31" s="167"/>
      <c r="FC31" s="167"/>
      <c r="FD31" s="167"/>
      <c r="FE31" s="167"/>
      <c r="FF31" s="167"/>
      <c r="FG31" s="167"/>
      <c r="FH31" s="167"/>
      <c r="FI31" s="167"/>
      <c r="FJ31" s="167"/>
      <c r="FK31" s="167"/>
      <c r="FL31" s="167"/>
      <c r="FM31" s="167"/>
      <c r="FN31" s="167"/>
      <c r="FO31" s="167"/>
      <c r="FP31" s="167"/>
      <c r="FQ31" s="167"/>
      <c r="FR31" s="167"/>
      <c r="FS31" s="167"/>
      <c r="FT31" s="167"/>
      <c r="FU31" s="167"/>
      <c r="FV31" s="167"/>
      <c r="FW31" s="167"/>
      <c r="FX31" s="167"/>
      <c r="FY31" s="167"/>
      <c r="FZ31" s="167"/>
      <c r="GA31" s="167"/>
      <c r="GB31" s="167"/>
      <c r="GC31" s="167"/>
      <c r="GD31" s="167"/>
      <c r="GE31" s="167"/>
      <c r="GF31" s="167"/>
      <c r="GG31" s="167"/>
      <c r="GH31" s="167"/>
      <c r="GI31" s="167"/>
      <c r="GJ31" s="167"/>
      <c r="GK31" s="167"/>
      <c r="GL31" s="167"/>
      <c r="GM31" s="167"/>
      <c r="GN31" s="167"/>
      <c r="GO31" s="167"/>
      <c r="GP31" s="167"/>
      <c r="GQ31" s="167"/>
      <c r="GR31" s="167"/>
      <c r="GS31" s="167"/>
      <c r="GT31" s="167"/>
      <c r="GU31" s="167"/>
      <c r="GV31" s="167"/>
      <c r="GW31" s="167"/>
      <c r="GX31" s="167"/>
      <c r="GY31" s="167"/>
      <c r="GZ31" s="167"/>
      <c r="HA31" s="167"/>
      <c r="HB31" s="167"/>
      <c r="HC31" s="167"/>
      <c r="HD31" s="167"/>
      <c r="HE31" s="167"/>
      <c r="HF31" s="167"/>
      <c r="HG31" s="167"/>
      <c r="HH31" s="167"/>
      <c r="HI31" s="167"/>
      <c r="HJ31" s="167"/>
      <c r="HK31" s="167"/>
      <c r="HL31" s="167"/>
      <c r="HM31" s="167"/>
      <c r="HN31" s="167"/>
      <c r="HO31" s="167"/>
      <c r="HP31" s="167"/>
      <c r="HQ31" s="167"/>
      <c r="HR31" s="167"/>
      <c r="HS31" s="167"/>
      <c r="HT31" s="167"/>
      <c r="HU31" s="167"/>
      <c r="HV31" s="167"/>
      <c r="HW31" s="167"/>
      <c r="HX31" s="167"/>
      <c r="HY31" s="167"/>
      <c r="HZ31" s="167"/>
      <c r="IA31" s="167"/>
      <c r="IB31" s="167"/>
      <c r="IC31" s="167"/>
      <c r="ID31" s="167"/>
      <c r="IE31" s="167"/>
      <c r="IF31" s="167"/>
      <c r="IG31" s="167"/>
      <c r="IH31" s="167"/>
      <c r="II31" s="167"/>
      <c r="IJ31" s="167"/>
      <c r="IK31" s="167"/>
      <c r="IL31" s="167"/>
      <c r="IM31" s="167"/>
      <c r="IN31" s="167"/>
      <c r="IO31" s="167"/>
      <c r="IP31" s="167"/>
      <c r="IQ31" s="167"/>
      <c r="IR31" s="167"/>
      <c r="IS31" s="167"/>
      <c r="IT31" s="167"/>
      <c r="IU31" s="167"/>
      <c r="IV31" s="167"/>
    </row>
    <row r="32" spans="1:256" s="86" customFormat="1" ht="19.5" x14ac:dyDescent="0.35">
      <c r="A32" s="209"/>
      <c r="B32" s="165" t="s">
        <v>375</v>
      </c>
      <c r="C32" s="165" t="s">
        <v>401</v>
      </c>
      <c r="D32" s="132" t="str">
        <f>TEXT(Rsense,"0.000")&amp;" Ω"</f>
        <v>0.010 Ω</v>
      </c>
      <c r="E32" s="132" t="str">
        <f>TEXT(D72,"0.000")&amp;"W"</f>
        <v>0.672W</v>
      </c>
      <c r="F32" s="166"/>
      <c r="G32" s="155"/>
      <c r="H32" s="151"/>
      <c r="I32" s="225"/>
      <c r="J32" s="226"/>
      <c r="K32" s="166"/>
      <c r="L32" s="167"/>
      <c r="M32" s="166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  <c r="AB32" s="167"/>
      <c r="AC32" s="167"/>
      <c r="AD32" s="167"/>
      <c r="AE32" s="167"/>
      <c r="AF32" s="167"/>
      <c r="AG32" s="167"/>
      <c r="AH32" s="167"/>
      <c r="AI32" s="167"/>
      <c r="AJ32" s="167"/>
      <c r="AK32" s="167"/>
      <c r="AL32" s="167"/>
      <c r="AM32" s="167"/>
      <c r="AN32" s="167"/>
      <c r="AO32" s="167"/>
      <c r="AP32" s="167"/>
      <c r="AQ32" s="167"/>
      <c r="AR32" s="167"/>
      <c r="AS32" s="167"/>
      <c r="AT32" s="167"/>
      <c r="AU32" s="167"/>
      <c r="AV32" s="167"/>
      <c r="AW32" s="167"/>
      <c r="AX32" s="167"/>
      <c r="AY32" s="167"/>
      <c r="AZ32" s="167"/>
      <c r="BA32" s="167"/>
      <c r="BB32" s="167"/>
      <c r="BC32" s="167"/>
      <c r="BD32" s="167"/>
      <c r="BE32" s="167"/>
      <c r="BF32" s="167"/>
      <c r="BG32" s="167"/>
      <c r="BH32" s="167"/>
      <c r="BI32" s="167"/>
      <c r="BJ32" s="167"/>
      <c r="BK32" s="167"/>
      <c r="BL32" s="167"/>
      <c r="BM32" s="167"/>
      <c r="BN32" s="167"/>
      <c r="BO32" s="167"/>
      <c r="BP32" s="167"/>
      <c r="BQ32" s="167"/>
      <c r="BR32" s="167"/>
      <c r="BS32" s="167"/>
      <c r="BT32" s="167"/>
      <c r="BU32" s="167"/>
      <c r="BV32" s="167"/>
      <c r="BW32" s="167"/>
      <c r="BX32" s="167"/>
      <c r="BY32" s="167"/>
      <c r="BZ32" s="167"/>
      <c r="CA32" s="167"/>
      <c r="CB32" s="167"/>
      <c r="CC32" s="167"/>
      <c r="CD32" s="167"/>
      <c r="CE32" s="167"/>
      <c r="CF32" s="167"/>
      <c r="CG32" s="167"/>
      <c r="CH32" s="167"/>
      <c r="CI32" s="167"/>
      <c r="CJ32" s="167"/>
      <c r="CK32" s="167"/>
      <c r="CL32" s="167"/>
      <c r="CM32" s="167"/>
      <c r="CN32" s="167"/>
      <c r="CO32" s="167"/>
      <c r="CP32" s="167"/>
      <c r="CQ32" s="167"/>
      <c r="CR32" s="167"/>
      <c r="CS32" s="167"/>
      <c r="CT32" s="167"/>
      <c r="CU32" s="167"/>
      <c r="CV32" s="167"/>
      <c r="CW32" s="167"/>
      <c r="CX32" s="167"/>
      <c r="CY32" s="167"/>
      <c r="CZ32" s="167"/>
      <c r="DA32" s="167"/>
      <c r="DB32" s="167"/>
      <c r="DC32" s="167"/>
      <c r="DD32" s="167"/>
      <c r="DE32" s="167"/>
      <c r="DF32" s="167"/>
      <c r="DG32" s="167"/>
      <c r="DH32" s="167"/>
      <c r="DI32" s="167"/>
      <c r="DJ32" s="167"/>
      <c r="DK32" s="167"/>
      <c r="DL32" s="167"/>
      <c r="DM32" s="167"/>
      <c r="DN32" s="167"/>
      <c r="DO32" s="167"/>
      <c r="DP32" s="167"/>
      <c r="DQ32" s="167"/>
      <c r="DR32" s="167"/>
      <c r="DS32" s="167"/>
      <c r="DT32" s="167"/>
      <c r="DU32" s="167"/>
      <c r="DV32" s="167"/>
      <c r="DW32" s="167"/>
      <c r="DX32" s="167"/>
      <c r="DY32" s="167"/>
      <c r="DZ32" s="167"/>
      <c r="EA32" s="167"/>
      <c r="EB32" s="167"/>
      <c r="EC32" s="167"/>
      <c r="ED32" s="167"/>
      <c r="EE32" s="167"/>
      <c r="EF32" s="167"/>
      <c r="EG32" s="167"/>
      <c r="EH32" s="167"/>
      <c r="EI32" s="167"/>
      <c r="EJ32" s="167"/>
      <c r="EK32" s="167"/>
      <c r="EL32" s="167"/>
      <c r="EM32" s="167"/>
      <c r="EN32" s="167"/>
      <c r="EO32" s="167"/>
      <c r="EP32" s="167"/>
      <c r="EQ32" s="167"/>
      <c r="ER32" s="167"/>
      <c r="ES32" s="167"/>
      <c r="ET32" s="167"/>
      <c r="EU32" s="167"/>
      <c r="EV32" s="167"/>
      <c r="EW32" s="167"/>
      <c r="EX32" s="167"/>
      <c r="EY32" s="167"/>
      <c r="EZ32" s="167"/>
      <c r="FA32" s="167"/>
      <c r="FB32" s="167"/>
      <c r="FC32" s="167"/>
      <c r="FD32" s="167"/>
      <c r="FE32" s="167"/>
      <c r="FF32" s="167"/>
      <c r="FG32" s="167"/>
      <c r="FH32" s="167"/>
      <c r="FI32" s="167"/>
      <c r="FJ32" s="167"/>
      <c r="FK32" s="167"/>
      <c r="FL32" s="167"/>
      <c r="FM32" s="167"/>
      <c r="FN32" s="167"/>
      <c r="FO32" s="167"/>
      <c r="FP32" s="167"/>
      <c r="FQ32" s="167"/>
      <c r="FR32" s="167"/>
      <c r="FS32" s="167"/>
      <c r="FT32" s="167"/>
      <c r="FU32" s="167"/>
      <c r="FV32" s="167"/>
      <c r="FW32" s="167"/>
      <c r="FX32" s="167"/>
      <c r="FY32" s="167"/>
      <c r="FZ32" s="167"/>
      <c r="GA32" s="167"/>
      <c r="GB32" s="167"/>
      <c r="GC32" s="167"/>
      <c r="GD32" s="167"/>
      <c r="GE32" s="167"/>
      <c r="GF32" s="167"/>
      <c r="GG32" s="167"/>
      <c r="GH32" s="167"/>
      <c r="GI32" s="167"/>
      <c r="GJ32" s="167"/>
      <c r="GK32" s="167"/>
      <c r="GL32" s="167"/>
      <c r="GM32" s="167"/>
      <c r="GN32" s="167"/>
      <c r="GO32" s="167"/>
      <c r="GP32" s="167"/>
      <c r="GQ32" s="167"/>
      <c r="GR32" s="167"/>
      <c r="GS32" s="167"/>
      <c r="GT32" s="167"/>
      <c r="GU32" s="167"/>
      <c r="GV32" s="167"/>
      <c r="GW32" s="167"/>
      <c r="GX32" s="167"/>
      <c r="GY32" s="167"/>
      <c r="GZ32" s="167"/>
      <c r="HA32" s="167"/>
      <c r="HB32" s="167"/>
      <c r="HC32" s="167"/>
      <c r="HD32" s="167"/>
      <c r="HE32" s="167"/>
      <c r="HF32" s="167"/>
      <c r="HG32" s="167"/>
      <c r="HH32" s="167"/>
      <c r="HI32" s="167"/>
      <c r="HJ32" s="167"/>
      <c r="HK32" s="167"/>
      <c r="HL32" s="167"/>
      <c r="HM32" s="167"/>
      <c r="HN32" s="167"/>
      <c r="HO32" s="167"/>
      <c r="HP32" s="167"/>
      <c r="HQ32" s="167"/>
      <c r="HR32" s="167"/>
      <c r="HS32" s="167"/>
      <c r="HT32" s="167"/>
      <c r="HU32" s="167"/>
      <c r="HV32" s="167"/>
      <c r="HW32" s="167"/>
      <c r="HX32" s="167"/>
      <c r="HY32" s="167"/>
      <c r="HZ32" s="167"/>
      <c r="IA32" s="167"/>
      <c r="IB32" s="167"/>
      <c r="IC32" s="167"/>
      <c r="ID32" s="167"/>
      <c r="IE32" s="167"/>
      <c r="IF32" s="167"/>
      <c r="IG32" s="167"/>
      <c r="IH32" s="167"/>
      <c r="II32" s="167"/>
      <c r="IJ32" s="167"/>
      <c r="IK32" s="167"/>
      <c r="IL32" s="167"/>
      <c r="IM32" s="167"/>
      <c r="IN32" s="167"/>
      <c r="IO32" s="167"/>
      <c r="IP32" s="167"/>
      <c r="IQ32" s="167"/>
      <c r="IR32" s="167"/>
      <c r="IS32" s="167"/>
      <c r="IT32" s="167"/>
      <c r="IU32" s="167"/>
      <c r="IV32" s="167"/>
    </row>
    <row r="33" spans="1:256" s="86" customFormat="1" ht="19.5" x14ac:dyDescent="0.35">
      <c r="A33" s="209"/>
      <c r="B33" s="165" t="s">
        <v>414</v>
      </c>
      <c r="C33" s="165" t="s">
        <v>402</v>
      </c>
      <c r="D33" s="132" t="str">
        <f>Ruvloh/1000&amp;" kΩ"</f>
        <v>6.81 kΩ</v>
      </c>
      <c r="E33" s="155"/>
      <c r="F33" s="151"/>
      <c r="G33" s="166"/>
      <c r="H33" s="167"/>
      <c r="I33" s="213"/>
      <c r="J33" s="226"/>
      <c r="K33" s="166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  <c r="AA33" s="167"/>
      <c r="AB33" s="167"/>
      <c r="AC33" s="167"/>
      <c r="AD33" s="167"/>
      <c r="AE33" s="167"/>
      <c r="AF33" s="167"/>
      <c r="AG33" s="167"/>
      <c r="AH33" s="167"/>
      <c r="AI33" s="167"/>
      <c r="AJ33" s="167"/>
      <c r="AK33" s="167"/>
      <c r="AL33" s="167"/>
      <c r="AM33" s="167"/>
      <c r="AN33" s="167"/>
      <c r="AO33" s="167"/>
      <c r="AP33" s="167"/>
      <c r="AQ33" s="167"/>
      <c r="AR33" s="167"/>
      <c r="AS33" s="167"/>
      <c r="AT33" s="167"/>
      <c r="AU33" s="167"/>
      <c r="AV33" s="167"/>
      <c r="AW33" s="167"/>
      <c r="AX33" s="167"/>
      <c r="AY33" s="167"/>
      <c r="AZ33" s="167"/>
      <c r="BA33" s="167"/>
      <c r="BB33" s="167"/>
      <c r="BC33" s="167"/>
      <c r="BD33" s="167"/>
      <c r="BE33" s="167"/>
      <c r="BF33" s="167"/>
      <c r="BG33" s="167"/>
      <c r="BH33" s="167"/>
      <c r="BI33" s="167"/>
      <c r="BJ33" s="167"/>
      <c r="BK33" s="167"/>
      <c r="BL33" s="167"/>
      <c r="BM33" s="167"/>
      <c r="BN33" s="167"/>
      <c r="BO33" s="167"/>
      <c r="BP33" s="167"/>
      <c r="BQ33" s="167"/>
      <c r="BR33" s="167"/>
      <c r="BS33" s="167"/>
      <c r="BT33" s="167"/>
      <c r="BU33" s="167"/>
      <c r="BV33" s="167"/>
      <c r="BW33" s="167"/>
      <c r="BX33" s="167"/>
      <c r="BY33" s="167"/>
      <c r="BZ33" s="167"/>
      <c r="CA33" s="167"/>
      <c r="CB33" s="167"/>
      <c r="CC33" s="167"/>
      <c r="CD33" s="167"/>
      <c r="CE33" s="167"/>
      <c r="CF33" s="167"/>
      <c r="CG33" s="167"/>
      <c r="CH33" s="167"/>
      <c r="CI33" s="167"/>
      <c r="CJ33" s="167"/>
      <c r="CK33" s="167"/>
      <c r="CL33" s="167"/>
      <c r="CM33" s="167"/>
      <c r="CN33" s="167"/>
      <c r="CO33" s="167"/>
      <c r="CP33" s="167"/>
      <c r="CQ33" s="167"/>
      <c r="CR33" s="167"/>
      <c r="CS33" s="167"/>
      <c r="CT33" s="167"/>
      <c r="CU33" s="167"/>
      <c r="CV33" s="167"/>
      <c r="CW33" s="167"/>
      <c r="CX33" s="167"/>
      <c r="CY33" s="167"/>
      <c r="CZ33" s="167"/>
      <c r="DA33" s="167"/>
      <c r="DB33" s="167"/>
      <c r="DC33" s="167"/>
      <c r="DD33" s="167"/>
      <c r="DE33" s="167"/>
      <c r="DF33" s="167"/>
      <c r="DG33" s="167"/>
      <c r="DH33" s="167"/>
      <c r="DI33" s="167"/>
      <c r="DJ33" s="167"/>
      <c r="DK33" s="167"/>
      <c r="DL33" s="167"/>
      <c r="DM33" s="167"/>
      <c r="DN33" s="167"/>
      <c r="DO33" s="167"/>
      <c r="DP33" s="167"/>
      <c r="DQ33" s="167"/>
      <c r="DR33" s="167"/>
      <c r="DS33" s="167"/>
      <c r="DT33" s="167"/>
      <c r="DU33" s="167"/>
      <c r="DV33" s="167"/>
      <c r="DW33" s="167"/>
      <c r="DX33" s="167"/>
      <c r="DY33" s="167"/>
      <c r="DZ33" s="167"/>
      <c r="EA33" s="167"/>
      <c r="EB33" s="167"/>
      <c r="EC33" s="167"/>
      <c r="ED33" s="167"/>
      <c r="EE33" s="167"/>
      <c r="EF33" s="167"/>
      <c r="EG33" s="167"/>
      <c r="EH33" s="167"/>
      <c r="EI33" s="167"/>
      <c r="EJ33" s="167"/>
      <c r="EK33" s="167"/>
      <c r="EL33" s="167"/>
      <c r="EM33" s="167"/>
      <c r="EN33" s="167"/>
      <c r="EO33" s="167"/>
      <c r="EP33" s="167"/>
      <c r="EQ33" s="167"/>
      <c r="ER33" s="167"/>
      <c r="ES33" s="167"/>
      <c r="ET33" s="167"/>
      <c r="EU33" s="167"/>
      <c r="EV33" s="167"/>
      <c r="EW33" s="167"/>
      <c r="EX33" s="167"/>
      <c r="EY33" s="167"/>
      <c r="EZ33" s="167"/>
      <c r="FA33" s="167"/>
      <c r="FB33" s="167"/>
      <c r="FC33" s="167"/>
      <c r="FD33" s="167"/>
      <c r="FE33" s="167"/>
      <c r="FF33" s="167"/>
      <c r="FG33" s="167"/>
      <c r="FH33" s="167"/>
      <c r="FI33" s="167"/>
      <c r="FJ33" s="167"/>
      <c r="FK33" s="167"/>
      <c r="FL33" s="167"/>
      <c r="FM33" s="167"/>
      <c r="FN33" s="167"/>
      <c r="FO33" s="167"/>
      <c r="FP33" s="167"/>
      <c r="FQ33" s="167"/>
      <c r="FR33" s="167"/>
      <c r="FS33" s="167"/>
      <c r="FT33" s="167"/>
      <c r="FU33" s="167"/>
      <c r="FV33" s="167"/>
      <c r="FW33" s="167"/>
      <c r="FX33" s="167"/>
      <c r="FY33" s="167"/>
      <c r="FZ33" s="167"/>
      <c r="GA33" s="167"/>
      <c r="GB33" s="167"/>
      <c r="GC33" s="167"/>
      <c r="GD33" s="167"/>
      <c r="GE33" s="167"/>
      <c r="GF33" s="167"/>
      <c r="GG33" s="167"/>
      <c r="GH33" s="167"/>
      <c r="GI33" s="167"/>
      <c r="GJ33" s="167"/>
      <c r="GK33" s="167"/>
      <c r="GL33" s="167"/>
      <c r="GM33" s="167"/>
      <c r="GN33" s="167"/>
      <c r="GO33" s="167"/>
      <c r="GP33" s="167"/>
      <c r="GQ33" s="167"/>
      <c r="GR33" s="167"/>
      <c r="GS33" s="167"/>
      <c r="GT33" s="167"/>
      <c r="GU33" s="167"/>
      <c r="GV33" s="167"/>
      <c r="GW33" s="167"/>
      <c r="GX33" s="167"/>
      <c r="GY33" s="167"/>
      <c r="GZ33" s="167"/>
      <c r="HA33" s="167"/>
      <c r="HB33" s="167"/>
      <c r="HC33" s="167"/>
      <c r="HD33" s="167"/>
      <c r="HE33" s="167"/>
      <c r="HF33" s="167"/>
      <c r="HG33" s="167"/>
      <c r="HH33" s="167"/>
      <c r="HI33" s="167"/>
      <c r="HJ33" s="167"/>
      <c r="HK33" s="167"/>
      <c r="HL33" s="167"/>
      <c r="HM33" s="167"/>
      <c r="HN33" s="167"/>
      <c r="HO33" s="167"/>
      <c r="HP33" s="167"/>
      <c r="HQ33" s="167"/>
      <c r="HR33" s="167"/>
      <c r="HS33" s="167"/>
      <c r="HT33" s="167"/>
      <c r="HU33" s="167"/>
      <c r="HV33" s="167"/>
      <c r="HW33" s="167"/>
      <c r="HX33" s="167"/>
      <c r="HY33" s="167"/>
      <c r="HZ33" s="167"/>
      <c r="IA33" s="167"/>
      <c r="IB33" s="167"/>
      <c r="IC33" s="167"/>
      <c r="ID33" s="167"/>
      <c r="IE33" s="167"/>
      <c r="IF33" s="167"/>
      <c r="IG33" s="167"/>
      <c r="IH33" s="167"/>
      <c r="II33" s="167"/>
      <c r="IJ33" s="167"/>
      <c r="IK33" s="167"/>
      <c r="IL33" s="167"/>
      <c r="IM33" s="167"/>
      <c r="IN33" s="167"/>
      <c r="IO33" s="167"/>
      <c r="IP33" s="167"/>
      <c r="IQ33" s="167"/>
      <c r="IR33" s="167"/>
      <c r="IS33" s="167"/>
      <c r="IT33" s="167"/>
      <c r="IU33" s="167"/>
      <c r="IV33" s="167"/>
    </row>
    <row r="34" spans="1:256" s="86" customFormat="1" ht="19.5" x14ac:dyDescent="0.35">
      <c r="A34" s="209"/>
      <c r="B34" s="165" t="s">
        <v>415</v>
      </c>
      <c r="C34" s="165" t="s">
        <v>403</v>
      </c>
      <c r="D34" s="132" t="str">
        <f>Ruvlol/1000&amp;" kΩ"</f>
        <v>2.26 kΩ</v>
      </c>
      <c r="E34" s="155"/>
      <c r="F34" s="151"/>
      <c r="G34" s="166"/>
      <c r="H34" s="167"/>
      <c r="I34" s="213"/>
      <c r="J34" s="226"/>
      <c r="K34" s="166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  <c r="AB34" s="167"/>
      <c r="AC34" s="167"/>
      <c r="AD34" s="167"/>
      <c r="AE34" s="167"/>
      <c r="AF34" s="167"/>
      <c r="AG34" s="167"/>
      <c r="AH34" s="167"/>
      <c r="AI34" s="167"/>
      <c r="AJ34" s="167"/>
      <c r="AK34" s="167"/>
      <c r="AL34" s="167"/>
      <c r="AM34" s="167"/>
      <c r="AN34" s="167"/>
      <c r="AO34" s="167"/>
      <c r="AP34" s="167"/>
      <c r="AQ34" s="167"/>
      <c r="AR34" s="167"/>
      <c r="AS34" s="167"/>
      <c r="AT34" s="167"/>
      <c r="AU34" s="167"/>
      <c r="AV34" s="167"/>
      <c r="AW34" s="167"/>
      <c r="AX34" s="167"/>
      <c r="AY34" s="167"/>
      <c r="AZ34" s="167"/>
      <c r="BA34" s="167"/>
      <c r="BB34" s="167"/>
      <c r="BC34" s="167"/>
      <c r="BD34" s="167"/>
      <c r="BE34" s="167"/>
      <c r="BF34" s="167"/>
      <c r="BG34" s="167"/>
      <c r="BH34" s="167"/>
      <c r="BI34" s="167"/>
      <c r="BJ34" s="167"/>
      <c r="BK34" s="167"/>
      <c r="BL34" s="167"/>
      <c r="BM34" s="167"/>
      <c r="BN34" s="167"/>
      <c r="BO34" s="167"/>
      <c r="BP34" s="167"/>
      <c r="BQ34" s="167"/>
      <c r="BR34" s="167"/>
      <c r="BS34" s="167"/>
      <c r="BT34" s="167"/>
      <c r="BU34" s="167"/>
      <c r="BV34" s="167"/>
      <c r="BW34" s="167"/>
      <c r="BX34" s="167"/>
      <c r="BY34" s="167"/>
      <c r="BZ34" s="167"/>
      <c r="CA34" s="167"/>
      <c r="CB34" s="167"/>
      <c r="CC34" s="167"/>
      <c r="CD34" s="167"/>
      <c r="CE34" s="167"/>
      <c r="CF34" s="167"/>
      <c r="CG34" s="167"/>
      <c r="CH34" s="167"/>
      <c r="CI34" s="167"/>
      <c r="CJ34" s="167"/>
      <c r="CK34" s="167"/>
      <c r="CL34" s="167"/>
      <c r="CM34" s="167"/>
      <c r="CN34" s="167"/>
      <c r="CO34" s="167"/>
      <c r="CP34" s="167"/>
      <c r="CQ34" s="167"/>
      <c r="CR34" s="167"/>
      <c r="CS34" s="167"/>
      <c r="CT34" s="167"/>
      <c r="CU34" s="167"/>
      <c r="CV34" s="167"/>
      <c r="CW34" s="167"/>
      <c r="CX34" s="167"/>
      <c r="CY34" s="167"/>
      <c r="CZ34" s="167"/>
      <c r="DA34" s="167"/>
      <c r="DB34" s="167"/>
      <c r="DC34" s="167"/>
      <c r="DD34" s="167"/>
      <c r="DE34" s="167"/>
      <c r="DF34" s="167"/>
      <c r="DG34" s="167"/>
      <c r="DH34" s="167"/>
      <c r="DI34" s="167"/>
      <c r="DJ34" s="167"/>
      <c r="DK34" s="167"/>
      <c r="DL34" s="167"/>
      <c r="DM34" s="167"/>
      <c r="DN34" s="167"/>
      <c r="DO34" s="167"/>
      <c r="DP34" s="167"/>
      <c r="DQ34" s="167"/>
      <c r="DR34" s="167"/>
      <c r="DS34" s="167"/>
      <c r="DT34" s="167"/>
      <c r="DU34" s="167"/>
      <c r="DV34" s="167"/>
      <c r="DW34" s="167"/>
      <c r="DX34" s="167"/>
      <c r="DY34" s="167"/>
      <c r="DZ34" s="167"/>
      <c r="EA34" s="167"/>
      <c r="EB34" s="167"/>
      <c r="EC34" s="167"/>
      <c r="ED34" s="167"/>
      <c r="EE34" s="167"/>
      <c r="EF34" s="167"/>
      <c r="EG34" s="167"/>
      <c r="EH34" s="167"/>
      <c r="EI34" s="167"/>
      <c r="EJ34" s="167"/>
      <c r="EK34" s="167"/>
      <c r="EL34" s="167"/>
      <c r="EM34" s="167"/>
      <c r="EN34" s="167"/>
      <c r="EO34" s="167"/>
      <c r="EP34" s="167"/>
      <c r="EQ34" s="167"/>
      <c r="ER34" s="167"/>
      <c r="ES34" s="167"/>
      <c r="ET34" s="167"/>
      <c r="EU34" s="167"/>
      <c r="EV34" s="167"/>
      <c r="EW34" s="167"/>
      <c r="EX34" s="167"/>
      <c r="EY34" s="167"/>
      <c r="EZ34" s="167"/>
      <c r="FA34" s="167"/>
      <c r="FB34" s="167"/>
      <c r="FC34" s="167"/>
      <c r="FD34" s="167"/>
      <c r="FE34" s="167"/>
      <c r="FF34" s="167"/>
      <c r="FG34" s="167"/>
      <c r="FH34" s="167"/>
      <c r="FI34" s="167"/>
      <c r="FJ34" s="167"/>
      <c r="FK34" s="167"/>
      <c r="FL34" s="167"/>
      <c r="FM34" s="167"/>
      <c r="FN34" s="167"/>
      <c r="FO34" s="167"/>
      <c r="FP34" s="167"/>
      <c r="FQ34" s="167"/>
      <c r="FR34" s="167"/>
      <c r="FS34" s="167"/>
      <c r="FT34" s="167"/>
      <c r="FU34" s="167"/>
      <c r="FV34" s="167"/>
      <c r="FW34" s="167"/>
      <c r="FX34" s="167"/>
      <c r="FY34" s="167"/>
      <c r="FZ34" s="167"/>
      <c r="GA34" s="167"/>
      <c r="GB34" s="167"/>
      <c r="GC34" s="167"/>
      <c r="GD34" s="167"/>
      <c r="GE34" s="167"/>
      <c r="GF34" s="167"/>
      <c r="GG34" s="167"/>
      <c r="GH34" s="167"/>
      <c r="GI34" s="167"/>
      <c r="GJ34" s="167"/>
      <c r="GK34" s="167"/>
      <c r="GL34" s="167"/>
      <c r="GM34" s="167"/>
      <c r="GN34" s="167"/>
      <c r="GO34" s="167"/>
      <c r="GP34" s="167"/>
      <c r="GQ34" s="167"/>
      <c r="GR34" s="167"/>
      <c r="GS34" s="167"/>
      <c r="GT34" s="167"/>
      <c r="GU34" s="167"/>
      <c r="GV34" s="167"/>
      <c r="GW34" s="167"/>
      <c r="GX34" s="167"/>
      <c r="GY34" s="167"/>
      <c r="GZ34" s="167"/>
      <c r="HA34" s="167"/>
      <c r="HB34" s="167"/>
      <c r="HC34" s="167"/>
      <c r="HD34" s="167"/>
      <c r="HE34" s="167"/>
      <c r="HF34" s="167"/>
      <c r="HG34" s="167"/>
      <c r="HH34" s="167"/>
      <c r="HI34" s="167"/>
      <c r="HJ34" s="167"/>
      <c r="HK34" s="167"/>
      <c r="HL34" s="167"/>
      <c r="HM34" s="167"/>
      <c r="HN34" s="167"/>
      <c r="HO34" s="167"/>
      <c r="HP34" s="167"/>
      <c r="HQ34" s="167"/>
      <c r="HR34" s="167"/>
      <c r="HS34" s="167"/>
      <c r="HT34" s="167"/>
      <c r="HU34" s="167"/>
      <c r="HV34" s="167"/>
      <c r="HW34" s="167"/>
      <c r="HX34" s="167"/>
      <c r="HY34" s="167"/>
      <c r="HZ34" s="167"/>
      <c r="IA34" s="167"/>
      <c r="IB34" s="167"/>
      <c r="IC34" s="167"/>
      <c r="ID34" s="167"/>
      <c r="IE34" s="167"/>
      <c r="IF34" s="167"/>
      <c r="IG34" s="167"/>
      <c r="IH34" s="167"/>
      <c r="II34" s="167"/>
      <c r="IJ34" s="167"/>
      <c r="IK34" s="167"/>
      <c r="IL34" s="167"/>
      <c r="IM34" s="167"/>
      <c r="IN34" s="167"/>
      <c r="IO34" s="167"/>
      <c r="IP34" s="167"/>
      <c r="IQ34" s="167"/>
      <c r="IR34" s="167"/>
      <c r="IS34" s="167"/>
      <c r="IT34" s="167"/>
      <c r="IU34" s="167"/>
      <c r="IV34" s="167"/>
    </row>
    <row r="35" spans="1:256" s="86" customFormat="1" ht="19.5" x14ac:dyDescent="0.35">
      <c r="A35" s="209"/>
      <c r="B35" s="165" t="s">
        <v>377</v>
      </c>
      <c r="C35" s="165" t="s">
        <v>402</v>
      </c>
      <c r="D35" s="132" t="str">
        <f>Rcomp/1000&amp;" kΩ"</f>
        <v>5.9 kΩ</v>
      </c>
      <c r="E35" s="155"/>
      <c r="F35" s="151"/>
      <c r="G35" s="166"/>
      <c r="H35" s="167"/>
      <c r="I35" s="213"/>
      <c r="J35" s="226"/>
      <c r="K35" s="166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  <c r="AA35" s="167"/>
      <c r="AB35" s="167"/>
      <c r="AC35" s="167"/>
      <c r="AD35" s="167"/>
      <c r="AE35" s="167"/>
      <c r="AF35" s="167"/>
      <c r="AG35" s="167"/>
      <c r="AH35" s="167"/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7"/>
      <c r="AT35" s="167"/>
      <c r="AU35" s="167"/>
      <c r="AV35" s="167"/>
      <c r="AW35" s="167"/>
      <c r="AX35" s="167"/>
      <c r="AY35" s="167"/>
      <c r="AZ35" s="167"/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167"/>
      <c r="BU35" s="167"/>
      <c r="BV35" s="167"/>
      <c r="BW35" s="167"/>
      <c r="BX35" s="167"/>
      <c r="BY35" s="167"/>
      <c r="BZ35" s="167"/>
      <c r="CA35" s="167"/>
      <c r="CB35" s="167"/>
      <c r="CC35" s="167"/>
      <c r="CD35" s="167"/>
      <c r="CE35" s="167"/>
      <c r="CF35" s="167"/>
      <c r="CG35" s="167"/>
      <c r="CH35" s="167"/>
      <c r="CI35" s="167"/>
      <c r="CJ35" s="167"/>
      <c r="CK35" s="167"/>
      <c r="CL35" s="167"/>
      <c r="CM35" s="167"/>
      <c r="CN35" s="167"/>
      <c r="CO35" s="167"/>
      <c r="CP35" s="167"/>
      <c r="CQ35" s="167"/>
      <c r="CR35" s="167"/>
      <c r="CS35" s="167"/>
      <c r="CT35" s="167"/>
      <c r="CU35" s="167"/>
      <c r="CV35" s="167"/>
      <c r="CW35" s="167"/>
      <c r="CX35" s="167"/>
      <c r="CY35" s="167"/>
      <c r="CZ35" s="167"/>
      <c r="DA35" s="167"/>
      <c r="DB35" s="167"/>
      <c r="DC35" s="167"/>
      <c r="DD35" s="167"/>
      <c r="DE35" s="167"/>
      <c r="DF35" s="167"/>
      <c r="DG35" s="167"/>
      <c r="DH35" s="167"/>
      <c r="DI35" s="167"/>
      <c r="DJ35" s="167"/>
      <c r="DK35" s="167"/>
      <c r="DL35" s="167"/>
      <c r="DM35" s="167"/>
      <c r="DN35" s="167"/>
      <c r="DO35" s="167"/>
      <c r="DP35" s="167"/>
      <c r="DQ35" s="167"/>
      <c r="DR35" s="167"/>
      <c r="DS35" s="167"/>
      <c r="DT35" s="167"/>
      <c r="DU35" s="167"/>
      <c r="DV35" s="167"/>
      <c r="DW35" s="167"/>
      <c r="DX35" s="167"/>
      <c r="DY35" s="167"/>
      <c r="DZ35" s="167"/>
      <c r="EA35" s="167"/>
      <c r="EB35" s="167"/>
      <c r="EC35" s="167"/>
      <c r="ED35" s="167"/>
      <c r="EE35" s="167"/>
      <c r="EF35" s="167"/>
      <c r="EG35" s="167"/>
      <c r="EH35" s="167"/>
      <c r="EI35" s="167"/>
      <c r="EJ35" s="167"/>
      <c r="EK35" s="167"/>
      <c r="EL35" s="167"/>
      <c r="EM35" s="167"/>
      <c r="EN35" s="167"/>
      <c r="EO35" s="167"/>
      <c r="EP35" s="167"/>
      <c r="EQ35" s="167"/>
      <c r="ER35" s="167"/>
      <c r="ES35" s="167"/>
      <c r="ET35" s="167"/>
      <c r="EU35" s="167"/>
      <c r="EV35" s="167"/>
      <c r="EW35" s="167"/>
      <c r="EX35" s="167"/>
      <c r="EY35" s="167"/>
      <c r="EZ35" s="167"/>
      <c r="FA35" s="167"/>
      <c r="FB35" s="167"/>
      <c r="FC35" s="167"/>
      <c r="FD35" s="167"/>
      <c r="FE35" s="167"/>
      <c r="FF35" s="167"/>
      <c r="FG35" s="167"/>
      <c r="FH35" s="167"/>
      <c r="FI35" s="167"/>
      <c r="FJ35" s="167"/>
      <c r="FK35" s="167"/>
      <c r="FL35" s="167"/>
      <c r="FM35" s="167"/>
      <c r="FN35" s="167"/>
      <c r="FO35" s="167"/>
      <c r="FP35" s="167"/>
      <c r="FQ35" s="167"/>
      <c r="FR35" s="167"/>
      <c r="FS35" s="167"/>
      <c r="FT35" s="167"/>
      <c r="FU35" s="167"/>
      <c r="FV35" s="167"/>
      <c r="FW35" s="167"/>
      <c r="FX35" s="167"/>
      <c r="FY35" s="167"/>
      <c r="FZ35" s="167"/>
      <c r="GA35" s="167"/>
      <c r="GB35" s="167"/>
      <c r="GC35" s="167"/>
      <c r="GD35" s="167"/>
      <c r="GE35" s="167"/>
      <c r="GF35" s="167"/>
      <c r="GG35" s="167"/>
      <c r="GH35" s="167"/>
      <c r="GI35" s="167"/>
      <c r="GJ35" s="167"/>
      <c r="GK35" s="167"/>
      <c r="GL35" s="167"/>
      <c r="GM35" s="167"/>
      <c r="GN35" s="167"/>
      <c r="GO35" s="167"/>
      <c r="GP35" s="167"/>
      <c r="GQ35" s="167"/>
      <c r="GR35" s="167"/>
      <c r="GS35" s="167"/>
      <c r="GT35" s="167"/>
      <c r="GU35" s="167"/>
      <c r="GV35" s="167"/>
      <c r="GW35" s="167"/>
      <c r="GX35" s="167"/>
      <c r="GY35" s="167"/>
      <c r="GZ35" s="167"/>
      <c r="HA35" s="167"/>
      <c r="HB35" s="167"/>
      <c r="HC35" s="167"/>
      <c r="HD35" s="167"/>
      <c r="HE35" s="167"/>
      <c r="HF35" s="167"/>
      <c r="HG35" s="167"/>
      <c r="HH35" s="167"/>
      <c r="HI35" s="167"/>
      <c r="HJ35" s="167"/>
      <c r="HK35" s="167"/>
      <c r="HL35" s="167"/>
      <c r="HM35" s="167"/>
      <c r="HN35" s="167"/>
      <c r="HO35" s="167"/>
      <c r="HP35" s="167"/>
      <c r="HQ35" s="167"/>
      <c r="HR35" s="167"/>
      <c r="HS35" s="167"/>
      <c r="HT35" s="167"/>
      <c r="HU35" s="167"/>
      <c r="HV35" s="167"/>
      <c r="HW35" s="167"/>
      <c r="HX35" s="167"/>
      <c r="HY35" s="167"/>
      <c r="HZ35" s="167"/>
      <c r="IA35" s="167"/>
      <c r="IB35" s="167"/>
      <c r="IC35" s="167"/>
      <c r="ID35" s="167"/>
      <c r="IE35" s="167"/>
      <c r="IF35" s="167"/>
      <c r="IG35" s="167"/>
      <c r="IH35" s="167"/>
      <c r="II35" s="167"/>
      <c r="IJ35" s="167"/>
      <c r="IK35" s="167"/>
      <c r="IL35" s="167"/>
      <c r="IM35" s="167"/>
      <c r="IN35" s="167"/>
      <c r="IO35" s="167"/>
      <c r="IP35" s="167"/>
      <c r="IQ35" s="167"/>
      <c r="IR35" s="167"/>
      <c r="IS35" s="167"/>
      <c r="IT35" s="167"/>
      <c r="IU35" s="167"/>
      <c r="IV35" s="167"/>
    </row>
    <row r="36" spans="1:256" s="86" customFormat="1" ht="19.5" x14ac:dyDescent="0.35">
      <c r="A36" s="209"/>
      <c r="B36" s="165" t="s">
        <v>374</v>
      </c>
      <c r="C36" s="165" t="s">
        <v>403</v>
      </c>
      <c r="D36" s="132" t="str">
        <f>Rfreq/1000&amp;" kΩ"</f>
        <v>76.8 kΩ</v>
      </c>
      <c r="E36" s="155"/>
      <c r="F36" s="151"/>
      <c r="G36" s="166"/>
      <c r="H36" s="167"/>
      <c r="I36" s="213"/>
      <c r="J36" s="226"/>
      <c r="K36" s="166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167"/>
      <c r="AA36" s="167"/>
      <c r="AB36" s="167"/>
      <c r="AC36" s="167"/>
      <c r="AD36" s="167"/>
      <c r="AE36" s="167"/>
      <c r="AF36" s="167"/>
      <c r="AG36" s="167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67"/>
      <c r="AT36" s="167"/>
      <c r="AU36" s="167"/>
      <c r="AV36" s="167"/>
      <c r="AW36" s="167"/>
      <c r="AX36" s="167"/>
      <c r="AY36" s="167"/>
      <c r="AZ36" s="167"/>
      <c r="BA36" s="167"/>
      <c r="BB36" s="167"/>
      <c r="BC36" s="167"/>
      <c r="BD36" s="167"/>
      <c r="BE36" s="167"/>
      <c r="BF36" s="167"/>
      <c r="BG36" s="167"/>
      <c r="BH36" s="167"/>
      <c r="BI36" s="167"/>
      <c r="BJ36" s="167"/>
      <c r="BK36" s="167"/>
      <c r="BL36" s="167"/>
      <c r="BM36" s="167"/>
      <c r="BN36" s="167"/>
      <c r="BO36" s="167"/>
      <c r="BP36" s="167"/>
      <c r="BQ36" s="167"/>
      <c r="BR36" s="167"/>
      <c r="BS36" s="167"/>
      <c r="BT36" s="167"/>
      <c r="BU36" s="167"/>
      <c r="BV36" s="167"/>
      <c r="BW36" s="167"/>
      <c r="BX36" s="167"/>
      <c r="BY36" s="167"/>
      <c r="BZ36" s="167"/>
      <c r="CA36" s="167"/>
      <c r="CB36" s="167"/>
      <c r="CC36" s="167"/>
      <c r="CD36" s="167"/>
      <c r="CE36" s="167"/>
      <c r="CF36" s="167"/>
      <c r="CG36" s="167"/>
      <c r="CH36" s="167"/>
      <c r="CI36" s="167"/>
      <c r="CJ36" s="167"/>
      <c r="CK36" s="167"/>
      <c r="CL36" s="167"/>
      <c r="CM36" s="167"/>
      <c r="CN36" s="167"/>
      <c r="CO36" s="167"/>
      <c r="CP36" s="167"/>
      <c r="CQ36" s="167"/>
      <c r="CR36" s="167"/>
      <c r="CS36" s="167"/>
      <c r="CT36" s="167"/>
      <c r="CU36" s="167"/>
      <c r="CV36" s="167"/>
      <c r="CW36" s="167"/>
      <c r="CX36" s="167"/>
      <c r="CY36" s="167"/>
      <c r="CZ36" s="167"/>
      <c r="DA36" s="167"/>
      <c r="DB36" s="167"/>
      <c r="DC36" s="167"/>
      <c r="DD36" s="167"/>
      <c r="DE36" s="167"/>
      <c r="DF36" s="167"/>
      <c r="DG36" s="167"/>
      <c r="DH36" s="167"/>
      <c r="DI36" s="167"/>
      <c r="DJ36" s="167"/>
      <c r="DK36" s="167"/>
      <c r="DL36" s="167"/>
      <c r="DM36" s="167"/>
      <c r="DN36" s="167"/>
      <c r="DO36" s="167"/>
      <c r="DP36" s="167"/>
      <c r="DQ36" s="167"/>
      <c r="DR36" s="167"/>
      <c r="DS36" s="167"/>
      <c r="DT36" s="167"/>
      <c r="DU36" s="167"/>
      <c r="DV36" s="167"/>
      <c r="DW36" s="167"/>
      <c r="DX36" s="167"/>
      <c r="DY36" s="167"/>
      <c r="DZ36" s="167"/>
      <c r="EA36" s="167"/>
      <c r="EB36" s="167"/>
      <c r="EC36" s="167"/>
      <c r="ED36" s="167"/>
      <c r="EE36" s="167"/>
      <c r="EF36" s="167"/>
      <c r="EG36" s="167"/>
      <c r="EH36" s="167"/>
      <c r="EI36" s="167"/>
      <c r="EJ36" s="167"/>
      <c r="EK36" s="167"/>
      <c r="EL36" s="167"/>
      <c r="EM36" s="167"/>
      <c r="EN36" s="167"/>
      <c r="EO36" s="167"/>
      <c r="EP36" s="167"/>
      <c r="EQ36" s="167"/>
      <c r="ER36" s="167"/>
      <c r="ES36" s="167"/>
      <c r="ET36" s="167"/>
      <c r="EU36" s="167"/>
      <c r="EV36" s="167"/>
      <c r="EW36" s="167"/>
      <c r="EX36" s="167"/>
      <c r="EY36" s="167"/>
      <c r="EZ36" s="167"/>
      <c r="FA36" s="167"/>
      <c r="FB36" s="167"/>
      <c r="FC36" s="167"/>
      <c r="FD36" s="167"/>
      <c r="FE36" s="167"/>
      <c r="FF36" s="167"/>
      <c r="FG36" s="167"/>
      <c r="FH36" s="167"/>
      <c r="FI36" s="167"/>
      <c r="FJ36" s="167"/>
      <c r="FK36" s="167"/>
      <c r="FL36" s="167"/>
      <c r="FM36" s="167"/>
      <c r="FN36" s="167"/>
      <c r="FO36" s="167"/>
      <c r="FP36" s="167"/>
      <c r="FQ36" s="167"/>
      <c r="FR36" s="167"/>
      <c r="FS36" s="167"/>
      <c r="FT36" s="167"/>
      <c r="FU36" s="167"/>
      <c r="FV36" s="167"/>
      <c r="FW36" s="167"/>
      <c r="FX36" s="167"/>
      <c r="FY36" s="167"/>
      <c r="FZ36" s="167"/>
      <c r="GA36" s="167"/>
      <c r="GB36" s="167"/>
      <c r="GC36" s="167"/>
      <c r="GD36" s="167"/>
      <c r="GE36" s="167"/>
      <c r="GF36" s="167"/>
      <c r="GG36" s="167"/>
      <c r="GH36" s="167"/>
      <c r="GI36" s="167"/>
      <c r="GJ36" s="167"/>
      <c r="GK36" s="167"/>
      <c r="GL36" s="167"/>
      <c r="GM36" s="167"/>
      <c r="GN36" s="167"/>
      <c r="GO36" s="167"/>
      <c r="GP36" s="167"/>
      <c r="GQ36" s="167"/>
      <c r="GR36" s="167"/>
      <c r="GS36" s="167"/>
      <c r="GT36" s="167"/>
      <c r="GU36" s="167"/>
      <c r="GV36" s="167"/>
      <c r="GW36" s="167"/>
      <c r="GX36" s="167"/>
      <c r="GY36" s="167"/>
      <c r="GZ36" s="167"/>
      <c r="HA36" s="167"/>
      <c r="HB36" s="167"/>
      <c r="HC36" s="167"/>
      <c r="HD36" s="167"/>
      <c r="HE36" s="167"/>
      <c r="HF36" s="167"/>
      <c r="HG36" s="167"/>
      <c r="HH36" s="167"/>
      <c r="HI36" s="167"/>
      <c r="HJ36" s="167"/>
      <c r="HK36" s="167"/>
      <c r="HL36" s="167"/>
      <c r="HM36" s="167"/>
      <c r="HN36" s="167"/>
      <c r="HO36" s="167"/>
      <c r="HP36" s="167"/>
      <c r="HQ36" s="167"/>
      <c r="HR36" s="167"/>
      <c r="HS36" s="167"/>
      <c r="HT36" s="167"/>
      <c r="HU36" s="167"/>
      <c r="HV36" s="167"/>
      <c r="HW36" s="167"/>
      <c r="HX36" s="167"/>
      <c r="HY36" s="167"/>
      <c r="HZ36" s="167"/>
      <c r="IA36" s="167"/>
      <c r="IB36" s="167"/>
      <c r="IC36" s="167"/>
      <c r="ID36" s="167"/>
      <c r="IE36" s="167"/>
      <c r="IF36" s="167"/>
      <c r="IG36" s="167"/>
      <c r="IH36" s="167"/>
      <c r="II36" s="167"/>
      <c r="IJ36" s="167"/>
      <c r="IK36" s="167"/>
      <c r="IL36" s="167"/>
      <c r="IM36" s="167"/>
      <c r="IN36" s="167"/>
      <c r="IO36" s="167"/>
      <c r="IP36" s="167"/>
      <c r="IQ36" s="167"/>
      <c r="IR36" s="167"/>
      <c r="IS36" s="167"/>
      <c r="IT36" s="167"/>
      <c r="IU36" s="167"/>
      <c r="IV36" s="167"/>
    </row>
    <row r="37" spans="1:256" s="86" customFormat="1" ht="19.5" x14ac:dyDescent="0.35">
      <c r="A37" s="209"/>
      <c r="B37" s="165" t="s">
        <v>189</v>
      </c>
      <c r="C37" s="165" t="s">
        <v>404</v>
      </c>
      <c r="D37" s="132" t="str">
        <f>Rsl/1000&amp;" kΩ"</f>
        <v>11 kΩ</v>
      </c>
      <c r="E37" s="155"/>
      <c r="F37" s="151"/>
      <c r="G37" s="166"/>
      <c r="H37" s="167"/>
      <c r="I37" s="213"/>
      <c r="J37" s="226"/>
      <c r="K37" s="166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/>
      <c r="AA37" s="167"/>
      <c r="AB37" s="167"/>
      <c r="AC37" s="167"/>
      <c r="AD37" s="167"/>
      <c r="AE37" s="167"/>
      <c r="AF37" s="167"/>
      <c r="AG37" s="167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67"/>
      <c r="AT37" s="167"/>
      <c r="AU37" s="167"/>
      <c r="AV37" s="167"/>
      <c r="AW37" s="167"/>
      <c r="AX37" s="167"/>
      <c r="AY37" s="167"/>
      <c r="AZ37" s="167"/>
      <c r="BA37" s="167"/>
      <c r="BB37" s="167"/>
      <c r="BC37" s="167"/>
      <c r="BD37" s="167"/>
      <c r="BE37" s="167"/>
      <c r="BF37" s="167"/>
      <c r="BG37" s="167"/>
      <c r="BH37" s="167"/>
      <c r="BI37" s="167"/>
      <c r="BJ37" s="167"/>
      <c r="BK37" s="167"/>
      <c r="BL37" s="167"/>
      <c r="BM37" s="167"/>
      <c r="BN37" s="167"/>
      <c r="BO37" s="167"/>
      <c r="BP37" s="167"/>
      <c r="BQ37" s="167"/>
      <c r="BR37" s="167"/>
      <c r="BS37" s="167"/>
      <c r="BT37" s="167"/>
      <c r="BU37" s="167"/>
      <c r="BV37" s="167"/>
      <c r="BW37" s="167"/>
      <c r="BX37" s="167"/>
      <c r="BY37" s="167"/>
      <c r="BZ37" s="167"/>
      <c r="CA37" s="167"/>
      <c r="CB37" s="167"/>
      <c r="CC37" s="167"/>
      <c r="CD37" s="167"/>
      <c r="CE37" s="167"/>
      <c r="CF37" s="167"/>
      <c r="CG37" s="167"/>
      <c r="CH37" s="167"/>
      <c r="CI37" s="167"/>
      <c r="CJ37" s="167"/>
      <c r="CK37" s="167"/>
      <c r="CL37" s="167"/>
      <c r="CM37" s="167"/>
      <c r="CN37" s="167"/>
      <c r="CO37" s="167"/>
      <c r="CP37" s="167"/>
      <c r="CQ37" s="167"/>
      <c r="CR37" s="167"/>
      <c r="CS37" s="167"/>
      <c r="CT37" s="167"/>
      <c r="CU37" s="167"/>
      <c r="CV37" s="167"/>
      <c r="CW37" s="167"/>
      <c r="CX37" s="167"/>
      <c r="CY37" s="167"/>
      <c r="CZ37" s="167"/>
      <c r="DA37" s="167"/>
      <c r="DB37" s="167"/>
      <c r="DC37" s="167"/>
      <c r="DD37" s="167"/>
      <c r="DE37" s="167"/>
      <c r="DF37" s="167"/>
      <c r="DG37" s="167"/>
      <c r="DH37" s="167"/>
      <c r="DI37" s="167"/>
      <c r="DJ37" s="167"/>
      <c r="DK37" s="167"/>
      <c r="DL37" s="167"/>
      <c r="DM37" s="167"/>
      <c r="DN37" s="167"/>
      <c r="DO37" s="167"/>
      <c r="DP37" s="167"/>
      <c r="DQ37" s="167"/>
      <c r="DR37" s="167"/>
      <c r="DS37" s="167"/>
      <c r="DT37" s="167"/>
      <c r="DU37" s="167"/>
      <c r="DV37" s="167"/>
      <c r="DW37" s="167"/>
      <c r="DX37" s="167"/>
      <c r="DY37" s="167"/>
      <c r="DZ37" s="167"/>
      <c r="EA37" s="167"/>
      <c r="EB37" s="167"/>
      <c r="EC37" s="167"/>
      <c r="ED37" s="167"/>
      <c r="EE37" s="167"/>
      <c r="EF37" s="167"/>
      <c r="EG37" s="167"/>
      <c r="EH37" s="167"/>
      <c r="EI37" s="167"/>
      <c r="EJ37" s="167"/>
      <c r="EK37" s="167"/>
      <c r="EL37" s="167"/>
      <c r="EM37" s="167"/>
      <c r="EN37" s="167"/>
      <c r="EO37" s="167"/>
      <c r="EP37" s="167"/>
      <c r="EQ37" s="167"/>
      <c r="ER37" s="167"/>
      <c r="ES37" s="167"/>
      <c r="ET37" s="167"/>
      <c r="EU37" s="167"/>
      <c r="EV37" s="167"/>
      <c r="EW37" s="167"/>
      <c r="EX37" s="167"/>
      <c r="EY37" s="167"/>
      <c r="EZ37" s="167"/>
      <c r="FA37" s="167"/>
      <c r="FB37" s="167"/>
      <c r="FC37" s="167"/>
      <c r="FD37" s="167"/>
      <c r="FE37" s="167"/>
      <c r="FF37" s="167"/>
      <c r="FG37" s="167"/>
      <c r="FH37" s="167"/>
      <c r="FI37" s="167"/>
      <c r="FJ37" s="167"/>
      <c r="FK37" s="167"/>
      <c r="FL37" s="167"/>
      <c r="FM37" s="167"/>
      <c r="FN37" s="167"/>
      <c r="FO37" s="167"/>
      <c r="FP37" s="167"/>
      <c r="FQ37" s="167"/>
      <c r="FR37" s="167"/>
      <c r="FS37" s="167"/>
      <c r="FT37" s="167"/>
      <c r="FU37" s="167"/>
      <c r="FV37" s="167"/>
      <c r="FW37" s="167"/>
      <c r="FX37" s="167"/>
      <c r="FY37" s="167"/>
      <c r="FZ37" s="167"/>
      <c r="GA37" s="167"/>
      <c r="GB37" s="167"/>
      <c r="GC37" s="167"/>
      <c r="GD37" s="167"/>
      <c r="GE37" s="167"/>
      <c r="GF37" s="167"/>
      <c r="GG37" s="167"/>
      <c r="GH37" s="167"/>
      <c r="GI37" s="167"/>
      <c r="GJ37" s="167"/>
      <c r="GK37" s="167"/>
      <c r="GL37" s="167"/>
      <c r="GM37" s="167"/>
      <c r="GN37" s="167"/>
      <c r="GO37" s="167"/>
      <c r="GP37" s="167"/>
      <c r="GQ37" s="167"/>
      <c r="GR37" s="167"/>
      <c r="GS37" s="167"/>
      <c r="GT37" s="167"/>
      <c r="GU37" s="167"/>
      <c r="GV37" s="167"/>
      <c r="GW37" s="167"/>
      <c r="GX37" s="167"/>
      <c r="GY37" s="167"/>
      <c r="GZ37" s="167"/>
      <c r="HA37" s="167"/>
      <c r="HB37" s="167"/>
      <c r="HC37" s="167"/>
      <c r="HD37" s="167"/>
      <c r="HE37" s="167"/>
      <c r="HF37" s="167"/>
      <c r="HG37" s="167"/>
      <c r="HH37" s="167"/>
      <c r="HI37" s="167"/>
      <c r="HJ37" s="167"/>
      <c r="HK37" s="167"/>
      <c r="HL37" s="167"/>
      <c r="HM37" s="167"/>
      <c r="HN37" s="167"/>
      <c r="HO37" s="167"/>
      <c r="HP37" s="167"/>
      <c r="HQ37" s="167"/>
      <c r="HR37" s="167"/>
      <c r="HS37" s="167"/>
      <c r="HT37" s="167"/>
      <c r="HU37" s="167"/>
      <c r="HV37" s="167"/>
      <c r="HW37" s="167"/>
      <c r="HX37" s="167"/>
      <c r="HY37" s="167"/>
      <c r="HZ37" s="167"/>
      <c r="IA37" s="167"/>
      <c r="IB37" s="167"/>
      <c r="IC37" s="167"/>
      <c r="ID37" s="167"/>
      <c r="IE37" s="167"/>
      <c r="IF37" s="167"/>
      <c r="IG37" s="167"/>
      <c r="IH37" s="167"/>
      <c r="II37" s="167"/>
      <c r="IJ37" s="167"/>
      <c r="IK37" s="167"/>
      <c r="IL37" s="167"/>
      <c r="IM37" s="167"/>
      <c r="IN37" s="167"/>
      <c r="IO37" s="167"/>
      <c r="IP37" s="167"/>
      <c r="IQ37" s="167"/>
      <c r="IR37" s="167"/>
      <c r="IS37" s="167"/>
      <c r="IT37" s="167"/>
      <c r="IU37" s="167"/>
      <c r="IV37" s="167"/>
    </row>
    <row r="38" spans="1:256" s="86" customFormat="1" ht="19.5" x14ac:dyDescent="0.35">
      <c r="A38" s="209"/>
      <c r="B38" s="165" t="s">
        <v>188</v>
      </c>
      <c r="C38" s="165" t="s">
        <v>405</v>
      </c>
      <c r="D38" s="132" t="str">
        <f>Rsh/1000&amp;" kΩ"</f>
        <v>205 kΩ</v>
      </c>
      <c r="E38" s="155"/>
      <c r="F38" s="151"/>
      <c r="G38" s="166"/>
      <c r="H38" s="167"/>
      <c r="I38" s="213"/>
      <c r="J38" s="226"/>
      <c r="K38" s="166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7"/>
      <c r="AA38" s="167"/>
      <c r="AB38" s="167"/>
      <c r="AC38" s="167"/>
      <c r="AD38" s="167"/>
      <c r="AE38" s="167"/>
      <c r="AF38" s="167"/>
      <c r="AG38" s="167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167"/>
      <c r="AT38" s="167"/>
      <c r="AU38" s="167"/>
      <c r="AV38" s="167"/>
      <c r="AW38" s="167"/>
      <c r="AX38" s="167"/>
      <c r="AY38" s="167"/>
      <c r="AZ38" s="167"/>
      <c r="BA38" s="167"/>
      <c r="BB38" s="167"/>
      <c r="BC38" s="167"/>
      <c r="BD38" s="167"/>
      <c r="BE38" s="167"/>
      <c r="BF38" s="167"/>
      <c r="BG38" s="167"/>
      <c r="BH38" s="167"/>
      <c r="BI38" s="167"/>
      <c r="BJ38" s="167"/>
      <c r="BK38" s="167"/>
      <c r="BL38" s="167"/>
      <c r="BM38" s="167"/>
      <c r="BN38" s="167"/>
      <c r="BO38" s="167"/>
      <c r="BP38" s="167"/>
      <c r="BQ38" s="167"/>
      <c r="BR38" s="167"/>
      <c r="BS38" s="167"/>
      <c r="BT38" s="167"/>
      <c r="BU38" s="167"/>
      <c r="BV38" s="167"/>
      <c r="BW38" s="167"/>
      <c r="BX38" s="167"/>
      <c r="BY38" s="167"/>
      <c r="BZ38" s="167"/>
      <c r="CA38" s="167"/>
      <c r="CB38" s="167"/>
      <c r="CC38" s="167"/>
      <c r="CD38" s="167"/>
      <c r="CE38" s="167"/>
      <c r="CF38" s="167"/>
      <c r="CG38" s="167"/>
      <c r="CH38" s="167"/>
      <c r="CI38" s="167"/>
      <c r="CJ38" s="167"/>
      <c r="CK38" s="167"/>
      <c r="CL38" s="167"/>
      <c r="CM38" s="167"/>
      <c r="CN38" s="167"/>
      <c r="CO38" s="167"/>
      <c r="CP38" s="167"/>
      <c r="CQ38" s="167"/>
      <c r="CR38" s="167"/>
      <c r="CS38" s="167"/>
      <c r="CT38" s="167"/>
      <c r="CU38" s="167"/>
      <c r="CV38" s="167"/>
      <c r="CW38" s="167"/>
      <c r="CX38" s="167"/>
      <c r="CY38" s="167"/>
      <c r="CZ38" s="167"/>
      <c r="DA38" s="167"/>
      <c r="DB38" s="167"/>
      <c r="DC38" s="167"/>
      <c r="DD38" s="167"/>
      <c r="DE38" s="167"/>
      <c r="DF38" s="167"/>
      <c r="DG38" s="167"/>
      <c r="DH38" s="167"/>
      <c r="DI38" s="167"/>
      <c r="DJ38" s="167"/>
      <c r="DK38" s="167"/>
      <c r="DL38" s="167"/>
      <c r="DM38" s="167"/>
      <c r="DN38" s="167"/>
      <c r="DO38" s="167"/>
      <c r="DP38" s="167"/>
      <c r="DQ38" s="167"/>
      <c r="DR38" s="167"/>
      <c r="DS38" s="167"/>
      <c r="DT38" s="167"/>
      <c r="DU38" s="167"/>
      <c r="DV38" s="167"/>
      <c r="DW38" s="167"/>
      <c r="DX38" s="167"/>
      <c r="DY38" s="167"/>
      <c r="DZ38" s="167"/>
      <c r="EA38" s="167"/>
      <c r="EB38" s="167"/>
      <c r="EC38" s="167"/>
      <c r="ED38" s="167"/>
      <c r="EE38" s="167"/>
      <c r="EF38" s="167"/>
      <c r="EG38" s="167"/>
      <c r="EH38" s="167"/>
      <c r="EI38" s="167"/>
      <c r="EJ38" s="167"/>
      <c r="EK38" s="167"/>
      <c r="EL38" s="167"/>
      <c r="EM38" s="167"/>
      <c r="EN38" s="167"/>
      <c r="EO38" s="167"/>
      <c r="EP38" s="167"/>
      <c r="EQ38" s="167"/>
      <c r="ER38" s="167"/>
      <c r="ES38" s="167"/>
      <c r="ET38" s="167"/>
      <c r="EU38" s="167"/>
      <c r="EV38" s="167"/>
      <c r="EW38" s="167"/>
      <c r="EX38" s="167"/>
      <c r="EY38" s="167"/>
      <c r="EZ38" s="167"/>
      <c r="FA38" s="167"/>
      <c r="FB38" s="167"/>
      <c r="FC38" s="167"/>
      <c r="FD38" s="167"/>
      <c r="FE38" s="167"/>
      <c r="FF38" s="167"/>
      <c r="FG38" s="167"/>
      <c r="FH38" s="167"/>
      <c r="FI38" s="167"/>
      <c r="FJ38" s="167"/>
      <c r="FK38" s="167"/>
      <c r="FL38" s="167"/>
      <c r="FM38" s="167"/>
      <c r="FN38" s="167"/>
      <c r="FO38" s="167"/>
      <c r="FP38" s="167"/>
      <c r="FQ38" s="167"/>
      <c r="FR38" s="167"/>
      <c r="FS38" s="167"/>
      <c r="FT38" s="167"/>
      <c r="FU38" s="167"/>
      <c r="FV38" s="167"/>
      <c r="FW38" s="167"/>
      <c r="FX38" s="167"/>
      <c r="FY38" s="167"/>
      <c r="FZ38" s="167"/>
      <c r="GA38" s="167"/>
      <c r="GB38" s="167"/>
      <c r="GC38" s="167"/>
      <c r="GD38" s="167"/>
      <c r="GE38" s="167"/>
      <c r="GF38" s="167"/>
      <c r="GG38" s="167"/>
      <c r="GH38" s="167"/>
      <c r="GI38" s="167"/>
      <c r="GJ38" s="167"/>
      <c r="GK38" s="167"/>
      <c r="GL38" s="167"/>
      <c r="GM38" s="167"/>
      <c r="GN38" s="167"/>
      <c r="GO38" s="167"/>
      <c r="GP38" s="167"/>
      <c r="GQ38" s="167"/>
      <c r="GR38" s="167"/>
      <c r="GS38" s="167"/>
      <c r="GT38" s="167"/>
      <c r="GU38" s="167"/>
      <c r="GV38" s="167"/>
      <c r="GW38" s="167"/>
      <c r="GX38" s="167"/>
      <c r="GY38" s="167"/>
      <c r="GZ38" s="167"/>
      <c r="HA38" s="167"/>
      <c r="HB38" s="167"/>
      <c r="HC38" s="167"/>
      <c r="HD38" s="167"/>
      <c r="HE38" s="167"/>
      <c r="HF38" s="167"/>
      <c r="HG38" s="167"/>
      <c r="HH38" s="167"/>
      <c r="HI38" s="167"/>
      <c r="HJ38" s="167"/>
      <c r="HK38" s="167"/>
      <c r="HL38" s="167"/>
      <c r="HM38" s="167"/>
      <c r="HN38" s="167"/>
      <c r="HO38" s="167"/>
      <c r="HP38" s="167"/>
      <c r="HQ38" s="167"/>
      <c r="HR38" s="167"/>
      <c r="HS38" s="167"/>
      <c r="HT38" s="167"/>
      <c r="HU38" s="167"/>
      <c r="HV38" s="167"/>
      <c r="HW38" s="167"/>
      <c r="HX38" s="167"/>
      <c r="HY38" s="167"/>
      <c r="HZ38" s="167"/>
      <c r="IA38" s="167"/>
      <c r="IB38" s="167"/>
      <c r="IC38" s="167"/>
      <c r="ID38" s="167"/>
      <c r="IE38" s="167"/>
      <c r="IF38" s="167"/>
      <c r="IG38" s="167"/>
      <c r="IH38" s="167"/>
      <c r="II38" s="167"/>
      <c r="IJ38" s="167"/>
      <c r="IK38" s="167"/>
      <c r="IL38" s="167"/>
      <c r="IM38" s="167"/>
      <c r="IN38" s="167"/>
      <c r="IO38" s="167"/>
      <c r="IP38" s="167"/>
      <c r="IQ38" s="167"/>
      <c r="IR38" s="167"/>
      <c r="IS38" s="167"/>
      <c r="IT38" s="167"/>
      <c r="IU38" s="167"/>
      <c r="IV38" s="167"/>
    </row>
    <row r="39" spans="1:256" s="86" customFormat="1" ht="19.5" x14ac:dyDescent="0.35">
      <c r="A39" s="209"/>
      <c r="B39" s="165" t="s">
        <v>452</v>
      </c>
      <c r="C39" s="165" t="s">
        <v>453</v>
      </c>
      <c r="D39" s="132" t="str">
        <f>D153/1000&amp;" kΩ"</f>
        <v>100 kΩ</v>
      </c>
      <c r="E39" s="155"/>
      <c r="F39" s="151"/>
      <c r="G39" s="166"/>
      <c r="H39" s="167"/>
      <c r="I39" s="213"/>
      <c r="J39" s="226"/>
      <c r="K39" s="166"/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67"/>
      <c r="Y39" s="167"/>
      <c r="Z39" s="167"/>
      <c r="AA39" s="167"/>
      <c r="AB39" s="167"/>
      <c r="AC39" s="167"/>
      <c r="AD39" s="167"/>
      <c r="AE39" s="167"/>
      <c r="AF39" s="167"/>
      <c r="AG39" s="167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167"/>
      <c r="AT39" s="167"/>
      <c r="AU39" s="167"/>
      <c r="AV39" s="167"/>
      <c r="AW39" s="167"/>
      <c r="AX39" s="167"/>
      <c r="AY39" s="167"/>
      <c r="AZ39" s="167"/>
      <c r="BA39" s="167"/>
      <c r="BB39" s="167"/>
      <c r="BC39" s="167"/>
      <c r="BD39" s="167"/>
      <c r="BE39" s="167"/>
      <c r="BF39" s="167"/>
      <c r="BG39" s="167"/>
      <c r="BH39" s="167"/>
      <c r="BI39" s="167"/>
      <c r="BJ39" s="167"/>
      <c r="BK39" s="167"/>
      <c r="BL39" s="167"/>
      <c r="BM39" s="167"/>
      <c r="BN39" s="167"/>
      <c r="BO39" s="167"/>
      <c r="BP39" s="167"/>
      <c r="BQ39" s="167"/>
      <c r="BR39" s="167"/>
      <c r="BS39" s="167"/>
      <c r="BT39" s="167"/>
      <c r="BU39" s="167"/>
      <c r="BV39" s="167"/>
      <c r="BW39" s="167"/>
      <c r="BX39" s="167"/>
      <c r="BY39" s="167"/>
      <c r="BZ39" s="167"/>
      <c r="CA39" s="167"/>
      <c r="CB39" s="167"/>
      <c r="CC39" s="167"/>
      <c r="CD39" s="167"/>
      <c r="CE39" s="167"/>
      <c r="CF39" s="167"/>
      <c r="CG39" s="167"/>
      <c r="CH39" s="167"/>
      <c r="CI39" s="167"/>
      <c r="CJ39" s="167"/>
      <c r="CK39" s="167"/>
      <c r="CL39" s="167"/>
      <c r="CM39" s="167"/>
      <c r="CN39" s="167"/>
      <c r="CO39" s="167"/>
      <c r="CP39" s="167"/>
      <c r="CQ39" s="167"/>
      <c r="CR39" s="167"/>
      <c r="CS39" s="167"/>
      <c r="CT39" s="167"/>
      <c r="CU39" s="167"/>
      <c r="CV39" s="167"/>
      <c r="CW39" s="167"/>
      <c r="CX39" s="167"/>
      <c r="CY39" s="167"/>
      <c r="CZ39" s="167"/>
      <c r="DA39" s="167"/>
      <c r="DB39" s="167"/>
      <c r="DC39" s="167"/>
      <c r="DD39" s="167"/>
      <c r="DE39" s="167"/>
      <c r="DF39" s="167"/>
      <c r="DG39" s="167"/>
      <c r="DH39" s="167"/>
      <c r="DI39" s="167"/>
      <c r="DJ39" s="167"/>
      <c r="DK39" s="167"/>
      <c r="DL39" s="167"/>
      <c r="DM39" s="167"/>
      <c r="DN39" s="167"/>
      <c r="DO39" s="167"/>
      <c r="DP39" s="167"/>
      <c r="DQ39" s="167"/>
      <c r="DR39" s="167"/>
      <c r="DS39" s="167"/>
      <c r="DT39" s="167"/>
      <c r="DU39" s="167"/>
      <c r="DV39" s="167"/>
      <c r="DW39" s="167"/>
      <c r="DX39" s="167"/>
      <c r="DY39" s="167"/>
      <c r="DZ39" s="167"/>
      <c r="EA39" s="167"/>
      <c r="EB39" s="167"/>
      <c r="EC39" s="167"/>
      <c r="ED39" s="167"/>
      <c r="EE39" s="167"/>
      <c r="EF39" s="167"/>
      <c r="EG39" s="167"/>
      <c r="EH39" s="167"/>
      <c r="EI39" s="167"/>
      <c r="EJ39" s="167"/>
      <c r="EK39" s="167"/>
      <c r="EL39" s="167"/>
      <c r="EM39" s="167"/>
      <c r="EN39" s="167"/>
      <c r="EO39" s="167"/>
      <c r="EP39" s="167"/>
      <c r="EQ39" s="167"/>
      <c r="ER39" s="167"/>
      <c r="ES39" s="167"/>
      <c r="ET39" s="167"/>
      <c r="EU39" s="167"/>
      <c r="EV39" s="167"/>
      <c r="EW39" s="167"/>
      <c r="EX39" s="167"/>
      <c r="EY39" s="167"/>
      <c r="EZ39" s="167"/>
      <c r="FA39" s="167"/>
      <c r="FB39" s="167"/>
      <c r="FC39" s="167"/>
      <c r="FD39" s="167"/>
      <c r="FE39" s="167"/>
      <c r="FF39" s="167"/>
      <c r="FG39" s="167"/>
      <c r="FH39" s="167"/>
      <c r="FI39" s="167"/>
      <c r="FJ39" s="167"/>
      <c r="FK39" s="167"/>
      <c r="FL39" s="167"/>
      <c r="FM39" s="167"/>
      <c r="FN39" s="167"/>
      <c r="FO39" s="167"/>
      <c r="FP39" s="167"/>
      <c r="FQ39" s="167"/>
      <c r="FR39" s="167"/>
      <c r="FS39" s="167"/>
      <c r="FT39" s="167"/>
      <c r="FU39" s="167"/>
      <c r="FV39" s="167"/>
      <c r="FW39" s="167"/>
      <c r="FX39" s="167"/>
      <c r="FY39" s="167"/>
      <c r="FZ39" s="167"/>
      <c r="GA39" s="167"/>
      <c r="GB39" s="167"/>
      <c r="GC39" s="167"/>
      <c r="GD39" s="167"/>
      <c r="GE39" s="167"/>
      <c r="GF39" s="167"/>
      <c r="GG39" s="167"/>
      <c r="GH39" s="167"/>
      <c r="GI39" s="167"/>
      <c r="GJ39" s="167"/>
      <c r="GK39" s="167"/>
      <c r="GL39" s="167"/>
      <c r="GM39" s="167"/>
      <c r="GN39" s="167"/>
      <c r="GO39" s="167"/>
      <c r="GP39" s="167"/>
      <c r="GQ39" s="167"/>
      <c r="GR39" s="167"/>
      <c r="GS39" s="167"/>
      <c r="GT39" s="167"/>
      <c r="GU39" s="167"/>
      <c r="GV39" s="167"/>
      <c r="GW39" s="167"/>
      <c r="GX39" s="167"/>
      <c r="GY39" s="167"/>
      <c r="GZ39" s="167"/>
      <c r="HA39" s="167"/>
      <c r="HB39" s="167"/>
      <c r="HC39" s="167"/>
      <c r="HD39" s="167"/>
      <c r="HE39" s="167"/>
      <c r="HF39" s="167"/>
      <c r="HG39" s="167"/>
      <c r="HH39" s="167"/>
      <c r="HI39" s="167"/>
      <c r="HJ39" s="167"/>
      <c r="HK39" s="167"/>
      <c r="HL39" s="167"/>
      <c r="HM39" s="167"/>
      <c r="HN39" s="167"/>
      <c r="HO39" s="167"/>
      <c r="HP39" s="167"/>
      <c r="HQ39" s="167"/>
      <c r="HR39" s="167"/>
      <c r="HS39" s="167"/>
      <c r="HT39" s="167"/>
      <c r="HU39" s="167"/>
      <c r="HV39" s="167"/>
      <c r="HW39" s="167"/>
      <c r="HX39" s="167"/>
      <c r="HY39" s="167"/>
      <c r="HZ39" s="167"/>
      <c r="IA39" s="167"/>
      <c r="IB39" s="167"/>
      <c r="IC39" s="167"/>
      <c r="ID39" s="167"/>
      <c r="IE39" s="167"/>
      <c r="IF39" s="167"/>
      <c r="IG39" s="167"/>
      <c r="IH39" s="167"/>
      <c r="II39" s="167"/>
      <c r="IJ39" s="167"/>
      <c r="IK39" s="167"/>
      <c r="IL39" s="167"/>
      <c r="IM39" s="167"/>
      <c r="IN39" s="167"/>
      <c r="IO39" s="167"/>
      <c r="IP39" s="167"/>
      <c r="IQ39" s="167"/>
      <c r="IR39" s="167"/>
      <c r="IS39" s="167"/>
      <c r="IT39" s="167"/>
      <c r="IU39" s="167"/>
      <c r="IV39" s="167"/>
    </row>
    <row r="40" spans="1:256" ht="15" x14ac:dyDescent="0.25">
      <c r="A40" s="213"/>
      <c r="B40" s="128" t="s">
        <v>120</v>
      </c>
      <c r="C40" s="127" t="s">
        <v>24</v>
      </c>
      <c r="D40" s="286" t="s">
        <v>9</v>
      </c>
      <c r="E40" s="287"/>
      <c r="F40" s="288"/>
      <c r="G40" s="127" t="s">
        <v>8</v>
      </c>
      <c r="H40" s="135" t="s">
        <v>422</v>
      </c>
      <c r="I40" s="227"/>
      <c r="J40" s="217"/>
      <c r="M40" s="157"/>
    </row>
    <row r="41" spans="1:256" x14ac:dyDescent="0.2">
      <c r="A41" s="209"/>
      <c r="B41" s="170"/>
      <c r="C41" s="171"/>
      <c r="D41" s="171"/>
      <c r="E41" s="171"/>
      <c r="F41" s="151"/>
      <c r="G41" s="170"/>
      <c r="H41" s="169"/>
      <c r="I41" s="228"/>
      <c r="J41" s="217"/>
      <c r="M41" s="157"/>
    </row>
    <row r="42" spans="1:256" x14ac:dyDescent="0.2">
      <c r="A42" s="209"/>
      <c r="B42" s="281" t="s">
        <v>36</v>
      </c>
      <c r="C42" s="281"/>
      <c r="D42" s="172"/>
      <c r="E42" s="172"/>
      <c r="F42" s="173"/>
      <c r="G42" s="174"/>
      <c r="H42" s="175"/>
      <c r="I42" s="228"/>
      <c r="J42" s="217"/>
      <c r="M42" s="157"/>
    </row>
    <row r="43" spans="1:256" x14ac:dyDescent="0.2">
      <c r="A43" s="209"/>
      <c r="B43" s="189"/>
      <c r="C43" s="141" t="s">
        <v>198</v>
      </c>
      <c r="D43" s="99">
        <f>MIN(1-toffmin*fsw,95)</f>
        <v>0.8125</v>
      </c>
      <c r="E43" s="99">
        <f>tonmin*fsw</f>
        <v>7.4999999999999997E-2</v>
      </c>
      <c r="F43" s="143"/>
      <c r="G43" s="140"/>
      <c r="H43" s="190" t="s">
        <v>432</v>
      </c>
      <c r="I43" s="228"/>
      <c r="J43" s="217"/>
      <c r="M43" s="157"/>
    </row>
    <row r="44" spans="1:256" x14ac:dyDescent="0.2">
      <c r="A44" s="209"/>
      <c r="B44" s="191">
        <v>11</v>
      </c>
      <c r="C44" s="141" t="s">
        <v>194</v>
      </c>
      <c r="D44" s="99">
        <f>(Vout-Vin_Nom)/(Vout)</f>
        <v>0.75</v>
      </c>
      <c r="E44" s="143"/>
      <c r="F44" s="143"/>
      <c r="G44" s="192"/>
      <c r="H44" s="143" t="s">
        <v>195</v>
      </c>
      <c r="I44" s="213"/>
      <c r="J44" s="217"/>
    </row>
    <row r="45" spans="1:256" x14ac:dyDescent="0.2">
      <c r="A45" s="209"/>
      <c r="B45" s="191">
        <v>11</v>
      </c>
      <c r="C45" s="141" t="s">
        <v>302</v>
      </c>
      <c r="D45" s="99">
        <f>(Vout-Vin_Min)/(Vout)</f>
        <v>0.79166666666666663</v>
      </c>
      <c r="E45" s="143"/>
      <c r="F45" s="143"/>
      <c r="G45" s="192"/>
      <c r="H45" s="143" t="s">
        <v>196</v>
      </c>
      <c r="I45" s="213"/>
      <c r="J45" s="217"/>
    </row>
    <row r="46" spans="1:256" x14ac:dyDescent="0.2">
      <c r="A46" s="209"/>
      <c r="B46" s="191">
        <v>11</v>
      </c>
      <c r="C46" s="141" t="s">
        <v>303</v>
      </c>
      <c r="D46" s="99">
        <f>(Vout-Vin_Max)/(Vout)</f>
        <v>0.73749999999999993</v>
      </c>
      <c r="E46" s="143"/>
      <c r="F46" s="143"/>
      <c r="G46" s="192"/>
      <c r="H46" s="143" t="s">
        <v>197</v>
      </c>
      <c r="I46" s="213"/>
      <c r="J46" s="217"/>
    </row>
    <row r="47" spans="1:256" x14ac:dyDescent="0.2">
      <c r="A47" s="209"/>
      <c r="B47" s="191" t="s">
        <v>344</v>
      </c>
      <c r="C47" s="141" t="s">
        <v>334</v>
      </c>
      <c r="D47" s="125">
        <f>Dmin/tonmin</f>
        <v>7375000</v>
      </c>
      <c r="E47" s="125">
        <f>(1-Dmax)/(toffmin)</f>
        <v>833333.33333333349</v>
      </c>
      <c r="F47" s="143"/>
      <c r="G47" s="192" t="s">
        <v>5</v>
      </c>
      <c r="H47" s="143" t="s">
        <v>433</v>
      </c>
      <c r="I47" s="213"/>
      <c r="J47" s="217"/>
    </row>
    <row r="48" spans="1:256" x14ac:dyDescent="0.2">
      <c r="A48" s="209"/>
      <c r="B48" s="191">
        <v>14</v>
      </c>
      <c r="C48" s="141" t="s">
        <v>434</v>
      </c>
      <c r="D48" s="102">
        <f>57500/(fsw/1000)*1000</f>
        <v>76666.666666666672</v>
      </c>
      <c r="E48" s="101">
        <f>(IF((10^(LOG(D48)-INT(LOG(D48)))*100)-VLOOKUP((10^(LOG(D48)-INT(LOG(D48)))*100),E96_s:E96_f,1)&lt;VLOOKUP((10^(LOG(D48)-INT(LOG(D48)))*100),E96_s:E96_f,2)-(10^(LOG(D48)-INT(LOG(D48)))*100),VLOOKUP((10^(LOG(D48)-INT(LOG(D48)))*100),E96_s:E96_f,1),VLOOKUP((10^(LOG(D48)-INT(LOG(D48)))*100),E96_s:E96_f,2)))*10^INT(LOG(D48))/100</f>
        <v>76800</v>
      </c>
      <c r="F48" s="143"/>
      <c r="G48" s="192" t="s">
        <v>29</v>
      </c>
      <c r="H48" s="143" t="s">
        <v>264</v>
      </c>
      <c r="I48" s="213"/>
      <c r="J48" s="217"/>
      <c r="M48" s="157"/>
    </row>
    <row r="49" spans="1:41" x14ac:dyDescent="0.2">
      <c r="A49" s="209"/>
      <c r="B49" s="191"/>
      <c r="C49" s="141" t="s">
        <v>435</v>
      </c>
      <c r="D49" s="100">
        <f>E48</f>
        <v>76800</v>
      </c>
      <c r="E49" s="236"/>
      <c r="F49" s="143"/>
      <c r="G49" s="192" t="s">
        <v>29</v>
      </c>
      <c r="H49" s="143" t="s">
        <v>107</v>
      </c>
      <c r="I49" s="213"/>
      <c r="J49" s="217"/>
      <c r="M49" s="157"/>
    </row>
    <row r="50" spans="1:41" x14ac:dyDescent="0.2">
      <c r="A50" s="209"/>
      <c r="B50" s="170"/>
      <c r="C50" s="151"/>
      <c r="D50" s="151"/>
      <c r="E50" s="176"/>
      <c r="F50" s="177"/>
      <c r="G50" s="155"/>
      <c r="H50" s="151"/>
      <c r="I50" s="213"/>
      <c r="J50" s="217"/>
    </row>
    <row r="51" spans="1:41" x14ac:dyDescent="0.2">
      <c r="A51" s="209"/>
      <c r="B51" s="281" t="s">
        <v>111</v>
      </c>
      <c r="C51" s="281"/>
      <c r="D51" s="172"/>
      <c r="E51" s="172"/>
      <c r="F51" s="172"/>
      <c r="G51" s="178"/>
      <c r="H51" s="172"/>
      <c r="I51" s="229"/>
      <c r="J51" s="230"/>
      <c r="M51" s="171"/>
      <c r="N51" s="171"/>
      <c r="AO51" s="179"/>
    </row>
    <row r="52" spans="1:41" x14ac:dyDescent="0.2">
      <c r="A52" s="209"/>
      <c r="B52" s="191">
        <v>15</v>
      </c>
      <c r="C52" s="141" t="s">
        <v>317</v>
      </c>
      <c r="D52" s="124">
        <f>Iout/(1-Dmax)</f>
        <v>4.7999999999999989</v>
      </c>
      <c r="E52" s="143"/>
      <c r="F52" s="156"/>
      <c r="G52" s="192" t="s">
        <v>2</v>
      </c>
      <c r="H52" s="143" t="s">
        <v>343</v>
      </c>
      <c r="I52" s="213"/>
      <c r="J52" s="217"/>
    </row>
    <row r="53" spans="1:41" x14ac:dyDescent="0.2">
      <c r="A53" s="209"/>
      <c r="B53" s="191"/>
      <c r="C53" s="141" t="s">
        <v>4</v>
      </c>
      <c r="D53" s="91">
        <v>0.3</v>
      </c>
      <c r="E53" s="143"/>
      <c r="F53" s="143"/>
      <c r="G53" s="192"/>
      <c r="H53" s="143" t="s">
        <v>110</v>
      </c>
      <c r="I53" s="213"/>
      <c r="J53" s="217"/>
    </row>
    <row r="54" spans="1:41" x14ac:dyDescent="0.2">
      <c r="A54" s="209"/>
      <c r="B54" s="191"/>
      <c r="C54" s="141" t="s">
        <v>312</v>
      </c>
      <c r="D54" s="124">
        <f>Iout/(1-Dmax)*Kind</f>
        <v>1.4399999999999997</v>
      </c>
      <c r="E54" s="143"/>
      <c r="F54" s="143"/>
      <c r="G54" s="192" t="s">
        <v>2</v>
      </c>
      <c r="H54" s="143" t="s">
        <v>309</v>
      </c>
      <c r="I54" s="213"/>
      <c r="J54" s="217"/>
    </row>
    <row r="55" spans="1:41" x14ac:dyDescent="0.2">
      <c r="A55" s="209"/>
      <c r="B55" s="191">
        <v>17</v>
      </c>
      <c r="C55" s="141" t="s">
        <v>306</v>
      </c>
      <c r="D55" s="88">
        <f>Vin_Max*Dmin/(fsw*Iout/(1-Dmax)*Kind)</f>
        <v>4.302083333333334E-6</v>
      </c>
      <c r="E55" s="143"/>
      <c r="F55" s="143"/>
      <c r="G55" s="192" t="s">
        <v>6</v>
      </c>
      <c r="H55" s="190" t="s">
        <v>454</v>
      </c>
      <c r="I55" s="231"/>
      <c r="J55" s="217"/>
      <c r="M55" s="157"/>
    </row>
    <row r="56" spans="1:41" x14ac:dyDescent="0.2">
      <c r="A56" s="209"/>
      <c r="B56" s="191">
        <v>17</v>
      </c>
      <c r="C56" s="141" t="s">
        <v>307</v>
      </c>
      <c r="D56" s="88">
        <f>Vin_Min*Dmax/(fsw*Iout/(1-Dmax)*Kind)</f>
        <v>3.665123456790124E-6</v>
      </c>
      <c r="E56" s="143"/>
      <c r="F56" s="143"/>
      <c r="G56" s="192" t="s">
        <v>6</v>
      </c>
      <c r="H56" s="190" t="s">
        <v>455</v>
      </c>
      <c r="I56" s="231"/>
      <c r="J56" s="217"/>
      <c r="M56" s="157"/>
    </row>
    <row r="57" spans="1:41" x14ac:dyDescent="0.2">
      <c r="A57" s="209"/>
      <c r="B57" s="191">
        <v>16</v>
      </c>
      <c r="C57" s="141" t="s">
        <v>308</v>
      </c>
      <c r="D57" s="88" t="str">
        <f>IF(Dmax&lt;50%,"n/a",IF(Dmin&gt;50%,"n/a",Vout/(4*fsw*Iout/(1-Dmax)*Kind)))</f>
        <v>n/a</v>
      </c>
      <c r="E57" s="143"/>
      <c r="F57" s="143"/>
      <c r="G57" s="192" t="s">
        <v>6</v>
      </c>
      <c r="H57" s="190" t="s">
        <v>456</v>
      </c>
      <c r="I57" s="231"/>
      <c r="J57" s="217"/>
      <c r="M57" s="157"/>
    </row>
    <row r="58" spans="1:41" x14ac:dyDescent="0.2">
      <c r="A58" s="209"/>
      <c r="B58" s="191"/>
      <c r="C58" s="141" t="s">
        <v>436</v>
      </c>
      <c r="D58" s="100">
        <v>4.6999999999999999E-6</v>
      </c>
      <c r="E58" s="144"/>
      <c r="F58" s="143"/>
      <c r="G58" s="192" t="s">
        <v>6</v>
      </c>
      <c r="H58" s="190" t="s">
        <v>438</v>
      </c>
      <c r="I58" s="231"/>
      <c r="J58" s="217"/>
      <c r="M58" s="157"/>
    </row>
    <row r="59" spans="1:41" x14ac:dyDescent="0.2">
      <c r="A59" s="209"/>
      <c r="B59" s="191"/>
      <c r="C59" s="141" t="s">
        <v>27</v>
      </c>
      <c r="D59" s="107">
        <v>1.95E-2</v>
      </c>
      <c r="E59" s="143"/>
      <c r="F59" s="143"/>
      <c r="G59" s="192" t="s">
        <v>29</v>
      </c>
      <c r="H59" s="143" t="s">
        <v>437</v>
      </c>
      <c r="I59" s="213"/>
      <c r="J59" s="217"/>
    </row>
    <row r="60" spans="1:41" x14ac:dyDescent="0.2">
      <c r="A60" s="209"/>
      <c r="B60" s="191"/>
      <c r="C60" s="193" t="s">
        <v>202</v>
      </c>
      <c r="D60" s="90">
        <f>Vin_Min*Dmax/(L*fsw)</f>
        <v>1.1229314420803782</v>
      </c>
      <c r="E60" s="90">
        <f>Vin_Nom*Dnom/(L*fsw)</f>
        <v>1.2765957446808511</v>
      </c>
      <c r="F60" s="90">
        <f>Vin_Max*Dmin/(L*fsw)</f>
        <v>1.3180851063829786</v>
      </c>
      <c r="G60" s="192" t="s">
        <v>2</v>
      </c>
      <c r="H60" s="143" t="s">
        <v>118</v>
      </c>
      <c r="I60" s="213"/>
      <c r="J60" s="217"/>
    </row>
    <row r="61" spans="1:41" x14ac:dyDescent="0.2">
      <c r="A61" s="209"/>
      <c r="B61" s="191">
        <v>48</v>
      </c>
      <c r="C61" s="141" t="s">
        <v>30</v>
      </c>
      <c r="D61" s="90">
        <f>((Vout-Vin_Min)*Vin_Min^2)/(2*(Vout)^2*fsw*L)</f>
        <v>0.11697202521670608</v>
      </c>
      <c r="E61" s="90">
        <f>((Vout-Vin_Nom)*Vin_Nom^2)/(2*(Vout)^2*fsw*L)</f>
        <v>0.15957446808510639</v>
      </c>
      <c r="F61" s="90">
        <f>((Vout-Vin_Max)*Vin_Max^2)/(2*(Vout)^2*fsw*L)</f>
        <v>0.17299867021276594</v>
      </c>
      <c r="G61" s="192" t="s">
        <v>2</v>
      </c>
      <c r="H61" s="143" t="s">
        <v>345</v>
      </c>
      <c r="I61" s="232"/>
      <c r="J61" s="217"/>
      <c r="M61" s="176"/>
    </row>
    <row r="62" spans="1:41" x14ac:dyDescent="0.2">
      <c r="A62" s="209"/>
      <c r="B62" s="191"/>
      <c r="C62" s="141" t="s">
        <v>338</v>
      </c>
      <c r="D62" s="90">
        <f>Vin_Min^2*fsw*tonmin^2/(2*L*(Vout-Vin_Min))</f>
        <v>1.0498320268756997E-3</v>
      </c>
      <c r="E62" s="90">
        <f>Vin_Nom^2*fsw*tonmin^2/(2*L*(Vout-Vin_Nom))</f>
        <v>1.5957446808510635E-3</v>
      </c>
      <c r="F62" s="90">
        <f>Vin_Max^2*fsw*tonmin^2/(2*L*(Vout-Vin_Max))</f>
        <v>1.7891272989542012E-3</v>
      </c>
      <c r="G62" s="192" t="s">
        <v>2</v>
      </c>
      <c r="H62" s="143" t="s">
        <v>346</v>
      </c>
      <c r="I62" s="232"/>
      <c r="J62" s="217"/>
      <c r="M62" s="176"/>
    </row>
    <row r="63" spans="1:41" x14ac:dyDescent="0.2">
      <c r="A63" s="209"/>
      <c r="B63" s="191">
        <v>18</v>
      </c>
      <c r="C63" s="141" t="s">
        <v>203</v>
      </c>
      <c r="D63" s="90">
        <f>(SQRT((Iout/(1-Dmax))^2+(Iripple/12)^2))</f>
        <v>4.8009120769909233</v>
      </c>
      <c r="E63" s="90">
        <f>(SQRT((Iout/(1-Dnom))^2+(E60/12)^2))</f>
        <v>4.0014144171982569</v>
      </c>
      <c r="F63" s="90">
        <f>(SQRT((Iout/(1-Dmin))^2+(F60/12)^2))</f>
        <v>3.8111070011756194</v>
      </c>
      <c r="G63" s="192" t="s">
        <v>2</v>
      </c>
      <c r="H63" s="145" t="s">
        <v>63</v>
      </c>
      <c r="I63" s="232"/>
      <c r="J63" s="217"/>
    </row>
    <row r="64" spans="1:41" x14ac:dyDescent="0.2">
      <c r="A64" s="209"/>
      <c r="B64" s="191">
        <v>19</v>
      </c>
      <c r="C64" s="141" t="s">
        <v>204</v>
      </c>
      <c r="D64" s="90">
        <f>Iout/(1-Dmax)+Iripple/2</f>
        <v>5.3614657210401884</v>
      </c>
      <c r="E64" s="90">
        <f>1.2*Ilpeak</f>
        <v>6.433758865248226</v>
      </c>
      <c r="F64" s="143"/>
      <c r="G64" s="192" t="s">
        <v>2</v>
      </c>
      <c r="H64" s="143" t="s">
        <v>119</v>
      </c>
      <c r="I64" s="232"/>
      <c r="J64" s="217"/>
      <c r="M64" s="176"/>
    </row>
    <row r="65" spans="1:41" x14ac:dyDescent="0.2">
      <c r="A65" s="209"/>
      <c r="B65" s="191"/>
      <c r="C65" s="141" t="s">
        <v>205</v>
      </c>
      <c r="D65" s="90">
        <f>Ilrms^2*DCR</f>
        <v>0.44945075703444737</v>
      </c>
      <c r="E65" s="90">
        <f>E63^2*DCR</f>
        <v>0.31222068809416026</v>
      </c>
      <c r="F65" s="90">
        <f>F63^2*DCR</f>
        <v>0.28322846320099154</v>
      </c>
      <c r="G65" s="192" t="s">
        <v>12</v>
      </c>
      <c r="H65" s="143" t="s">
        <v>347</v>
      </c>
      <c r="I65" s="213"/>
      <c r="J65" s="217"/>
    </row>
    <row r="66" spans="1:41" x14ac:dyDescent="0.2">
      <c r="A66" s="209"/>
      <c r="B66" s="158"/>
      <c r="C66" s="159"/>
      <c r="D66" s="176"/>
      <c r="E66" s="176"/>
      <c r="F66" s="176"/>
      <c r="G66" s="155"/>
      <c r="H66" s="151"/>
      <c r="I66" s="213"/>
      <c r="J66" s="217"/>
    </row>
    <row r="67" spans="1:41" x14ac:dyDescent="0.2">
      <c r="A67" s="209"/>
      <c r="B67" s="281" t="s">
        <v>407</v>
      </c>
      <c r="C67" s="281"/>
      <c r="D67" s="172"/>
      <c r="E67" s="172"/>
      <c r="F67" s="172"/>
      <c r="G67" s="178"/>
      <c r="H67" s="172"/>
      <c r="I67" s="229"/>
      <c r="J67" s="230"/>
      <c r="M67" s="171"/>
      <c r="N67" s="171"/>
      <c r="AO67" s="179"/>
    </row>
    <row r="68" spans="1:41" x14ac:dyDescent="0.2">
      <c r="A68" s="209"/>
      <c r="B68" s="191">
        <v>20</v>
      </c>
      <c r="C68" s="141" t="s">
        <v>337</v>
      </c>
      <c r="D68" s="90">
        <f>(0.000003*(Dmax*100)^3 - 0.0019*(Dmax*100)^2 + 0.023*(Dmax*100) + 73.402)/1000</f>
        <v>6.4803345486111108E-2</v>
      </c>
      <c r="E68" s="90">
        <f>(0.000003*(Dnom*100)^3 - 0.0019*(Dnom*100)^2 + 0.023*(Dnom*100) + 73.402)/1000</f>
        <v>6.5705124999999989E-2</v>
      </c>
      <c r="F68" s="90">
        <f>(0.000003*(Dmin*100)^3 - 0.0019*(Dmin*100)^2 + 0.023*(Dmin*100) + 73.402)/1000</f>
        <v>6.596742382812501E-2</v>
      </c>
      <c r="G68" s="192" t="s">
        <v>3</v>
      </c>
      <c r="H68" s="143" t="s">
        <v>349</v>
      </c>
      <c r="I68" s="213"/>
      <c r="J68" s="217"/>
    </row>
    <row r="69" spans="1:41" x14ac:dyDescent="0.2">
      <c r="A69" s="209"/>
      <c r="B69" s="191"/>
      <c r="C69" s="141" t="s">
        <v>199</v>
      </c>
      <c r="D69" s="90">
        <f>((0.000003*Dmax*100^3 - 0.0019*Dmax*100^2 + 0.023*Dmax*100 + 73.402)-10)/1000</f>
        <v>5.2556166666666668E-2</v>
      </c>
      <c r="E69" s="90">
        <f>((0.000003*Dnom*100^3 - 0.0019*Dnom*100^2 + 0.023*Dnom*100 + 73.402)-10)/1000</f>
        <v>5.3127000000000001E-2</v>
      </c>
      <c r="F69" s="90">
        <f>((0.000003*(Dmin*100)^3 - 0.0019*(Dmin*100)^2 + 0.023*(Dmin*100) + 73.402)-10)/1000</f>
        <v>5.5967423828125008E-2</v>
      </c>
      <c r="G69" s="192" t="s">
        <v>3</v>
      </c>
      <c r="H69" s="143" t="s">
        <v>350</v>
      </c>
      <c r="I69" s="213"/>
      <c r="J69" s="217"/>
    </row>
    <row r="70" spans="1:41" x14ac:dyDescent="0.2">
      <c r="A70" s="209"/>
      <c r="B70" s="191">
        <v>21</v>
      </c>
      <c r="C70" s="141" t="s">
        <v>200</v>
      </c>
      <c r="D70" s="88">
        <f>Vcs/(1.2*Ilpeak)</f>
        <v>8.168812006702237E-3</v>
      </c>
      <c r="E70" s="144"/>
      <c r="F70" s="149"/>
      <c r="G70" s="192" t="s">
        <v>29</v>
      </c>
      <c r="H70" s="143" t="s">
        <v>353</v>
      </c>
      <c r="I70" s="229"/>
      <c r="J70" s="230"/>
      <c r="M70" s="171"/>
      <c r="N70" s="171"/>
    </row>
    <row r="71" spans="1:41" x14ac:dyDescent="0.2">
      <c r="A71" s="209"/>
      <c r="B71" s="191"/>
      <c r="C71" s="141" t="s">
        <v>439</v>
      </c>
      <c r="D71" s="107">
        <v>0.01</v>
      </c>
      <c r="E71" s="144"/>
      <c r="F71" s="194"/>
      <c r="G71" s="192" t="s">
        <v>29</v>
      </c>
      <c r="H71" s="143" t="s">
        <v>207</v>
      </c>
      <c r="I71" s="229"/>
      <c r="J71" s="230"/>
      <c r="M71" s="171"/>
      <c r="N71" s="171"/>
    </row>
    <row r="72" spans="1:41" x14ac:dyDescent="0.2">
      <c r="A72" s="209"/>
      <c r="B72" s="191">
        <v>22</v>
      </c>
      <c r="C72" s="141" t="s">
        <v>201</v>
      </c>
      <c r="D72" s="90">
        <f>(Vcs0duty_max)^2/Rsense</f>
        <v>0.67240000000000011</v>
      </c>
      <c r="E72" s="144"/>
      <c r="F72" s="148"/>
      <c r="G72" s="192" t="s">
        <v>12</v>
      </c>
      <c r="H72" s="143" t="s">
        <v>206</v>
      </c>
      <c r="I72" s="229"/>
      <c r="J72" s="230"/>
      <c r="M72" s="171"/>
      <c r="N72" s="171"/>
    </row>
    <row r="73" spans="1:41" x14ac:dyDescent="0.2">
      <c r="A73" s="209"/>
      <c r="B73" s="141"/>
      <c r="C73" s="141" t="s">
        <v>328</v>
      </c>
      <c r="D73" s="90">
        <f>(Vcs/Rsense)</f>
        <v>5.2556166666666666</v>
      </c>
      <c r="E73" s="90">
        <f>(E69)/Rsense</f>
        <v>5.3126999999999995</v>
      </c>
      <c r="F73" s="90">
        <f>(F69)/Rsense</f>
        <v>5.5967423828125007</v>
      </c>
      <c r="G73" s="192" t="s">
        <v>2</v>
      </c>
      <c r="H73" s="143" t="s">
        <v>332</v>
      </c>
      <c r="I73" s="229"/>
      <c r="J73" s="230"/>
      <c r="M73" s="171"/>
      <c r="N73" s="171"/>
    </row>
    <row r="74" spans="1:41" x14ac:dyDescent="0.2">
      <c r="A74" s="209"/>
      <c r="B74" s="191"/>
      <c r="C74" s="141" t="s">
        <v>324</v>
      </c>
      <c r="D74" s="90">
        <f>(D68)/Rsense</f>
        <v>6.4803345486111104</v>
      </c>
      <c r="E74" s="90">
        <f>(E68)/Rsense</f>
        <v>6.5705124999999986</v>
      </c>
      <c r="F74" s="90">
        <f>(F68)/Rsense</f>
        <v>6.5967423828125007</v>
      </c>
      <c r="G74" s="192" t="s">
        <v>2</v>
      </c>
      <c r="H74" s="143" t="s">
        <v>325</v>
      </c>
      <c r="I74" s="229"/>
      <c r="J74" s="230"/>
      <c r="M74" s="171"/>
      <c r="N74" s="171"/>
    </row>
    <row r="75" spans="1:41" x14ac:dyDescent="0.2">
      <c r="A75" s="209"/>
      <c r="B75" s="141"/>
      <c r="C75" s="141" t="s">
        <v>333</v>
      </c>
      <c r="D75" s="129">
        <v>0.93</v>
      </c>
      <c r="E75" s="129">
        <v>0.96</v>
      </c>
      <c r="F75" s="129">
        <v>0.97</v>
      </c>
      <c r="G75" s="192"/>
      <c r="H75" s="143" t="s">
        <v>333</v>
      </c>
      <c r="I75" s="229"/>
      <c r="J75" s="230"/>
      <c r="M75" s="171"/>
      <c r="N75" s="171"/>
    </row>
    <row r="76" spans="1:41" x14ac:dyDescent="0.2">
      <c r="A76" s="209"/>
      <c r="B76" s="141"/>
      <c r="C76" s="141" t="s">
        <v>326</v>
      </c>
      <c r="D76" s="90">
        <f>(D73-Iripple/2)*(1-Dmax)*D75</f>
        <v>0.90949174571513014</v>
      </c>
      <c r="E76" s="90">
        <f>(E73-E60/2)*(1-Dnom)*E75</f>
        <v>1.1218565106382978</v>
      </c>
      <c r="F76" s="90">
        <f>(F73-F60/2)*(1-Dmin)*F75</f>
        <v>1.2572618191172502</v>
      </c>
      <c r="G76" s="192" t="s">
        <v>2</v>
      </c>
      <c r="H76" s="143" t="s">
        <v>352</v>
      </c>
      <c r="I76" s="213"/>
      <c r="J76" s="217"/>
    </row>
    <row r="77" spans="1:41" x14ac:dyDescent="0.2">
      <c r="A77" s="209"/>
      <c r="B77" s="191"/>
      <c r="C77" s="141" t="s">
        <v>326</v>
      </c>
      <c r="D77" s="90">
        <f>(D74-Iripple/2)*(1-Dmax)*D75</f>
        <v>1.146780835341866</v>
      </c>
      <c r="E77" s="90">
        <f>(E74-E60/2)*(1-Dnom)*E75</f>
        <v>1.4237315106382975</v>
      </c>
      <c r="F77" s="90">
        <f>(F74-F60/2)*(1-Dmin)*F75</f>
        <v>1.5118868191172503</v>
      </c>
      <c r="G77" s="192" t="s">
        <v>2</v>
      </c>
      <c r="H77" s="143" t="s">
        <v>351</v>
      </c>
      <c r="I77" s="213"/>
      <c r="J77" s="217"/>
    </row>
    <row r="78" spans="1:41" x14ac:dyDescent="0.2">
      <c r="A78" s="209"/>
      <c r="B78" s="158"/>
      <c r="C78" s="151"/>
      <c r="D78" s="176"/>
      <c r="E78" s="176"/>
      <c r="F78" s="151"/>
      <c r="G78" s="155"/>
      <c r="H78" s="151"/>
      <c r="I78" s="213"/>
      <c r="J78" s="217"/>
    </row>
    <row r="79" spans="1:41" x14ac:dyDescent="0.2">
      <c r="A79" s="209"/>
      <c r="B79" s="281" t="s">
        <v>113</v>
      </c>
      <c r="C79" s="281"/>
      <c r="D79" s="172"/>
      <c r="E79" s="172"/>
      <c r="F79" s="172"/>
      <c r="G79" s="178"/>
      <c r="H79" s="180"/>
      <c r="I79" s="231"/>
      <c r="J79" s="217"/>
      <c r="M79" s="157"/>
    </row>
    <row r="80" spans="1:41" x14ac:dyDescent="0.2">
      <c r="A80" s="209"/>
      <c r="B80" s="191">
        <v>24</v>
      </c>
      <c r="C80" s="141" t="s">
        <v>208</v>
      </c>
      <c r="D80" s="89">
        <f>(Dmax*Iout)/(fsw*Vout_ripple)</f>
        <v>8.7962962962962956E-6</v>
      </c>
      <c r="E80" s="143"/>
      <c r="F80" s="143"/>
      <c r="G80" s="192" t="s">
        <v>7</v>
      </c>
      <c r="H80" s="195" t="s">
        <v>124</v>
      </c>
      <c r="I80" s="213"/>
      <c r="J80" s="217"/>
      <c r="M80" s="157"/>
    </row>
    <row r="81" spans="1:253" x14ac:dyDescent="0.2">
      <c r="A81" s="209"/>
      <c r="B81" s="191">
        <v>23</v>
      </c>
      <c r="C81" s="141" t="s">
        <v>209</v>
      </c>
      <c r="D81" s="89">
        <f>dItran/(2*PI()*Fco_target*dVtran)</f>
        <v>9.3999999999999998E-6</v>
      </c>
      <c r="E81" s="143"/>
      <c r="F81" s="143"/>
      <c r="G81" s="192" t="s">
        <v>7</v>
      </c>
      <c r="H81" s="195" t="s">
        <v>125</v>
      </c>
      <c r="I81" s="213"/>
      <c r="J81" s="217"/>
      <c r="M81" s="157"/>
    </row>
    <row r="82" spans="1:253" x14ac:dyDescent="0.2">
      <c r="A82" s="209"/>
      <c r="B82" s="191"/>
      <c r="C82" s="141" t="s">
        <v>210</v>
      </c>
      <c r="D82" s="90">
        <f>Vout_ripple/Iin_max</f>
        <v>2.5000000000000005E-2</v>
      </c>
      <c r="E82" s="146"/>
      <c r="F82" s="143"/>
      <c r="G82" s="192" t="s">
        <v>29</v>
      </c>
      <c r="H82" s="143" t="s">
        <v>211</v>
      </c>
      <c r="I82" s="213"/>
      <c r="J82" s="217"/>
      <c r="M82" s="157"/>
    </row>
    <row r="83" spans="1:253" x14ac:dyDescent="0.2">
      <c r="A83" s="209"/>
      <c r="B83" s="191"/>
      <c r="C83" s="141" t="s">
        <v>440</v>
      </c>
      <c r="D83" s="100">
        <f>MAX(D80:D81)</f>
        <v>9.3999999999999998E-6</v>
      </c>
      <c r="E83" s="143"/>
      <c r="F83" s="143"/>
      <c r="G83" s="192" t="s">
        <v>7</v>
      </c>
      <c r="H83" s="143" t="s">
        <v>430</v>
      </c>
      <c r="I83" s="213"/>
      <c r="J83" s="217"/>
      <c r="M83" s="157"/>
    </row>
    <row r="84" spans="1:253" x14ac:dyDescent="0.2">
      <c r="A84" s="209"/>
      <c r="B84" s="191"/>
      <c r="C84" s="141" t="s">
        <v>441</v>
      </c>
      <c r="D84" s="94">
        <f>D82</f>
        <v>2.5000000000000005E-2</v>
      </c>
      <c r="E84" s="145"/>
      <c r="F84" s="143"/>
      <c r="G84" s="192" t="s">
        <v>29</v>
      </c>
      <c r="H84" s="143" t="s">
        <v>442</v>
      </c>
      <c r="I84" s="213"/>
      <c r="J84" s="217"/>
      <c r="M84" s="157"/>
    </row>
    <row r="85" spans="1:253" x14ac:dyDescent="0.2">
      <c r="A85" s="209"/>
      <c r="B85" s="191"/>
      <c r="C85" s="141" t="s">
        <v>68</v>
      </c>
      <c r="D85" s="90">
        <f>Iout*SQRT(Dmax/(1-Dmax))</f>
        <v>1.9493588689617924</v>
      </c>
      <c r="E85" s="147"/>
      <c r="F85" s="146"/>
      <c r="G85" s="192" t="s">
        <v>2</v>
      </c>
      <c r="H85" s="143" t="s">
        <v>126</v>
      </c>
      <c r="I85" s="213"/>
      <c r="J85" s="217"/>
    </row>
    <row r="86" spans="1:253" x14ac:dyDescent="0.2">
      <c r="A86" s="209"/>
      <c r="B86" s="158"/>
      <c r="C86" s="151"/>
      <c r="D86" s="177"/>
      <c r="E86" s="177"/>
      <c r="F86" s="177"/>
      <c r="G86" s="155"/>
      <c r="H86" s="151"/>
      <c r="I86" s="213"/>
      <c r="J86" s="217"/>
    </row>
    <row r="87" spans="1:253" x14ac:dyDescent="0.2">
      <c r="A87" s="209"/>
      <c r="B87" s="281" t="s">
        <v>406</v>
      </c>
      <c r="C87" s="281"/>
      <c r="D87" s="181"/>
      <c r="E87" s="181"/>
      <c r="F87" s="173"/>
      <c r="G87" s="178"/>
      <c r="H87" s="173"/>
      <c r="I87" s="213"/>
      <c r="J87" s="217"/>
      <c r="M87" s="157"/>
      <c r="Q87" s="157"/>
      <c r="U87" s="157"/>
      <c r="Y87" s="157"/>
      <c r="AC87" s="157"/>
      <c r="AG87" s="157"/>
      <c r="AK87" s="157"/>
      <c r="AO87" s="157"/>
      <c r="AS87" s="157"/>
      <c r="AW87" s="157"/>
      <c r="BA87" s="157"/>
      <c r="BE87" s="157"/>
      <c r="BI87" s="157"/>
      <c r="BM87" s="157"/>
      <c r="BQ87" s="157"/>
      <c r="BU87" s="157"/>
      <c r="BY87" s="157"/>
      <c r="CC87" s="157"/>
      <c r="CG87" s="157"/>
      <c r="CK87" s="157"/>
      <c r="CO87" s="157"/>
      <c r="CS87" s="157"/>
      <c r="CW87" s="157"/>
      <c r="DA87" s="157"/>
      <c r="DE87" s="157"/>
      <c r="DI87" s="157"/>
      <c r="DM87" s="157"/>
      <c r="DQ87" s="157"/>
      <c r="DU87" s="157"/>
      <c r="DY87" s="157"/>
      <c r="EC87" s="157"/>
      <c r="EG87" s="157"/>
      <c r="EK87" s="157"/>
      <c r="EO87" s="157"/>
      <c r="ES87" s="157"/>
      <c r="EW87" s="157"/>
      <c r="FA87" s="157"/>
      <c r="FE87" s="157"/>
      <c r="FI87" s="157"/>
      <c r="FM87" s="157"/>
      <c r="FQ87" s="157"/>
      <c r="FU87" s="157"/>
      <c r="FY87" s="157"/>
      <c r="GC87" s="157"/>
      <c r="GG87" s="157"/>
      <c r="GK87" s="157"/>
      <c r="GO87" s="157"/>
      <c r="GS87" s="157"/>
      <c r="GW87" s="157"/>
      <c r="HA87" s="157"/>
      <c r="HE87" s="157"/>
      <c r="HI87" s="157"/>
      <c r="HM87" s="157"/>
      <c r="HQ87" s="157"/>
      <c r="HU87" s="157"/>
      <c r="HY87" s="157"/>
      <c r="IC87" s="157"/>
      <c r="IG87" s="157"/>
      <c r="IK87" s="157"/>
      <c r="IO87" s="157"/>
      <c r="IS87" s="157"/>
    </row>
    <row r="88" spans="1:253" x14ac:dyDescent="0.2">
      <c r="A88" s="209"/>
      <c r="B88" s="189"/>
      <c r="C88" s="141" t="s">
        <v>365</v>
      </c>
      <c r="D88" s="276" t="s">
        <v>463</v>
      </c>
      <c r="E88" s="146"/>
      <c r="F88" s="143"/>
      <c r="G88" s="192"/>
      <c r="H88" s="143" t="s">
        <v>385</v>
      </c>
      <c r="I88" s="213"/>
      <c r="J88" s="217"/>
      <c r="M88" s="157"/>
      <c r="Q88" s="157"/>
      <c r="U88" s="157"/>
      <c r="Y88" s="157"/>
      <c r="AC88" s="157"/>
      <c r="AG88" s="157"/>
      <c r="AK88" s="157"/>
      <c r="AO88" s="157"/>
      <c r="AS88" s="157"/>
      <c r="AW88" s="157"/>
      <c r="BA88" s="157"/>
      <c r="BE88" s="157"/>
      <c r="BI88" s="157"/>
      <c r="BM88" s="157"/>
      <c r="BQ88" s="157"/>
      <c r="BU88" s="157"/>
      <c r="BY88" s="157"/>
      <c r="CC88" s="157"/>
      <c r="CG88" s="157"/>
      <c r="CK88" s="157"/>
      <c r="CO88" s="157"/>
      <c r="CS88" s="157"/>
      <c r="CW88" s="157"/>
      <c r="DA88" s="157"/>
      <c r="DE88" s="157"/>
      <c r="DI88" s="157"/>
      <c r="DM88" s="157"/>
      <c r="DQ88" s="157"/>
      <c r="DU88" s="157"/>
      <c r="DY88" s="157"/>
      <c r="EC88" s="157"/>
      <c r="EG88" s="157"/>
      <c r="EK88" s="157"/>
      <c r="EO88" s="157"/>
      <c r="ES88" s="157"/>
      <c r="EW88" s="157"/>
      <c r="FA88" s="157"/>
      <c r="FE88" s="157"/>
      <c r="FI88" s="157"/>
      <c r="FM88" s="157"/>
      <c r="FQ88" s="157"/>
      <c r="FU88" s="157"/>
      <c r="FY88" s="157"/>
      <c r="GC88" s="157"/>
      <c r="GG88" s="157"/>
      <c r="GK88" s="157"/>
      <c r="GO88" s="157"/>
      <c r="GS88" s="157"/>
      <c r="GW88" s="157"/>
      <c r="HA88" s="157"/>
      <c r="HE88" s="157"/>
      <c r="HI88" s="157"/>
      <c r="HM88" s="157"/>
      <c r="HQ88" s="157"/>
      <c r="HU88" s="157"/>
      <c r="HY88" s="157"/>
      <c r="IC88" s="157"/>
      <c r="IG88" s="157"/>
      <c r="IK88" s="157"/>
      <c r="IO88" s="157"/>
      <c r="IS88" s="157"/>
    </row>
    <row r="89" spans="1:253" x14ac:dyDescent="0.2">
      <c r="A89" s="209"/>
      <c r="B89" s="189"/>
      <c r="C89" s="141" t="s">
        <v>214</v>
      </c>
      <c r="D89" s="100">
        <v>5.4700000000000003E-9</v>
      </c>
      <c r="E89" s="146"/>
      <c r="F89" s="143"/>
      <c r="G89" s="192" t="s">
        <v>220</v>
      </c>
      <c r="H89" s="143" t="s">
        <v>286</v>
      </c>
      <c r="I89" s="213"/>
      <c r="J89" s="217"/>
      <c r="M89" s="157"/>
      <c r="Q89" s="157"/>
      <c r="U89" s="157"/>
      <c r="Y89" s="157"/>
      <c r="AC89" s="157"/>
      <c r="AG89" s="157"/>
      <c r="AK89" s="157"/>
      <c r="AO89" s="157"/>
      <c r="AS89" s="157"/>
      <c r="AW89" s="157"/>
      <c r="BA89" s="157"/>
      <c r="BE89" s="157"/>
      <c r="BI89" s="157"/>
      <c r="BM89" s="157"/>
      <c r="BQ89" s="157"/>
      <c r="BU89" s="157"/>
      <c r="BY89" s="157"/>
      <c r="CC89" s="157"/>
      <c r="CG89" s="157"/>
      <c r="CK89" s="157"/>
      <c r="CO89" s="157"/>
      <c r="CS89" s="157"/>
      <c r="CW89" s="157"/>
      <c r="DA89" s="157"/>
      <c r="DE89" s="157"/>
      <c r="DI89" s="157"/>
      <c r="DM89" s="157"/>
      <c r="DQ89" s="157"/>
      <c r="DU89" s="157"/>
      <c r="DY89" s="157"/>
      <c r="EC89" s="157"/>
      <c r="EG89" s="157"/>
      <c r="EK89" s="157"/>
      <c r="EO89" s="157"/>
      <c r="ES89" s="157"/>
      <c r="EW89" s="157"/>
      <c r="FA89" s="157"/>
      <c r="FE89" s="157"/>
      <c r="FI89" s="157"/>
      <c r="FM89" s="157"/>
      <c r="FQ89" s="157"/>
      <c r="FU89" s="157"/>
      <c r="FY89" s="157"/>
      <c r="GC89" s="157"/>
      <c r="GG89" s="157"/>
      <c r="GK89" s="157"/>
      <c r="GO89" s="157"/>
      <c r="GS89" s="157"/>
      <c r="GW89" s="157"/>
      <c r="HA89" s="157"/>
      <c r="HE89" s="157"/>
      <c r="HI89" s="157"/>
      <c r="HM89" s="157"/>
      <c r="HQ89" s="157"/>
      <c r="HU89" s="157"/>
      <c r="HY89" s="157"/>
      <c r="IC89" s="157"/>
      <c r="IG89" s="157"/>
      <c r="IK89" s="157"/>
      <c r="IO89" s="157"/>
      <c r="IS89" s="157"/>
    </row>
    <row r="90" spans="1:253" x14ac:dyDescent="0.2">
      <c r="A90" s="209"/>
      <c r="B90" s="189"/>
      <c r="C90" s="141" t="s">
        <v>223</v>
      </c>
      <c r="D90" s="90">
        <f>Qg_ls*fsw</f>
        <v>4.1025000000000002E-3</v>
      </c>
      <c r="E90" s="146"/>
      <c r="F90" s="143"/>
      <c r="G90" s="192" t="s">
        <v>2</v>
      </c>
      <c r="H90" s="143" t="s">
        <v>443</v>
      </c>
      <c r="I90" s="213"/>
      <c r="J90" s="217"/>
      <c r="M90" s="157"/>
      <c r="Q90" s="157"/>
      <c r="U90" s="157"/>
      <c r="Y90" s="157"/>
      <c r="AC90" s="157"/>
      <c r="AG90" s="157"/>
      <c r="AK90" s="157"/>
      <c r="AO90" s="157"/>
      <c r="AS90" s="157"/>
      <c r="AW90" s="157"/>
      <c r="BA90" s="157"/>
      <c r="BE90" s="157"/>
      <c r="BI90" s="157"/>
      <c r="BM90" s="157"/>
      <c r="BQ90" s="157"/>
      <c r="BU90" s="157"/>
      <c r="BY90" s="157"/>
      <c r="CC90" s="157"/>
      <c r="CG90" s="157"/>
      <c r="CK90" s="157"/>
      <c r="CO90" s="157"/>
      <c r="CS90" s="157"/>
      <c r="CW90" s="157"/>
      <c r="DA90" s="157"/>
      <c r="DE90" s="157"/>
      <c r="DI90" s="157"/>
      <c r="DM90" s="157"/>
      <c r="DQ90" s="157"/>
      <c r="DU90" s="157"/>
      <c r="DY90" s="157"/>
      <c r="EC90" s="157"/>
      <c r="EG90" s="157"/>
      <c r="EK90" s="157"/>
      <c r="EO90" s="157"/>
      <c r="ES90" s="157"/>
      <c r="EW90" s="157"/>
      <c r="FA90" s="157"/>
      <c r="FE90" s="157"/>
      <c r="FI90" s="157"/>
      <c r="FM90" s="157"/>
      <c r="FQ90" s="157"/>
      <c r="FU90" s="157"/>
      <c r="FY90" s="157"/>
      <c r="GC90" s="157"/>
      <c r="GG90" s="157"/>
      <c r="GK90" s="157"/>
      <c r="GO90" s="157"/>
      <c r="GS90" s="157"/>
      <c r="GW90" s="157"/>
      <c r="HA90" s="157"/>
      <c r="HE90" s="157"/>
      <c r="HI90" s="157"/>
      <c r="HM90" s="157"/>
      <c r="HQ90" s="157"/>
      <c r="HU90" s="157"/>
      <c r="HY90" s="157"/>
      <c r="IC90" s="157"/>
      <c r="IG90" s="157"/>
      <c r="IK90" s="157"/>
      <c r="IO90" s="157"/>
      <c r="IS90" s="157"/>
    </row>
    <row r="91" spans="1:253" x14ac:dyDescent="0.2">
      <c r="A91" s="209"/>
      <c r="B91" s="189"/>
      <c r="C91" s="141" t="s">
        <v>215</v>
      </c>
      <c r="D91" s="107">
        <v>8.3999999999999995E-3</v>
      </c>
      <c r="E91" s="146"/>
      <c r="F91" s="143"/>
      <c r="G91" s="192" t="s">
        <v>29</v>
      </c>
      <c r="H91" s="143" t="s">
        <v>287</v>
      </c>
      <c r="I91" s="213"/>
      <c r="J91" s="217"/>
      <c r="M91" s="157"/>
      <c r="Q91" s="157"/>
      <c r="U91" s="157"/>
      <c r="Y91" s="157"/>
      <c r="AC91" s="157"/>
      <c r="AG91" s="157"/>
      <c r="AK91" s="157"/>
      <c r="AO91" s="157"/>
      <c r="AS91" s="157"/>
      <c r="AW91" s="157"/>
      <c r="BA91" s="157"/>
      <c r="BE91" s="157"/>
      <c r="BI91" s="157"/>
      <c r="BM91" s="157"/>
      <c r="BQ91" s="157"/>
      <c r="BU91" s="157"/>
      <c r="BY91" s="157"/>
      <c r="CC91" s="157"/>
      <c r="CG91" s="157"/>
      <c r="CK91" s="157"/>
      <c r="CO91" s="157"/>
      <c r="CS91" s="157"/>
      <c r="CW91" s="157"/>
      <c r="DA91" s="157"/>
      <c r="DE91" s="157"/>
      <c r="DI91" s="157"/>
      <c r="DM91" s="157"/>
      <c r="DQ91" s="157"/>
      <c r="DU91" s="157"/>
      <c r="DY91" s="157"/>
      <c r="EC91" s="157"/>
      <c r="EG91" s="157"/>
      <c r="EK91" s="157"/>
      <c r="EO91" s="157"/>
      <c r="ES91" s="157"/>
      <c r="EW91" s="157"/>
      <c r="FA91" s="157"/>
      <c r="FE91" s="157"/>
      <c r="FI91" s="157"/>
      <c r="FM91" s="157"/>
      <c r="FQ91" s="157"/>
      <c r="FU91" s="157"/>
      <c r="FY91" s="157"/>
      <c r="GC91" s="157"/>
      <c r="GG91" s="157"/>
      <c r="GK91" s="157"/>
      <c r="GO91" s="157"/>
      <c r="GS91" s="157"/>
      <c r="GW91" s="157"/>
      <c r="HA91" s="157"/>
      <c r="HE91" s="157"/>
      <c r="HI91" s="157"/>
      <c r="HM91" s="157"/>
      <c r="HQ91" s="157"/>
      <c r="HU91" s="157"/>
      <c r="HY91" s="157"/>
      <c r="IC91" s="157"/>
      <c r="IG91" s="157"/>
      <c r="IK91" s="157"/>
      <c r="IO91" s="157"/>
      <c r="IS91" s="157"/>
    </row>
    <row r="92" spans="1:253" x14ac:dyDescent="0.2">
      <c r="A92" s="209"/>
      <c r="B92" s="191">
        <v>26</v>
      </c>
      <c r="C92" s="141" t="s">
        <v>218</v>
      </c>
      <c r="D92" s="90">
        <f>Dnom*Ilrms^2*(Rdson_ls)</f>
        <v>0.14520716765728298</v>
      </c>
      <c r="E92" s="145"/>
      <c r="F92" s="143"/>
      <c r="G92" s="192" t="s">
        <v>12</v>
      </c>
      <c r="H92" s="143" t="s">
        <v>358</v>
      </c>
      <c r="I92" s="213"/>
      <c r="J92" s="217"/>
    </row>
    <row r="93" spans="1:253" x14ac:dyDescent="0.2">
      <c r="A93" s="209"/>
      <c r="B93" s="189"/>
      <c r="C93" s="141" t="s">
        <v>310</v>
      </c>
      <c r="D93" s="92">
        <v>1.3</v>
      </c>
      <c r="E93" s="146"/>
      <c r="F93" s="143"/>
      <c r="G93" s="192" t="s">
        <v>3</v>
      </c>
      <c r="H93" s="143" t="s">
        <v>311</v>
      </c>
      <c r="I93" s="213"/>
      <c r="J93" s="217"/>
      <c r="M93" s="157"/>
      <c r="Q93" s="157"/>
      <c r="U93" s="157"/>
      <c r="Y93" s="157"/>
      <c r="AC93" s="157"/>
      <c r="AG93" s="157"/>
      <c r="AK93" s="157"/>
      <c r="AO93" s="157"/>
      <c r="AS93" s="157"/>
      <c r="AW93" s="157"/>
      <c r="BA93" s="157"/>
      <c r="BE93" s="157"/>
      <c r="BI93" s="157"/>
      <c r="BM93" s="157"/>
      <c r="BQ93" s="157"/>
      <c r="BU93" s="157"/>
      <c r="BY93" s="157"/>
      <c r="CC93" s="157"/>
      <c r="CG93" s="157"/>
      <c r="CK93" s="157"/>
      <c r="CO93" s="157"/>
      <c r="CS93" s="157"/>
      <c r="CW93" s="157"/>
      <c r="DA93" s="157"/>
      <c r="DE93" s="157"/>
      <c r="DI93" s="157"/>
      <c r="DM93" s="157"/>
      <c r="DQ93" s="157"/>
      <c r="DU93" s="157"/>
      <c r="DY93" s="157"/>
      <c r="EC93" s="157"/>
      <c r="EG93" s="157"/>
      <c r="EK93" s="157"/>
      <c r="EO93" s="157"/>
      <c r="ES93" s="157"/>
      <c r="EW93" s="157"/>
      <c r="FA93" s="157"/>
      <c r="FE93" s="157"/>
      <c r="FI93" s="157"/>
      <c r="FM93" s="157"/>
      <c r="FQ93" s="157"/>
      <c r="FU93" s="157"/>
      <c r="FY93" s="157"/>
      <c r="GC93" s="157"/>
      <c r="GG93" s="157"/>
      <c r="GK93" s="157"/>
      <c r="GO93" s="157"/>
      <c r="GS93" s="157"/>
      <c r="GW93" s="157"/>
      <c r="HA93" s="157"/>
      <c r="HE93" s="157"/>
      <c r="HI93" s="157"/>
      <c r="HM93" s="157"/>
      <c r="HQ93" s="157"/>
      <c r="HU93" s="157"/>
      <c r="HY93" s="157"/>
      <c r="IC93" s="157"/>
      <c r="IG93" s="157"/>
      <c r="IK93" s="157"/>
      <c r="IO93" s="157"/>
      <c r="IS93" s="157"/>
    </row>
    <row r="94" spans="1:253" x14ac:dyDescent="0.2">
      <c r="A94" s="209"/>
      <c r="B94" s="189"/>
      <c r="C94" s="141" t="s">
        <v>319</v>
      </c>
      <c r="D94" s="100">
        <v>2.7E-10</v>
      </c>
      <c r="E94" s="146"/>
      <c r="F94" s="143"/>
      <c r="G94" s="192" t="s">
        <v>7</v>
      </c>
      <c r="H94" s="143" t="s">
        <v>354</v>
      </c>
      <c r="I94" s="213"/>
      <c r="J94" s="217"/>
      <c r="M94" s="157"/>
      <c r="Q94" s="157"/>
      <c r="U94" s="157"/>
      <c r="Y94" s="157"/>
      <c r="AC94" s="157"/>
      <c r="AG94" s="157"/>
      <c r="AK94" s="157"/>
      <c r="AO94" s="157"/>
      <c r="AS94" s="157"/>
      <c r="AW94" s="157"/>
      <c r="BA94" s="157"/>
      <c r="BE94" s="157"/>
      <c r="BI94" s="157"/>
      <c r="BM94" s="157"/>
      <c r="BQ94" s="157"/>
      <c r="BU94" s="157"/>
      <c r="BY94" s="157"/>
      <c r="CC94" s="157"/>
      <c r="CG94" s="157"/>
      <c r="CK94" s="157"/>
      <c r="CO94" s="157"/>
      <c r="CS94" s="157"/>
      <c r="CW94" s="157"/>
      <c r="DA94" s="157"/>
      <c r="DE94" s="157"/>
      <c r="DI94" s="157"/>
      <c r="DM94" s="157"/>
      <c r="DQ94" s="157"/>
      <c r="DU94" s="157"/>
      <c r="DY94" s="157"/>
      <c r="EC94" s="157"/>
      <c r="EG94" s="157"/>
      <c r="EK94" s="157"/>
      <c r="EO94" s="157"/>
      <c r="ES94" s="157"/>
      <c r="EW94" s="157"/>
      <c r="FA94" s="157"/>
      <c r="FE94" s="157"/>
      <c r="FI94" s="157"/>
      <c r="FM94" s="157"/>
      <c r="FQ94" s="157"/>
      <c r="FU94" s="157"/>
      <c r="FY94" s="157"/>
      <c r="GC94" s="157"/>
      <c r="GG94" s="157"/>
      <c r="GK94" s="157"/>
      <c r="GO94" s="157"/>
      <c r="GS94" s="157"/>
      <c r="GW94" s="157"/>
      <c r="HA94" s="157"/>
      <c r="HE94" s="157"/>
      <c r="HI94" s="157"/>
      <c r="HM94" s="157"/>
      <c r="HQ94" s="157"/>
      <c r="HU94" s="157"/>
      <c r="HY94" s="157"/>
      <c r="IC94" s="157"/>
      <c r="IG94" s="157"/>
      <c r="IK94" s="157"/>
      <c r="IO94" s="157"/>
      <c r="IS94" s="157"/>
    </row>
    <row r="95" spans="1:253" x14ac:dyDescent="0.2">
      <c r="A95" s="209"/>
      <c r="B95" s="189"/>
      <c r="C95" s="141" t="s">
        <v>320</v>
      </c>
      <c r="D95" s="100">
        <v>1.3999999999999999E-9</v>
      </c>
      <c r="E95" s="146"/>
      <c r="F95" s="143"/>
      <c r="G95" s="192" t="s">
        <v>220</v>
      </c>
      <c r="H95" s="143" t="s">
        <v>355</v>
      </c>
      <c r="I95" s="213"/>
      <c r="J95" s="217"/>
      <c r="M95" s="157"/>
      <c r="Q95" s="157"/>
      <c r="U95" s="157"/>
      <c r="Y95" s="157"/>
      <c r="AC95" s="157"/>
      <c r="AG95" s="157"/>
      <c r="AK95" s="157"/>
      <c r="AO95" s="157"/>
      <c r="AS95" s="157"/>
      <c r="AW95" s="157"/>
      <c r="BA95" s="157"/>
      <c r="BE95" s="157"/>
      <c r="BI95" s="157"/>
      <c r="BM95" s="157"/>
      <c r="BQ95" s="157"/>
      <c r="BU95" s="157"/>
      <c r="BY95" s="157"/>
      <c r="CC95" s="157"/>
      <c r="CG95" s="157"/>
      <c r="CK95" s="157"/>
      <c r="CO95" s="157"/>
      <c r="CS95" s="157"/>
      <c r="CW95" s="157"/>
      <c r="DA95" s="157"/>
      <c r="DE95" s="157"/>
      <c r="DI95" s="157"/>
      <c r="DM95" s="157"/>
      <c r="DQ95" s="157"/>
      <c r="DU95" s="157"/>
      <c r="DY95" s="157"/>
      <c r="EC95" s="157"/>
      <c r="EG95" s="157"/>
      <c r="EK95" s="157"/>
      <c r="EO95" s="157"/>
      <c r="ES95" s="157"/>
      <c r="EW95" s="157"/>
      <c r="FA95" s="157"/>
      <c r="FE95" s="157"/>
      <c r="FI95" s="157"/>
      <c r="FM95" s="157"/>
      <c r="FQ95" s="157"/>
      <c r="FU95" s="157"/>
      <c r="FY95" s="157"/>
      <c r="GC95" s="157"/>
      <c r="GG95" s="157"/>
      <c r="GK95" s="157"/>
      <c r="GO95" s="157"/>
      <c r="GS95" s="157"/>
      <c r="GW95" s="157"/>
      <c r="HA95" s="157"/>
      <c r="HE95" s="157"/>
      <c r="HI95" s="157"/>
      <c r="HM95" s="157"/>
      <c r="HQ95" s="157"/>
      <c r="HU95" s="157"/>
      <c r="HY95" s="157"/>
      <c r="IC95" s="157"/>
      <c r="IG95" s="157"/>
      <c r="IK95" s="157"/>
      <c r="IO95" s="157"/>
      <c r="IS95" s="157"/>
    </row>
    <row r="96" spans="1:253" x14ac:dyDescent="0.2">
      <c r="A96" s="209"/>
      <c r="B96" s="189"/>
      <c r="C96" s="141" t="s">
        <v>221</v>
      </c>
      <c r="D96" s="92">
        <v>2.2000000000000002</v>
      </c>
      <c r="E96" s="146"/>
      <c r="F96" s="143"/>
      <c r="G96" s="192" t="s">
        <v>29</v>
      </c>
      <c r="H96" s="143" t="s">
        <v>288</v>
      </c>
      <c r="I96" s="213"/>
      <c r="J96" s="217"/>
      <c r="M96" s="157"/>
      <c r="Q96" s="157"/>
      <c r="U96" s="157"/>
      <c r="Y96" s="157"/>
      <c r="AC96" s="157"/>
      <c r="AG96" s="157"/>
      <c r="AK96" s="157"/>
      <c r="AO96" s="157"/>
      <c r="AS96" s="157"/>
      <c r="AW96" s="157"/>
      <c r="BA96" s="157"/>
      <c r="BE96" s="157"/>
      <c r="BI96" s="157"/>
      <c r="BM96" s="157"/>
      <c r="BQ96" s="157"/>
      <c r="BU96" s="157"/>
      <c r="BY96" s="157"/>
      <c r="CC96" s="157"/>
      <c r="CG96" s="157"/>
      <c r="CK96" s="157"/>
      <c r="CO96" s="157"/>
      <c r="CS96" s="157"/>
      <c r="CW96" s="157"/>
      <c r="DA96" s="157"/>
      <c r="DE96" s="157"/>
      <c r="DI96" s="157"/>
      <c r="DM96" s="157"/>
      <c r="DQ96" s="157"/>
      <c r="DU96" s="157"/>
      <c r="DY96" s="157"/>
      <c r="EC96" s="157"/>
      <c r="EG96" s="157"/>
      <c r="EK96" s="157"/>
      <c r="EO96" s="157"/>
      <c r="ES96" s="157"/>
      <c r="EW96" s="157"/>
      <c r="FA96" s="157"/>
      <c r="FE96" s="157"/>
      <c r="FI96" s="157"/>
      <c r="FM96" s="157"/>
      <c r="FQ96" s="157"/>
      <c r="FU96" s="157"/>
      <c r="FY96" s="157"/>
      <c r="GC96" s="157"/>
      <c r="GG96" s="157"/>
      <c r="GK96" s="157"/>
      <c r="GO96" s="157"/>
      <c r="GS96" s="157"/>
      <c r="GW96" s="157"/>
      <c r="HA96" s="157"/>
      <c r="HE96" s="157"/>
      <c r="HI96" s="157"/>
      <c r="HM96" s="157"/>
      <c r="HQ96" s="157"/>
      <c r="HU96" s="157"/>
      <c r="HY96" s="157"/>
      <c r="IC96" s="157"/>
      <c r="IG96" s="157"/>
      <c r="IK96" s="157"/>
      <c r="IO96" s="157"/>
      <c r="IS96" s="157"/>
    </row>
    <row r="97" spans="1:253" x14ac:dyDescent="0.2">
      <c r="A97" s="209"/>
      <c r="B97" s="191">
        <v>27</v>
      </c>
      <c r="C97" s="141" t="s">
        <v>217</v>
      </c>
      <c r="D97" s="90">
        <f>fsw/2*(Coss*Vout^2+Vout*Iin_max*Qgd*Rg_ls/(Vcc_typ-Vth))</f>
        <v>0.09</v>
      </c>
      <c r="E97" s="146"/>
      <c r="F97" s="143"/>
      <c r="G97" s="192" t="s">
        <v>12</v>
      </c>
      <c r="H97" s="143" t="s">
        <v>356</v>
      </c>
      <c r="I97" s="213"/>
      <c r="J97" s="217"/>
      <c r="M97" s="157"/>
      <c r="Q97" s="157"/>
      <c r="U97" s="157"/>
      <c r="Y97" s="157"/>
      <c r="AC97" s="157"/>
      <c r="AG97" s="157"/>
      <c r="AK97" s="157"/>
      <c r="AO97" s="157"/>
      <c r="AS97" s="157"/>
      <c r="AW97" s="157"/>
      <c r="BA97" s="157"/>
      <c r="BE97" s="157"/>
      <c r="BI97" s="157"/>
      <c r="BM97" s="157"/>
      <c r="BQ97" s="157"/>
      <c r="BU97" s="157"/>
      <c r="BY97" s="157"/>
      <c r="CC97" s="157"/>
      <c r="CG97" s="157"/>
      <c r="CK97" s="157"/>
      <c r="CO97" s="157"/>
      <c r="CS97" s="157"/>
      <c r="CW97" s="157"/>
      <c r="DA97" s="157"/>
      <c r="DE97" s="157"/>
      <c r="DI97" s="157"/>
      <c r="DM97" s="157"/>
      <c r="DQ97" s="157"/>
      <c r="DU97" s="157"/>
      <c r="DY97" s="157"/>
      <c r="EC97" s="157"/>
      <c r="EG97" s="157"/>
      <c r="EK97" s="157"/>
      <c r="EO97" s="157"/>
      <c r="ES97" s="157"/>
      <c r="EW97" s="157"/>
      <c r="FA97" s="157"/>
      <c r="FE97" s="157"/>
      <c r="FI97" s="157"/>
      <c r="FM97" s="157"/>
      <c r="FQ97" s="157"/>
      <c r="FU97" s="157"/>
      <c r="FY97" s="157"/>
      <c r="GC97" s="157"/>
      <c r="GG97" s="157"/>
      <c r="GK97" s="157"/>
      <c r="GO97" s="157"/>
      <c r="GS97" s="157"/>
      <c r="GW97" s="157"/>
      <c r="HA97" s="157"/>
      <c r="HE97" s="157"/>
      <c r="HI97" s="157"/>
      <c r="HM97" s="157"/>
      <c r="HQ97" s="157"/>
      <c r="HU97" s="157"/>
      <c r="HY97" s="157"/>
      <c r="IC97" s="157"/>
      <c r="IG97" s="157"/>
      <c r="IK97" s="157"/>
      <c r="IO97" s="157"/>
      <c r="IS97" s="157"/>
    </row>
    <row r="98" spans="1:253" hidden="1" x14ac:dyDescent="0.2">
      <c r="A98" s="209"/>
      <c r="B98" s="189"/>
      <c r="C98" s="141" t="s">
        <v>318</v>
      </c>
      <c r="D98" s="87">
        <v>6.3000000000000002E-9</v>
      </c>
      <c r="E98" s="87">
        <v>4.2000000000000004E-9</v>
      </c>
      <c r="F98" s="143"/>
      <c r="G98" s="192" t="s">
        <v>42</v>
      </c>
      <c r="H98" s="143"/>
      <c r="I98" s="213"/>
      <c r="J98" s="217"/>
      <c r="M98" s="157"/>
      <c r="Q98" s="157"/>
      <c r="U98" s="157"/>
      <c r="Y98" s="157"/>
      <c r="AC98" s="157"/>
      <c r="AG98" s="157"/>
      <c r="AK98" s="157"/>
      <c r="AO98" s="157"/>
      <c r="AS98" s="157"/>
      <c r="AW98" s="157"/>
      <c r="BA98" s="157"/>
      <c r="BE98" s="157"/>
      <c r="BI98" s="157"/>
      <c r="BM98" s="157"/>
      <c r="BQ98" s="157"/>
      <c r="BU98" s="157"/>
      <c r="BY98" s="157"/>
      <c r="CC98" s="157"/>
      <c r="CG98" s="157"/>
      <c r="CK98" s="157"/>
      <c r="CO98" s="157"/>
      <c r="CS98" s="157"/>
      <c r="CW98" s="157"/>
      <c r="DA98" s="157"/>
      <c r="DE98" s="157"/>
      <c r="DI98" s="157"/>
      <c r="DM98" s="157"/>
      <c r="DQ98" s="157"/>
      <c r="DU98" s="157"/>
      <c r="DY98" s="157"/>
      <c r="EC98" s="157"/>
      <c r="EG98" s="157"/>
      <c r="EK98" s="157"/>
      <c r="EO98" s="157"/>
      <c r="ES98" s="157"/>
      <c r="EW98" s="157"/>
      <c r="FA98" s="157"/>
      <c r="FE98" s="157"/>
      <c r="FI98" s="157"/>
      <c r="FM98" s="157"/>
      <c r="FQ98" s="157"/>
      <c r="FU98" s="157"/>
      <c r="FY98" s="157"/>
      <c r="GC98" s="157"/>
      <c r="GG98" s="157"/>
      <c r="GK98" s="157"/>
      <c r="GO98" s="157"/>
      <c r="GS98" s="157"/>
      <c r="GW98" s="157"/>
      <c r="HA98" s="157"/>
      <c r="HE98" s="157"/>
      <c r="HI98" s="157"/>
      <c r="HM98" s="157"/>
      <c r="HQ98" s="157"/>
      <c r="HU98" s="157"/>
      <c r="HY98" s="157"/>
      <c r="IC98" s="157"/>
      <c r="IG98" s="157"/>
      <c r="IK98" s="157"/>
      <c r="IO98" s="157"/>
      <c r="IS98" s="157"/>
    </row>
    <row r="99" spans="1:253" hidden="1" x14ac:dyDescent="0.2">
      <c r="A99" s="209"/>
      <c r="B99" s="189"/>
      <c r="C99" s="141" t="s">
        <v>217</v>
      </c>
      <c r="D99" s="90">
        <f>Vout*fsw*Iin_max*(D98+E98)/2/6</f>
        <v>7.5600000000000001E-2</v>
      </c>
      <c r="E99" s="146"/>
      <c r="F99" s="143"/>
      <c r="G99" s="192" t="s">
        <v>12</v>
      </c>
      <c r="H99" s="143"/>
      <c r="I99" s="213"/>
      <c r="J99" s="217"/>
      <c r="M99" s="157"/>
      <c r="Q99" s="157"/>
      <c r="U99" s="157"/>
      <c r="Y99" s="157"/>
      <c r="AC99" s="157"/>
      <c r="AG99" s="157"/>
      <c r="AK99" s="157"/>
      <c r="AO99" s="157"/>
      <c r="AS99" s="157"/>
      <c r="AW99" s="157"/>
      <c r="BA99" s="157"/>
      <c r="BE99" s="157"/>
      <c r="BI99" s="157"/>
      <c r="BM99" s="157"/>
      <c r="BQ99" s="157"/>
      <c r="BU99" s="157"/>
      <c r="BY99" s="157"/>
      <c r="CC99" s="157"/>
      <c r="CG99" s="157"/>
      <c r="CK99" s="157"/>
      <c r="CO99" s="157"/>
      <c r="CS99" s="157"/>
      <c r="CW99" s="157"/>
      <c r="DA99" s="157"/>
      <c r="DE99" s="157"/>
      <c r="DI99" s="157"/>
      <c r="DM99" s="157"/>
      <c r="DQ99" s="157"/>
      <c r="DU99" s="157"/>
      <c r="DY99" s="157"/>
      <c r="EC99" s="157"/>
      <c r="EG99" s="157"/>
      <c r="EK99" s="157"/>
      <c r="EO99" s="157"/>
      <c r="ES99" s="157"/>
      <c r="EW99" s="157"/>
      <c r="FA99" s="157"/>
      <c r="FE99" s="157"/>
      <c r="FI99" s="157"/>
      <c r="FM99" s="157"/>
      <c r="FQ99" s="157"/>
      <c r="FU99" s="157"/>
      <c r="FY99" s="157"/>
      <c r="GC99" s="157"/>
      <c r="GG99" s="157"/>
      <c r="GK99" s="157"/>
      <c r="GO99" s="157"/>
      <c r="GS99" s="157"/>
      <c r="GW99" s="157"/>
      <c r="HA99" s="157"/>
      <c r="HE99" s="157"/>
      <c r="HI99" s="157"/>
      <c r="HM99" s="157"/>
      <c r="HQ99" s="157"/>
      <c r="HU99" s="157"/>
      <c r="HY99" s="157"/>
      <c r="IC99" s="157"/>
      <c r="IG99" s="157"/>
      <c r="IK99" s="157"/>
      <c r="IO99" s="157"/>
      <c r="IS99" s="157"/>
    </row>
    <row r="100" spans="1:253" x14ac:dyDescent="0.2">
      <c r="A100" s="209"/>
      <c r="B100" s="140"/>
      <c r="C100" s="141" t="s">
        <v>335</v>
      </c>
      <c r="D100" s="90">
        <f>Pls_sw+Psw_cond</f>
        <v>0.23520716765728297</v>
      </c>
      <c r="E100" s="145"/>
      <c r="F100" s="143"/>
      <c r="G100" s="192" t="s">
        <v>12</v>
      </c>
      <c r="H100" s="143" t="s">
        <v>359</v>
      </c>
      <c r="I100" s="213"/>
      <c r="J100" s="217"/>
    </row>
    <row r="101" spans="1:253" x14ac:dyDescent="0.2">
      <c r="A101" s="209"/>
      <c r="B101" s="170"/>
      <c r="C101" s="159"/>
      <c r="D101" s="170"/>
      <c r="E101" s="176"/>
      <c r="F101" s="151"/>
      <c r="G101" s="151"/>
      <c r="H101" s="151"/>
      <c r="I101" s="213"/>
      <c r="J101" s="217"/>
    </row>
    <row r="102" spans="1:253" x14ac:dyDescent="0.2">
      <c r="A102" s="209"/>
      <c r="B102" s="281" t="s">
        <v>408</v>
      </c>
      <c r="C102" s="281"/>
      <c r="D102" s="181"/>
      <c r="E102" s="181"/>
      <c r="F102" s="173"/>
      <c r="G102" s="178"/>
      <c r="H102" s="173"/>
      <c r="I102" s="213"/>
      <c r="J102" s="217"/>
      <c r="M102" s="157"/>
      <c r="Q102" s="157"/>
      <c r="U102" s="157"/>
      <c r="Y102" s="157"/>
      <c r="AC102" s="157"/>
      <c r="AG102" s="157"/>
      <c r="AK102" s="157"/>
      <c r="AO102" s="157"/>
      <c r="AS102" s="157"/>
      <c r="AW102" s="157"/>
      <c r="BA102" s="157"/>
      <c r="BE102" s="157"/>
      <c r="BI102" s="157"/>
      <c r="BM102" s="157"/>
      <c r="BQ102" s="157"/>
      <c r="BU102" s="157"/>
      <c r="BY102" s="157"/>
      <c r="CC102" s="157"/>
      <c r="CG102" s="157"/>
      <c r="CK102" s="157"/>
      <c r="CO102" s="157"/>
      <c r="CS102" s="157"/>
      <c r="CW102" s="157"/>
      <c r="DA102" s="157"/>
      <c r="DE102" s="157"/>
      <c r="DI102" s="157"/>
      <c r="DM102" s="157"/>
      <c r="DQ102" s="157"/>
      <c r="DU102" s="157"/>
      <c r="DY102" s="157"/>
      <c r="EC102" s="157"/>
      <c r="EG102" s="157"/>
      <c r="EK102" s="157"/>
      <c r="EO102" s="157"/>
      <c r="ES102" s="157"/>
      <c r="EW102" s="157"/>
      <c r="FA102" s="157"/>
      <c r="FE102" s="157"/>
      <c r="FI102" s="157"/>
      <c r="FM102" s="157"/>
      <c r="FQ102" s="157"/>
      <c r="FU102" s="157"/>
      <c r="FY102" s="157"/>
      <c r="GC102" s="157"/>
      <c r="GG102" s="157"/>
      <c r="GK102" s="157"/>
      <c r="GO102" s="157"/>
      <c r="GS102" s="157"/>
      <c r="GW102" s="157"/>
      <c r="HA102" s="157"/>
      <c r="HE102" s="157"/>
      <c r="HI102" s="157"/>
      <c r="HM102" s="157"/>
      <c r="HQ102" s="157"/>
      <c r="HU102" s="157"/>
      <c r="HY102" s="157"/>
      <c r="IC102" s="157"/>
      <c r="IG102" s="157"/>
      <c r="IK102" s="157"/>
      <c r="IO102" s="157"/>
      <c r="IS102" s="157"/>
    </row>
    <row r="103" spans="1:253" x14ac:dyDescent="0.2">
      <c r="A103" s="209"/>
      <c r="B103" s="189"/>
      <c r="C103" s="141" t="s">
        <v>365</v>
      </c>
      <c r="D103" s="276" t="s">
        <v>463</v>
      </c>
      <c r="E103" s="146"/>
      <c r="F103" s="143"/>
      <c r="G103" s="192"/>
      <c r="H103" s="143" t="s">
        <v>386</v>
      </c>
      <c r="I103" s="213"/>
      <c r="J103" s="217"/>
      <c r="M103" s="157"/>
      <c r="Q103" s="157"/>
      <c r="U103" s="157"/>
      <c r="Y103" s="157"/>
      <c r="AC103" s="157"/>
      <c r="AG103" s="157"/>
      <c r="AK103" s="157"/>
      <c r="AO103" s="157"/>
      <c r="AS103" s="157"/>
      <c r="AW103" s="157"/>
      <c r="BA103" s="157"/>
      <c r="BE103" s="157"/>
      <c r="BI103" s="157"/>
      <c r="BM103" s="157"/>
      <c r="BQ103" s="157"/>
      <c r="BU103" s="157"/>
      <c r="BY103" s="157"/>
      <c r="CC103" s="157"/>
      <c r="CG103" s="157"/>
      <c r="CK103" s="157"/>
      <c r="CO103" s="157"/>
      <c r="CS103" s="157"/>
      <c r="CW103" s="157"/>
      <c r="DA103" s="157"/>
      <c r="DE103" s="157"/>
      <c r="DI103" s="157"/>
      <c r="DM103" s="157"/>
      <c r="DQ103" s="157"/>
      <c r="DU103" s="157"/>
      <c r="DY103" s="157"/>
      <c r="EC103" s="157"/>
      <c r="EG103" s="157"/>
      <c r="EK103" s="157"/>
      <c r="EO103" s="157"/>
      <c r="ES103" s="157"/>
      <c r="EW103" s="157"/>
      <c r="FA103" s="157"/>
      <c r="FE103" s="157"/>
      <c r="FI103" s="157"/>
      <c r="FM103" s="157"/>
      <c r="FQ103" s="157"/>
      <c r="FU103" s="157"/>
      <c r="FY103" s="157"/>
      <c r="GC103" s="157"/>
      <c r="GG103" s="157"/>
      <c r="GK103" s="157"/>
      <c r="GO103" s="157"/>
      <c r="GS103" s="157"/>
      <c r="GW103" s="157"/>
      <c r="HA103" s="157"/>
      <c r="HE103" s="157"/>
      <c r="HI103" s="157"/>
      <c r="HM103" s="157"/>
      <c r="HQ103" s="157"/>
      <c r="HU103" s="157"/>
      <c r="HY103" s="157"/>
      <c r="IC103" s="157"/>
      <c r="IG103" s="157"/>
      <c r="IK103" s="157"/>
      <c r="IO103" s="157"/>
      <c r="IS103" s="157"/>
    </row>
    <row r="104" spans="1:253" x14ac:dyDescent="0.2">
      <c r="A104" s="209"/>
      <c r="B104" s="189"/>
      <c r="C104" s="141" t="s">
        <v>219</v>
      </c>
      <c r="D104" s="100">
        <f>Qg_ls</f>
        <v>5.4700000000000003E-9</v>
      </c>
      <c r="E104" s="146"/>
      <c r="F104" s="143"/>
      <c r="G104" s="192" t="s">
        <v>220</v>
      </c>
      <c r="H104" s="143" t="s">
        <v>286</v>
      </c>
      <c r="I104" s="213"/>
      <c r="J104" s="217"/>
      <c r="M104" s="157"/>
      <c r="Q104" s="157"/>
      <c r="U104" s="157"/>
      <c r="Y104" s="157"/>
      <c r="AC104" s="157"/>
      <c r="AG104" s="157"/>
      <c r="AK104" s="157"/>
      <c r="AO104" s="157"/>
      <c r="AS104" s="157"/>
      <c r="AW104" s="157"/>
      <c r="BA104" s="157"/>
      <c r="BE104" s="157"/>
      <c r="BI104" s="157"/>
      <c r="BM104" s="157"/>
      <c r="BQ104" s="157"/>
      <c r="BU104" s="157"/>
      <c r="BY104" s="157"/>
      <c r="CC104" s="157"/>
      <c r="CG104" s="157"/>
      <c r="CK104" s="157"/>
      <c r="CO104" s="157"/>
      <c r="CS104" s="157"/>
      <c r="CW104" s="157"/>
      <c r="DA104" s="157"/>
      <c r="DE104" s="157"/>
      <c r="DI104" s="157"/>
      <c r="DM104" s="157"/>
      <c r="DQ104" s="157"/>
      <c r="DU104" s="157"/>
      <c r="DY104" s="157"/>
      <c r="EC104" s="157"/>
      <c r="EG104" s="157"/>
      <c r="EK104" s="157"/>
      <c r="EO104" s="157"/>
      <c r="ES104" s="157"/>
      <c r="EW104" s="157"/>
      <c r="FA104" s="157"/>
      <c r="FE104" s="157"/>
      <c r="FI104" s="157"/>
      <c r="FM104" s="157"/>
      <c r="FQ104" s="157"/>
      <c r="FU104" s="157"/>
      <c r="FY104" s="157"/>
      <c r="GC104" s="157"/>
      <c r="GG104" s="157"/>
      <c r="GK104" s="157"/>
      <c r="GO104" s="157"/>
      <c r="GS104" s="157"/>
      <c r="GW104" s="157"/>
      <c r="HA104" s="157"/>
      <c r="HE104" s="157"/>
      <c r="HI104" s="157"/>
      <c r="HM104" s="157"/>
      <c r="HQ104" s="157"/>
      <c r="HU104" s="157"/>
      <c r="HY104" s="157"/>
      <c r="IC104" s="157"/>
      <c r="IG104" s="157"/>
      <c r="IK104" s="157"/>
      <c r="IO104" s="157"/>
      <c r="IS104" s="157"/>
    </row>
    <row r="105" spans="1:253" x14ac:dyDescent="0.2">
      <c r="A105" s="209"/>
      <c r="B105" s="191"/>
      <c r="C105" s="141" t="s">
        <v>223</v>
      </c>
      <c r="D105" s="90">
        <f>Qg_hs*fsw</f>
        <v>4.1025000000000002E-3</v>
      </c>
      <c r="E105" s="146"/>
      <c r="F105" s="143"/>
      <c r="G105" s="192" t="s">
        <v>2</v>
      </c>
      <c r="H105" s="143" t="s">
        <v>443</v>
      </c>
      <c r="I105" s="213"/>
      <c r="J105" s="217"/>
      <c r="M105" s="157"/>
      <c r="Q105" s="157"/>
      <c r="U105" s="157"/>
      <c r="Y105" s="157"/>
      <c r="AC105" s="157"/>
      <c r="AG105" s="157"/>
      <c r="AK105" s="157"/>
      <c r="AO105" s="157"/>
      <c r="AS105" s="157"/>
      <c r="AW105" s="157"/>
      <c r="BA105" s="157"/>
      <c r="BE105" s="157"/>
      <c r="BI105" s="157"/>
      <c r="BM105" s="157"/>
      <c r="BQ105" s="157"/>
      <c r="BU105" s="157"/>
      <c r="BY105" s="157"/>
      <c r="CC105" s="157"/>
      <c r="CG105" s="157"/>
      <c r="CK105" s="157"/>
      <c r="CO105" s="157"/>
      <c r="CS105" s="157"/>
      <c r="CW105" s="157"/>
      <c r="DA105" s="157"/>
      <c r="DE105" s="157"/>
      <c r="DI105" s="157"/>
      <c r="DM105" s="157"/>
      <c r="DQ105" s="157"/>
      <c r="DU105" s="157"/>
      <c r="DY105" s="157"/>
      <c r="EC105" s="157"/>
      <c r="EG105" s="157"/>
      <c r="EK105" s="157"/>
      <c r="EO105" s="157"/>
      <c r="ES105" s="157"/>
      <c r="EW105" s="157"/>
      <c r="FA105" s="157"/>
      <c r="FE105" s="157"/>
      <c r="FI105" s="157"/>
      <c r="FM105" s="157"/>
      <c r="FQ105" s="157"/>
      <c r="FU105" s="157"/>
      <c r="FY105" s="157"/>
      <c r="GC105" s="157"/>
      <c r="GG105" s="157"/>
      <c r="GK105" s="157"/>
      <c r="GO105" s="157"/>
      <c r="GS105" s="157"/>
      <c r="GW105" s="157"/>
      <c r="HA105" s="157"/>
      <c r="HE105" s="157"/>
      <c r="HI105" s="157"/>
      <c r="HM105" s="157"/>
      <c r="HQ105" s="157"/>
      <c r="HU105" s="157"/>
      <c r="HY105" s="157"/>
      <c r="IC105" s="157"/>
      <c r="IG105" s="157"/>
      <c r="IK105" s="157"/>
      <c r="IO105" s="157"/>
      <c r="IS105" s="157"/>
    </row>
    <row r="106" spans="1:253" x14ac:dyDescent="0.2">
      <c r="A106" s="209"/>
      <c r="B106" s="191">
        <v>30</v>
      </c>
      <c r="C106" s="141" t="s">
        <v>304</v>
      </c>
      <c r="D106" s="88">
        <f>Qg_hs/(0.25)</f>
        <v>2.1880000000000001E-8</v>
      </c>
      <c r="E106" s="104">
        <f>IF(D106*10^12&lt;10000,IF((10^(LOG(D106*10^12)-INT(LOG(D106*10^12))))-VLOOKUP((10^(LOG(D106*10^12)-INT(LOG(D106*10^12)))),c_s1:C_f1,1)&lt;VLOOKUP((10^(LOG(D106*10^12)-INT(LOG(D106*10^12)))),c_s1:C_f1,2)-(10^(LOG(D106*10^12)-INT(LOG(D106*10^12)))),VLOOKUP((10^(LOG(D106*10^12)-INT(LOG(D106*10^12)))),c_s1:C_f1,1),VLOOKUP((10^(LOG(D106*10^12)-INT(LOG(D106*10^12)))),c_s1:C_f1,2))*10^INT(LOG(D106*10^12)),IF((10^(LOG(D106*10^12)-INT(LOG(D106*10^12))))-VLOOKUP((10^(LOG(D106*10^12)-INT(LOG(D106*10^12)))),C_s2:C_f2,1)&lt;VLOOKUP((10^(LOG(D106*10^12)-INT(LOG(D106*10^12)))),C_s2:C_f2,2)-(10^(LOG(D106*10^12)-INT(LOG(D106*10^12)))),VLOOKUP((10^(LOG(D106*10^12)-INT(LOG(D106*10^12)))),C_s2:C_f2,1),VLOOKUP((10^(LOG(D106*10^12)-INT(LOG(D106*10^12)))),C_s2:C_f2,2))*10^INT(LOG(D106*10^12)))*10^-12</f>
        <v>2.1999999999999998E-8</v>
      </c>
      <c r="F106" s="143"/>
      <c r="G106" s="192" t="s">
        <v>7</v>
      </c>
      <c r="H106" s="143" t="s">
        <v>305</v>
      </c>
      <c r="I106" s="213"/>
      <c r="J106" s="217"/>
    </row>
    <row r="107" spans="1:253" x14ac:dyDescent="0.2">
      <c r="A107" s="209"/>
      <c r="B107" s="191"/>
      <c r="C107" s="141" t="s">
        <v>304</v>
      </c>
      <c r="D107" s="107">
        <v>9.9999999999999995E-8</v>
      </c>
      <c r="E107" s="143"/>
      <c r="F107" s="143"/>
      <c r="G107" s="192" t="s">
        <v>7</v>
      </c>
      <c r="H107" s="143" t="s">
        <v>357</v>
      </c>
      <c r="I107" s="213"/>
      <c r="J107" s="217"/>
    </row>
    <row r="108" spans="1:253" x14ac:dyDescent="0.2">
      <c r="A108" s="209"/>
      <c r="B108" s="191"/>
      <c r="C108" s="141" t="s">
        <v>213</v>
      </c>
      <c r="D108" s="107">
        <f>Rdson_ls</f>
        <v>8.3999999999999995E-3</v>
      </c>
      <c r="E108" s="146"/>
      <c r="F108" s="143"/>
      <c r="G108" s="192" t="s">
        <v>29</v>
      </c>
      <c r="H108" s="143" t="s">
        <v>287</v>
      </c>
      <c r="I108" s="213"/>
      <c r="J108" s="217"/>
      <c r="M108" s="157"/>
      <c r="Q108" s="157"/>
      <c r="U108" s="157"/>
      <c r="Y108" s="157"/>
      <c r="AC108" s="157"/>
      <c r="AG108" s="157"/>
      <c r="AK108" s="157"/>
      <c r="AO108" s="157"/>
      <c r="AS108" s="157"/>
      <c r="AW108" s="157"/>
      <c r="BA108" s="157"/>
      <c r="BE108" s="157"/>
      <c r="BI108" s="157"/>
      <c r="BM108" s="157"/>
      <c r="BQ108" s="157"/>
      <c r="BU108" s="157"/>
      <c r="BY108" s="157"/>
      <c r="CC108" s="157"/>
      <c r="CG108" s="157"/>
      <c r="CK108" s="157"/>
      <c r="CO108" s="157"/>
      <c r="CS108" s="157"/>
      <c r="CW108" s="157"/>
      <c r="DA108" s="157"/>
      <c r="DE108" s="157"/>
      <c r="DI108" s="157"/>
      <c r="DM108" s="157"/>
      <c r="DQ108" s="157"/>
      <c r="DU108" s="157"/>
      <c r="DY108" s="157"/>
      <c r="EC108" s="157"/>
      <c r="EG108" s="157"/>
      <c r="EK108" s="157"/>
      <c r="EO108" s="157"/>
      <c r="ES108" s="157"/>
      <c r="EW108" s="157"/>
      <c r="FA108" s="157"/>
      <c r="FE108" s="157"/>
      <c r="FI108" s="157"/>
      <c r="FM108" s="157"/>
      <c r="FQ108" s="157"/>
      <c r="FU108" s="157"/>
      <c r="FY108" s="157"/>
      <c r="GC108" s="157"/>
      <c r="GG108" s="157"/>
      <c r="GK108" s="157"/>
      <c r="GO108" s="157"/>
      <c r="GS108" s="157"/>
      <c r="GW108" s="157"/>
      <c r="HA108" s="157"/>
      <c r="HE108" s="157"/>
      <c r="HI108" s="157"/>
      <c r="HM108" s="157"/>
      <c r="HQ108" s="157"/>
      <c r="HU108" s="157"/>
      <c r="HY108" s="157"/>
      <c r="IC108" s="157"/>
      <c r="IG108" s="157"/>
      <c r="IK108" s="157"/>
      <c r="IO108" s="157"/>
      <c r="IS108" s="157"/>
    </row>
    <row r="109" spans="1:253" x14ac:dyDescent="0.2">
      <c r="A109" s="209"/>
      <c r="B109" s="191">
        <v>28</v>
      </c>
      <c r="C109" s="141" t="s">
        <v>216</v>
      </c>
      <c r="D109" s="90">
        <f>(1-Dmax)*Ilrms^2*(Rdson_hs)</f>
        <v>4.0335324349245284E-2</v>
      </c>
      <c r="E109" s="145"/>
      <c r="F109" s="143"/>
      <c r="G109" s="192" t="s">
        <v>12</v>
      </c>
      <c r="H109" s="143" t="s">
        <v>360</v>
      </c>
      <c r="I109" s="213"/>
      <c r="J109" s="217"/>
    </row>
    <row r="110" spans="1:253" x14ac:dyDescent="0.2">
      <c r="A110" s="209"/>
      <c r="B110" s="191"/>
      <c r="C110" s="141" t="s">
        <v>225</v>
      </c>
      <c r="D110" s="92">
        <f>Rg_ls</f>
        <v>2.2000000000000002</v>
      </c>
      <c r="E110" s="146"/>
      <c r="F110" s="143"/>
      <c r="G110" s="192" t="s">
        <v>29</v>
      </c>
      <c r="H110" s="143" t="s">
        <v>288</v>
      </c>
      <c r="I110" s="213"/>
      <c r="J110" s="217"/>
      <c r="M110" s="157"/>
      <c r="Q110" s="157"/>
      <c r="U110" s="157"/>
      <c r="Y110" s="157"/>
      <c r="AC110" s="157"/>
      <c r="AG110" s="157"/>
      <c r="AK110" s="157"/>
      <c r="AO110" s="157"/>
      <c r="AS110" s="157"/>
      <c r="AW110" s="157"/>
      <c r="BA110" s="157"/>
      <c r="BE110" s="157"/>
      <c r="BI110" s="157"/>
      <c r="BM110" s="157"/>
      <c r="BQ110" s="157"/>
      <c r="BU110" s="157"/>
      <c r="BY110" s="157"/>
      <c r="CC110" s="157"/>
      <c r="CG110" s="157"/>
      <c r="CK110" s="157"/>
      <c r="CO110" s="157"/>
      <c r="CS110" s="157"/>
      <c r="CW110" s="157"/>
      <c r="DA110" s="157"/>
      <c r="DE110" s="157"/>
      <c r="DI110" s="157"/>
      <c r="DM110" s="157"/>
      <c r="DQ110" s="157"/>
      <c r="DU110" s="157"/>
      <c r="DY110" s="157"/>
      <c r="EC110" s="157"/>
      <c r="EG110" s="157"/>
      <c r="EK110" s="157"/>
      <c r="EO110" s="157"/>
      <c r="ES110" s="157"/>
      <c r="EW110" s="157"/>
      <c r="FA110" s="157"/>
      <c r="FE110" s="157"/>
      <c r="FI110" s="157"/>
      <c r="FM110" s="157"/>
      <c r="FQ110" s="157"/>
      <c r="FU110" s="157"/>
      <c r="FY110" s="157"/>
      <c r="GC110" s="157"/>
      <c r="GG110" s="157"/>
      <c r="GK110" s="157"/>
      <c r="GO110" s="157"/>
      <c r="GS110" s="157"/>
      <c r="GW110" s="157"/>
      <c r="HA110" s="157"/>
      <c r="HE110" s="157"/>
      <c r="HI110" s="157"/>
      <c r="HM110" s="157"/>
      <c r="HQ110" s="157"/>
      <c r="HU110" s="157"/>
      <c r="HY110" s="157"/>
      <c r="IC110" s="157"/>
      <c r="IG110" s="157"/>
      <c r="IK110" s="157"/>
      <c r="IO110" s="157"/>
      <c r="IS110" s="157"/>
    </row>
    <row r="111" spans="1:253" x14ac:dyDescent="0.2">
      <c r="A111" s="209"/>
      <c r="B111" s="191"/>
      <c r="C111" s="141" t="s">
        <v>230</v>
      </c>
      <c r="D111" s="108">
        <v>1.3</v>
      </c>
      <c r="E111" s="146"/>
      <c r="F111" s="143"/>
      <c r="G111" s="192" t="s">
        <v>3</v>
      </c>
      <c r="H111" s="143" t="s">
        <v>235</v>
      </c>
      <c r="I111" s="213"/>
      <c r="J111" s="217"/>
      <c r="M111" s="157"/>
      <c r="Q111" s="157"/>
      <c r="U111" s="157"/>
      <c r="Y111" s="157"/>
      <c r="AC111" s="157"/>
      <c r="AG111" s="157"/>
      <c r="AK111" s="157"/>
      <c r="AO111" s="157"/>
      <c r="AS111" s="157"/>
      <c r="AW111" s="157"/>
      <c r="BA111" s="157"/>
      <c r="BE111" s="157"/>
      <c r="BI111" s="157"/>
      <c r="BM111" s="157"/>
      <c r="BQ111" s="157"/>
      <c r="BU111" s="157"/>
      <c r="BY111" s="157"/>
      <c r="CC111" s="157"/>
      <c r="CG111" s="157"/>
      <c r="CK111" s="157"/>
      <c r="CO111" s="157"/>
      <c r="CS111" s="157"/>
      <c r="CW111" s="157"/>
      <c r="DA111" s="157"/>
      <c r="DE111" s="157"/>
      <c r="DI111" s="157"/>
      <c r="DM111" s="157"/>
      <c r="DQ111" s="157"/>
      <c r="DU111" s="157"/>
      <c r="DY111" s="157"/>
      <c r="EC111" s="157"/>
      <c r="EG111" s="157"/>
      <c r="EK111" s="157"/>
      <c r="EO111" s="157"/>
      <c r="ES111" s="157"/>
      <c r="EW111" s="157"/>
      <c r="FA111" s="157"/>
      <c r="FE111" s="157"/>
      <c r="FI111" s="157"/>
      <c r="FM111" s="157"/>
      <c r="FQ111" s="157"/>
      <c r="FU111" s="157"/>
      <c r="FY111" s="157"/>
      <c r="GC111" s="157"/>
      <c r="GG111" s="157"/>
      <c r="GK111" s="157"/>
      <c r="GO111" s="157"/>
      <c r="GS111" s="157"/>
      <c r="GW111" s="157"/>
      <c r="HA111" s="157"/>
      <c r="HE111" s="157"/>
      <c r="HI111" s="157"/>
      <c r="HM111" s="157"/>
      <c r="HQ111" s="157"/>
      <c r="HU111" s="157"/>
      <c r="HY111" s="157"/>
      <c r="IC111" s="157"/>
      <c r="IG111" s="157"/>
      <c r="IK111" s="157"/>
      <c r="IO111" s="157"/>
      <c r="IS111" s="157"/>
    </row>
    <row r="112" spans="1:253" x14ac:dyDescent="0.2">
      <c r="A112" s="209"/>
      <c r="B112" s="191">
        <v>29</v>
      </c>
      <c r="C112" s="141" t="s">
        <v>231</v>
      </c>
      <c r="D112" s="90">
        <f>2*vf_body*Ilrms*tnonoverlap*fsw</f>
        <v>0.60851560575859953</v>
      </c>
      <c r="E112" s="146"/>
      <c r="F112" s="143"/>
      <c r="G112" s="192" t="s">
        <v>12</v>
      </c>
      <c r="H112" s="143" t="s">
        <v>361</v>
      </c>
      <c r="I112" s="213"/>
      <c r="J112" s="217"/>
      <c r="M112" s="157"/>
      <c r="Q112" s="157"/>
      <c r="U112" s="157"/>
      <c r="Y112" s="157"/>
      <c r="AC112" s="157"/>
      <c r="AG112" s="157"/>
      <c r="AK112" s="157"/>
      <c r="AO112" s="157"/>
      <c r="AS112" s="157"/>
      <c r="AW112" s="157"/>
      <c r="BA112" s="157"/>
      <c r="BE112" s="157"/>
      <c r="BI112" s="157"/>
      <c r="BM112" s="157"/>
      <c r="BQ112" s="157"/>
      <c r="BU112" s="157"/>
      <c r="BY112" s="157"/>
      <c r="CC112" s="157"/>
      <c r="CG112" s="157"/>
      <c r="CK112" s="157"/>
      <c r="CO112" s="157"/>
      <c r="CS112" s="157"/>
      <c r="CW112" s="157"/>
      <c r="DA112" s="157"/>
      <c r="DE112" s="157"/>
      <c r="DI112" s="157"/>
      <c r="DM112" s="157"/>
      <c r="DQ112" s="157"/>
      <c r="DU112" s="157"/>
      <c r="DY112" s="157"/>
      <c r="EC112" s="157"/>
      <c r="EG112" s="157"/>
      <c r="EK112" s="157"/>
      <c r="EO112" s="157"/>
      <c r="ES112" s="157"/>
      <c r="EW112" s="157"/>
      <c r="FA112" s="157"/>
      <c r="FE112" s="157"/>
      <c r="FI112" s="157"/>
      <c r="FM112" s="157"/>
      <c r="FQ112" s="157"/>
      <c r="FU112" s="157"/>
      <c r="FY112" s="157"/>
      <c r="GC112" s="157"/>
      <c r="GG112" s="157"/>
      <c r="GK112" s="157"/>
      <c r="GO112" s="157"/>
      <c r="GS112" s="157"/>
      <c r="GW112" s="157"/>
      <c r="HA112" s="157"/>
      <c r="HE112" s="157"/>
      <c r="HI112" s="157"/>
      <c r="HM112" s="157"/>
      <c r="HQ112" s="157"/>
      <c r="HU112" s="157"/>
      <c r="HY112" s="157"/>
      <c r="IC112" s="157"/>
      <c r="IG112" s="157"/>
      <c r="IK112" s="157"/>
      <c r="IO112" s="157"/>
      <c r="IS112" s="157"/>
    </row>
    <row r="113" spans="1:254" x14ac:dyDescent="0.2">
      <c r="A113" s="209"/>
      <c r="B113" s="191"/>
      <c r="C113" s="141" t="s">
        <v>336</v>
      </c>
      <c r="D113" s="90">
        <f>D109+D112</f>
        <v>0.64885093010784478</v>
      </c>
      <c r="E113" s="145"/>
      <c r="F113" s="143"/>
      <c r="G113" s="192" t="s">
        <v>12</v>
      </c>
      <c r="H113" s="143" t="s">
        <v>362</v>
      </c>
      <c r="I113" s="213"/>
      <c r="J113" s="217"/>
    </row>
    <row r="114" spans="1:254" x14ac:dyDescent="0.2">
      <c r="A114" s="209"/>
      <c r="B114" s="170"/>
      <c r="C114" s="151"/>
      <c r="D114" s="176"/>
      <c r="E114" s="176"/>
      <c r="F114" s="151"/>
      <c r="G114" s="155"/>
      <c r="H114" s="151"/>
      <c r="I114" s="213"/>
      <c r="J114" s="217"/>
    </row>
    <row r="115" spans="1:254" x14ac:dyDescent="0.2">
      <c r="A115" s="209"/>
      <c r="B115" s="281" t="s">
        <v>409</v>
      </c>
      <c r="C115" s="281"/>
      <c r="D115" s="181"/>
      <c r="E115" s="181"/>
      <c r="F115" s="173"/>
      <c r="G115" s="178"/>
      <c r="H115" s="173"/>
      <c r="I115" s="213"/>
      <c r="J115" s="217"/>
      <c r="M115" s="157"/>
      <c r="Q115" s="157"/>
      <c r="U115" s="157"/>
      <c r="Y115" s="157"/>
      <c r="AC115" s="157"/>
      <c r="AG115" s="157"/>
      <c r="AK115" s="157"/>
      <c r="AO115" s="157"/>
      <c r="AS115" s="157"/>
      <c r="AW115" s="157"/>
      <c r="BA115" s="157"/>
      <c r="BE115" s="157"/>
      <c r="BI115" s="157"/>
      <c r="BM115" s="157"/>
      <c r="BQ115" s="157"/>
      <c r="BU115" s="157"/>
      <c r="BY115" s="157"/>
      <c r="CC115" s="157"/>
      <c r="CG115" s="157"/>
      <c r="CK115" s="157"/>
      <c r="CO115" s="157"/>
      <c r="CS115" s="157"/>
      <c r="CW115" s="157"/>
      <c r="DA115" s="157"/>
      <c r="DE115" s="157"/>
      <c r="DI115" s="157"/>
      <c r="DM115" s="157"/>
      <c r="DQ115" s="157"/>
      <c r="DU115" s="157"/>
      <c r="DY115" s="157"/>
      <c r="EC115" s="157"/>
      <c r="EG115" s="157"/>
      <c r="EK115" s="157"/>
      <c r="EO115" s="157"/>
      <c r="ES115" s="157"/>
      <c r="EW115" s="157"/>
      <c r="FA115" s="157"/>
      <c r="FE115" s="157"/>
      <c r="FI115" s="157"/>
      <c r="FM115" s="157"/>
      <c r="FQ115" s="157"/>
      <c r="FU115" s="157"/>
      <c r="FY115" s="157"/>
      <c r="GC115" s="157"/>
      <c r="GG115" s="157"/>
      <c r="GK115" s="157"/>
      <c r="GO115" s="157"/>
      <c r="GS115" s="157"/>
      <c r="GW115" s="157"/>
      <c r="HA115" s="157"/>
      <c r="HE115" s="157"/>
      <c r="HI115" s="157"/>
      <c r="HM115" s="157"/>
      <c r="HQ115" s="157"/>
      <c r="HU115" s="157"/>
      <c r="HY115" s="157"/>
      <c r="IC115" s="157"/>
      <c r="IG115" s="157"/>
      <c r="IK115" s="157"/>
      <c r="IO115" s="157"/>
      <c r="IS115" s="157"/>
    </row>
    <row r="116" spans="1:254" x14ac:dyDescent="0.2">
      <c r="A116" s="209"/>
      <c r="B116" s="191">
        <v>25</v>
      </c>
      <c r="C116" s="141" t="s">
        <v>223</v>
      </c>
      <c r="D116" s="90">
        <f>Idrive_ls+Idrive_hs</f>
        <v>8.2050000000000005E-3</v>
      </c>
      <c r="E116" s="146"/>
      <c r="F116" s="143"/>
      <c r="G116" s="192" t="s">
        <v>2</v>
      </c>
      <c r="H116" s="143" t="s">
        <v>387</v>
      </c>
      <c r="I116" s="213"/>
      <c r="J116" s="217"/>
      <c r="M116" s="157"/>
      <c r="Q116" s="157"/>
      <c r="U116" s="157"/>
      <c r="Y116" s="157"/>
      <c r="AC116" s="157"/>
      <c r="AG116" s="157"/>
      <c r="AK116" s="157"/>
      <c r="AO116" s="157"/>
      <c r="AS116" s="157"/>
      <c r="AW116" s="157"/>
      <c r="BA116" s="157"/>
      <c r="BE116" s="157"/>
      <c r="BI116" s="157"/>
      <c r="BM116" s="157"/>
      <c r="BQ116" s="157"/>
      <c r="BU116" s="157"/>
      <c r="BY116" s="157"/>
      <c r="CC116" s="157"/>
      <c r="CG116" s="157"/>
      <c r="CK116" s="157"/>
      <c r="CO116" s="157"/>
      <c r="CS116" s="157"/>
      <c r="CW116" s="157"/>
      <c r="DA116" s="157"/>
      <c r="DE116" s="157"/>
      <c r="DI116" s="157"/>
      <c r="DM116" s="157"/>
      <c r="DQ116" s="157"/>
      <c r="DU116" s="157"/>
      <c r="DY116" s="157"/>
      <c r="EC116" s="157"/>
      <c r="EG116" s="157"/>
      <c r="EK116" s="157"/>
      <c r="EO116" s="157"/>
      <c r="ES116" s="157"/>
      <c r="EW116" s="157"/>
      <c r="FA116" s="157"/>
      <c r="FE116" s="157"/>
      <c r="FI116" s="157"/>
      <c r="FM116" s="157"/>
      <c r="FQ116" s="157"/>
      <c r="FU116" s="157"/>
      <c r="FY116" s="157"/>
      <c r="GC116" s="157"/>
      <c r="GG116" s="157"/>
      <c r="GK116" s="157"/>
      <c r="GO116" s="157"/>
      <c r="GS116" s="157"/>
      <c r="GW116" s="157"/>
      <c r="HA116" s="157"/>
      <c r="HE116" s="157"/>
      <c r="HI116" s="157"/>
      <c r="HM116" s="157"/>
      <c r="HQ116" s="157"/>
      <c r="HU116" s="157"/>
      <c r="HY116" s="157"/>
      <c r="IC116" s="157"/>
      <c r="IG116" s="157"/>
      <c r="IK116" s="157"/>
      <c r="IO116" s="157"/>
      <c r="IS116" s="157"/>
    </row>
    <row r="117" spans="1:254" x14ac:dyDescent="0.2">
      <c r="A117" s="209"/>
      <c r="B117" s="191"/>
      <c r="C117" s="141" t="s">
        <v>379</v>
      </c>
      <c r="D117" s="107">
        <v>4.6999999999999999E-6</v>
      </c>
      <c r="E117" s="146"/>
      <c r="F117" s="143"/>
      <c r="G117" s="192" t="s">
        <v>7</v>
      </c>
      <c r="H117" s="143" t="s">
        <v>444</v>
      </c>
      <c r="I117" s="213"/>
      <c r="J117" s="217"/>
      <c r="M117" s="157"/>
      <c r="Q117" s="157"/>
      <c r="U117" s="157"/>
      <c r="Y117" s="157"/>
      <c r="AC117" s="157"/>
      <c r="AG117" s="157"/>
      <c r="AK117" s="157"/>
      <c r="AO117" s="157"/>
      <c r="AS117" s="157"/>
      <c r="AW117" s="157"/>
      <c r="BA117" s="157"/>
      <c r="BE117" s="157"/>
      <c r="BI117" s="157"/>
      <c r="BM117" s="157"/>
      <c r="BQ117" s="157"/>
      <c r="BU117" s="157"/>
      <c r="BY117" s="157"/>
      <c r="CC117" s="157"/>
      <c r="CG117" s="157"/>
      <c r="CK117" s="157"/>
      <c r="CO117" s="157"/>
      <c r="CS117" s="157"/>
      <c r="CW117" s="157"/>
      <c r="DA117" s="157"/>
      <c r="DE117" s="157"/>
      <c r="DI117" s="157"/>
      <c r="DM117" s="157"/>
      <c r="DQ117" s="157"/>
      <c r="DU117" s="157"/>
      <c r="DY117" s="157"/>
      <c r="EC117" s="157"/>
      <c r="EG117" s="157"/>
      <c r="EK117" s="157"/>
      <c r="EO117" s="157"/>
      <c r="ES117" s="157"/>
      <c r="EW117" s="157"/>
      <c r="FA117" s="157"/>
      <c r="FE117" s="157"/>
      <c r="FI117" s="157"/>
      <c r="FM117" s="157"/>
      <c r="FQ117" s="157"/>
      <c r="FU117" s="157"/>
      <c r="FY117" s="157"/>
      <c r="GC117" s="157"/>
      <c r="GG117" s="157"/>
      <c r="GK117" s="157"/>
      <c r="GO117" s="157"/>
      <c r="GS117" s="157"/>
      <c r="GW117" s="157"/>
      <c r="HA117" s="157"/>
      <c r="HE117" s="157"/>
      <c r="HI117" s="157"/>
      <c r="HM117" s="157"/>
      <c r="HQ117" s="157"/>
      <c r="HU117" s="157"/>
      <c r="HY117" s="157"/>
      <c r="IC117" s="157"/>
      <c r="IG117" s="157"/>
      <c r="IK117" s="157"/>
      <c r="IO117" s="157"/>
      <c r="IS117" s="157"/>
    </row>
    <row r="118" spans="1:254" x14ac:dyDescent="0.2">
      <c r="A118" s="209"/>
      <c r="B118" s="189"/>
      <c r="C118" s="141" t="s">
        <v>366</v>
      </c>
      <c r="D118" s="130" t="str">
        <f>IF(Vfboot_int=0.75,"n/a","MBR1H100SFT3G")</f>
        <v>n/a</v>
      </c>
      <c r="E118" s="146"/>
      <c r="F118" s="143"/>
      <c r="G118" s="192"/>
      <c r="H118" s="143" t="s">
        <v>388</v>
      </c>
      <c r="I118" s="213"/>
      <c r="J118" s="217"/>
      <c r="M118" s="157"/>
      <c r="Q118" s="157"/>
      <c r="U118" s="157"/>
      <c r="Y118" s="157"/>
      <c r="AC118" s="157"/>
      <c r="AG118" s="157"/>
      <c r="AK118" s="157"/>
      <c r="AO118" s="157"/>
      <c r="AS118" s="157"/>
      <c r="AW118" s="157"/>
      <c r="BA118" s="157"/>
      <c r="BE118" s="157"/>
      <c r="BI118" s="157"/>
      <c r="BM118" s="157"/>
      <c r="BQ118" s="157"/>
      <c r="BU118" s="157"/>
      <c r="BY118" s="157"/>
      <c r="CC118" s="157"/>
      <c r="CG118" s="157"/>
      <c r="CK118" s="157"/>
      <c r="CO118" s="157"/>
      <c r="CS118" s="157"/>
      <c r="CW118" s="157"/>
      <c r="DA118" s="157"/>
      <c r="DE118" s="157"/>
      <c r="DI118" s="157"/>
      <c r="DM118" s="157"/>
      <c r="DQ118" s="157"/>
      <c r="DU118" s="157"/>
      <c r="DY118" s="157"/>
      <c r="EC118" s="157"/>
      <c r="EG118" s="157"/>
      <c r="EK118" s="157"/>
      <c r="EO118" s="157"/>
      <c r="ES118" s="157"/>
      <c r="EW118" s="157"/>
      <c r="FA118" s="157"/>
      <c r="FE118" s="157"/>
      <c r="FI118" s="157"/>
      <c r="FM118" s="157"/>
      <c r="FQ118" s="157"/>
      <c r="FU118" s="157"/>
      <c r="FY118" s="157"/>
      <c r="GC118" s="157"/>
      <c r="GG118" s="157"/>
      <c r="GK118" s="157"/>
      <c r="GO118" s="157"/>
      <c r="GS118" s="157"/>
      <c r="GW118" s="157"/>
      <c r="HA118" s="157"/>
      <c r="HE118" s="157"/>
      <c r="HI118" s="157"/>
      <c r="HM118" s="157"/>
      <c r="HQ118" s="157"/>
      <c r="HU118" s="157"/>
      <c r="HY118" s="157"/>
      <c r="IC118" s="157"/>
      <c r="IG118" s="157"/>
      <c r="IK118" s="157"/>
      <c r="IO118" s="157"/>
      <c r="IS118" s="157"/>
    </row>
    <row r="119" spans="1:254" x14ac:dyDescent="0.2">
      <c r="A119" s="209"/>
      <c r="B119" s="189"/>
      <c r="C119" s="141" t="s">
        <v>224</v>
      </c>
      <c r="D119" s="108">
        <f>IF(Vfboot_int=0.75,0.75,0.7)</f>
        <v>0.75</v>
      </c>
      <c r="E119" s="146"/>
      <c r="F119" s="143"/>
      <c r="G119" s="192" t="s">
        <v>3</v>
      </c>
      <c r="H119" s="143" t="s">
        <v>226</v>
      </c>
      <c r="I119" s="213"/>
      <c r="J119" s="217"/>
      <c r="M119" s="157"/>
      <c r="Q119" s="157"/>
      <c r="U119" s="157"/>
      <c r="Y119" s="157"/>
      <c r="AC119" s="157"/>
      <c r="AG119" s="157"/>
      <c r="AK119" s="157"/>
      <c r="AO119" s="157"/>
      <c r="AS119" s="157"/>
      <c r="AW119" s="157"/>
      <c r="BA119" s="157"/>
      <c r="BE119" s="157"/>
      <c r="BI119" s="157"/>
      <c r="BM119" s="157"/>
      <c r="BQ119" s="157"/>
      <c r="BU119" s="157"/>
      <c r="BY119" s="157"/>
      <c r="CC119" s="157"/>
      <c r="CG119" s="157"/>
      <c r="CK119" s="157"/>
      <c r="CO119" s="157"/>
      <c r="CS119" s="157"/>
      <c r="CW119" s="157"/>
      <c r="DA119" s="157"/>
      <c r="DE119" s="157"/>
      <c r="DI119" s="157"/>
      <c r="DM119" s="157"/>
      <c r="DQ119" s="157"/>
      <c r="DU119" s="157"/>
      <c r="DY119" s="157"/>
      <c r="EC119" s="157"/>
      <c r="EG119" s="157"/>
      <c r="EK119" s="157"/>
      <c r="EO119" s="157"/>
      <c r="ES119" s="157"/>
      <c r="EW119" s="157"/>
      <c r="FA119" s="157"/>
      <c r="FE119" s="157"/>
      <c r="FI119" s="157"/>
      <c r="FM119" s="157"/>
      <c r="FQ119" s="157"/>
      <c r="FU119" s="157"/>
      <c r="FY119" s="157"/>
      <c r="GC119" s="157"/>
      <c r="GG119" s="157"/>
      <c r="GK119" s="157"/>
      <c r="GO119" s="157"/>
      <c r="GS119" s="157"/>
      <c r="GW119" s="157"/>
      <c r="HA119" s="157"/>
      <c r="HE119" s="157"/>
      <c r="HI119" s="157"/>
      <c r="HM119" s="157"/>
      <c r="HQ119" s="157"/>
      <c r="HU119" s="157"/>
      <c r="HY119" s="157"/>
      <c r="IC119" s="157"/>
      <c r="IG119" s="157"/>
      <c r="IK119" s="157"/>
      <c r="IO119" s="157"/>
      <c r="IS119" s="157"/>
    </row>
    <row r="120" spans="1:254" ht="12.75" hidden="1" customHeight="1" x14ac:dyDescent="0.2">
      <c r="A120" s="209"/>
      <c r="B120" s="189"/>
      <c r="C120" s="141" t="s">
        <v>242</v>
      </c>
      <c r="D120" s="89">
        <f>Idrive_ls*Vcc_typ+Idrive_hs*(Vcc_typ-Vfboot)</f>
        <v>4.2050625000000001E-2</v>
      </c>
      <c r="E120" s="146"/>
      <c r="F120" s="143"/>
      <c r="G120" s="192" t="s">
        <v>12</v>
      </c>
      <c r="H120" s="143" t="s">
        <v>316</v>
      </c>
      <c r="I120" s="213"/>
      <c r="J120" s="217"/>
      <c r="M120" s="157"/>
      <c r="Q120" s="157"/>
      <c r="U120" s="157"/>
      <c r="Y120" s="157"/>
      <c r="AC120" s="157"/>
      <c r="AG120" s="157"/>
      <c r="AK120" s="157"/>
      <c r="AO120" s="157"/>
      <c r="AS120" s="157"/>
      <c r="AW120" s="157"/>
      <c r="BA120" s="157"/>
      <c r="BE120" s="157"/>
      <c r="BI120" s="157"/>
      <c r="BM120" s="157"/>
      <c r="BQ120" s="157"/>
      <c r="BU120" s="157"/>
      <c r="BY120" s="157"/>
      <c r="CC120" s="157"/>
      <c r="CG120" s="157"/>
      <c r="CK120" s="157"/>
      <c r="CO120" s="157"/>
      <c r="CS120" s="157"/>
      <c r="CW120" s="157"/>
      <c r="DA120" s="157"/>
      <c r="DE120" s="157"/>
      <c r="DI120" s="157"/>
      <c r="DM120" s="157"/>
      <c r="DQ120" s="157"/>
      <c r="DU120" s="157"/>
      <c r="DY120" s="157"/>
      <c r="EC120" s="157"/>
      <c r="EG120" s="157"/>
      <c r="EK120" s="157"/>
      <c r="EO120" s="157"/>
      <c r="ES120" s="157"/>
      <c r="EW120" s="157"/>
      <c r="FA120" s="157"/>
      <c r="FE120" s="157"/>
      <c r="FI120" s="157"/>
      <c r="FM120" s="157"/>
      <c r="FQ120" s="157"/>
      <c r="FU120" s="157"/>
      <c r="FY120" s="157"/>
      <c r="GC120" s="157"/>
      <c r="GG120" s="157"/>
      <c r="GK120" s="157"/>
      <c r="GO120" s="157"/>
      <c r="GS120" s="157"/>
      <c r="GW120" s="157"/>
      <c r="HA120" s="157"/>
      <c r="HE120" s="157"/>
      <c r="HI120" s="157"/>
      <c r="HM120" s="157"/>
      <c r="HQ120" s="157"/>
      <c r="HU120" s="157"/>
      <c r="HY120" s="157"/>
      <c r="IC120" s="157"/>
      <c r="IG120" s="157"/>
      <c r="IK120" s="157"/>
      <c r="IO120" s="157"/>
      <c r="IS120" s="157"/>
    </row>
    <row r="121" spans="1:254" ht="12.75" hidden="1" customHeight="1" x14ac:dyDescent="0.2">
      <c r="A121" s="209"/>
      <c r="B121" s="189"/>
      <c r="C121" s="141" t="s">
        <v>222</v>
      </c>
      <c r="D121" s="92">
        <v>0</v>
      </c>
      <c r="E121" s="146"/>
      <c r="F121" s="143"/>
      <c r="G121" s="192" t="s">
        <v>29</v>
      </c>
      <c r="H121" s="143" t="s">
        <v>292</v>
      </c>
      <c r="I121" s="213"/>
      <c r="J121" s="217"/>
      <c r="M121" s="157"/>
      <c r="Q121" s="157"/>
      <c r="U121" s="157"/>
      <c r="Y121" s="157"/>
      <c r="AC121" s="157"/>
      <c r="AG121" s="157"/>
      <c r="AK121" s="157"/>
      <c r="AO121" s="157"/>
      <c r="AS121" s="157"/>
      <c r="AW121" s="157"/>
      <c r="BA121" s="157"/>
      <c r="BE121" s="157"/>
      <c r="BI121" s="157"/>
      <c r="BM121" s="157"/>
      <c r="BQ121" s="157"/>
      <c r="BU121" s="157"/>
      <c r="BY121" s="157"/>
      <c r="CC121" s="157"/>
      <c r="CG121" s="157"/>
      <c r="CK121" s="157"/>
      <c r="CO121" s="157"/>
      <c r="CS121" s="157"/>
      <c r="CW121" s="157"/>
      <c r="DA121" s="157"/>
      <c r="DE121" s="157"/>
      <c r="DI121" s="157"/>
      <c r="DM121" s="157"/>
      <c r="DQ121" s="157"/>
      <c r="DU121" s="157"/>
      <c r="DY121" s="157"/>
      <c r="EC121" s="157"/>
      <c r="EG121" s="157"/>
      <c r="EK121" s="157"/>
      <c r="EO121" s="157"/>
      <c r="ES121" s="157"/>
      <c r="EW121" s="157"/>
      <c r="FA121" s="157"/>
      <c r="FE121" s="157"/>
      <c r="FI121" s="157"/>
      <c r="FM121" s="157"/>
      <c r="FQ121" s="157"/>
      <c r="FU121" s="157"/>
      <c r="FY121" s="157"/>
      <c r="GC121" s="157"/>
      <c r="GG121" s="157"/>
      <c r="GK121" s="157"/>
      <c r="GO121" s="157"/>
      <c r="GS121" s="157"/>
      <c r="GW121" s="157"/>
      <c r="HA121" s="157"/>
      <c r="HE121" s="157"/>
      <c r="HI121" s="157"/>
      <c r="HM121" s="157"/>
      <c r="HQ121" s="157"/>
      <c r="HU121" s="157"/>
      <c r="HY121" s="157"/>
      <c r="IC121" s="157"/>
      <c r="IG121" s="157"/>
      <c r="IK121" s="157"/>
      <c r="IO121" s="157"/>
      <c r="IS121" s="157"/>
    </row>
    <row r="122" spans="1:254" ht="12.75" hidden="1" customHeight="1" x14ac:dyDescent="0.2">
      <c r="A122" s="209"/>
      <c r="B122" s="189"/>
      <c r="C122" s="141" t="s">
        <v>228</v>
      </c>
      <c r="D122" s="92">
        <v>0</v>
      </c>
      <c r="E122" s="146"/>
      <c r="F122" s="143"/>
      <c r="G122" s="192" t="s">
        <v>29</v>
      </c>
      <c r="H122" s="143" t="s">
        <v>293</v>
      </c>
      <c r="I122" s="213"/>
      <c r="J122" s="217"/>
      <c r="M122" s="157"/>
      <c r="Q122" s="157"/>
      <c r="U122" s="157"/>
      <c r="Y122" s="157"/>
      <c r="AC122" s="157"/>
      <c r="AG122" s="157"/>
      <c r="AK122" s="157"/>
      <c r="AO122" s="157"/>
      <c r="AS122" s="157"/>
      <c r="AW122" s="157"/>
      <c r="BA122" s="157"/>
      <c r="BE122" s="157"/>
      <c r="BI122" s="157"/>
      <c r="BM122" s="157"/>
      <c r="BQ122" s="157"/>
      <c r="BU122" s="157"/>
      <c r="BY122" s="157"/>
      <c r="CC122" s="157"/>
      <c r="CG122" s="157"/>
      <c r="CK122" s="157"/>
      <c r="CO122" s="157"/>
      <c r="CS122" s="157"/>
      <c r="CW122" s="157"/>
      <c r="DA122" s="157"/>
      <c r="DE122" s="157"/>
      <c r="DI122" s="157"/>
      <c r="DM122" s="157"/>
      <c r="DQ122" s="157"/>
      <c r="DU122" s="157"/>
      <c r="DY122" s="157"/>
      <c r="EC122" s="157"/>
      <c r="EG122" s="157"/>
      <c r="EK122" s="157"/>
      <c r="EO122" s="157"/>
      <c r="ES122" s="157"/>
      <c r="EW122" s="157"/>
      <c r="FA122" s="157"/>
      <c r="FE122" s="157"/>
      <c r="FI122" s="157"/>
      <c r="FM122" s="157"/>
      <c r="FQ122" s="157"/>
      <c r="FU122" s="157"/>
      <c r="FY122" s="157"/>
      <c r="GC122" s="157"/>
      <c r="GG122" s="157"/>
      <c r="GK122" s="157"/>
      <c r="GO122" s="157"/>
      <c r="GS122" s="157"/>
      <c r="GW122" s="157"/>
      <c r="HA122" s="157"/>
      <c r="HE122" s="157"/>
      <c r="HI122" s="157"/>
      <c r="HM122" s="157"/>
      <c r="HQ122" s="157"/>
      <c r="HU122" s="157"/>
      <c r="HY122" s="157"/>
      <c r="IC122" s="157"/>
      <c r="IG122" s="157"/>
      <c r="IK122" s="157"/>
      <c r="IO122" s="157"/>
      <c r="IS122" s="157"/>
    </row>
    <row r="123" spans="1:254" x14ac:dyDescent="0.2">
      <c r="A123" s="209"/>
      <c r="B123" s="189"/>
      <c r="C123" s="141" t="s">
        <v>242</v>
      </c>
      <c r="D123" s="89">
        <f>(Vcc_typ-Vfboot)*Qg_hs*fsw/2*(Rhdrv_pu/(Rhdrv_pu+Rg_hs+Rgd_hs)+Rhdrv_pd/(Rhdrv_pd+Rg_hs+Rgd_hs))+Vcc_typ*Qg_ls*fsw/2*(Rldrv_pu/(Rldrv_pu+Rg_ls+Rgd_ls)+Rldrv_pd/(Rldrv_pd+Rg_ls+Rgd_ls))</f>
        <v>2.3138750482294627E-2</v>
      </c>
      <c r="E123" s="146"/>
      <c r="F123" s="143"/>
      <c r="G123" s="192" t="s">
        <v>12</v>
      </c>
      <c r="H123" s="143" t="s">
        <v>315</v>
      </c>
      <c r="I123" s="213"/>
      <c r="J123" s="217"/>
      <c r="M123" s="157"/>
      <c r="Q123" s="157"/>
      <c r="U123" s="157"/>
      <c r="Y123" s="157"/>
      <c r="AC123" s="157"/>
      <c r="AG123" s="157"/>
      <c r="AK123" s="157"/>
      <c r="AO123" s="157"/>
      <c r="AS123" s="157"/>
      <c r="AW123" s="157"/>
      <c r="BA123" s="157"/>
      <c r="BE123" s="157"/>
      <c r="BI123" s="157"/>
      <c r="BM123" s="157"/>
      <c r="BQ123" s="157"/>
      <c r="BU123" s="157"/>
      <c r="BY123" s="157"/>
      <c r="CC123" s="157"/>
      <c r="CG123" s="157"/>
      <c r="CK123" s="157"/>
      <c r="CO123" s="157"/>
      <c r="CS123" s="157"/>
      <c r="CW123" s="157"/>
      <c r="DA123" s="157"/>
      <c r="DE123" s="157"/>
      <c r="DI123" s="157"/>
      <c r="DM123" s="157"/>
      <c r="DQ123" s="157"/>
      <c r="DU123" s="157"/>
      <c r="DY123" s="157"/>
      <c r="EC123" s="157"/>
      <c r="EG123" s="157"/>
      <c r="EK123" s="157"/>
      <c r="EO123" s="157"/>
      <c r="ES123" s="157"/>
      <c r="EW123" s="157"/>
      <c r="FA123" s="157"/>
      <c r="FE123" s="157"/>
      <c r="FI123" s="157"/>
      <c r="FM123" s="157"/>
      <c r="FQ123" s="157"/>
      <c r="FU123" s="157"/>
      <c r="FY123" s="157"/>
      <c r="GC123" s="157"/>
      <c r="GG123" s="157"/>
      <c r="GK123" s="157"/>
      <c r="GO123" s="157"/>
      <c r="GS123" s="157"/>
      <c r="GW123" s="157"/>
      <c r="HA123" s="157"/>
      <c r="HE123" s="157"/>
      <c r="HI123" s="157"/>
      <c r="HM123" s="157"/>
      <c r="HQ123" s="157"/>
      <c r="HU123" s="157"/>
      <c r="HY123" s="157"/>
      <c r="IC123" s="157"/>
      <c r="IG123" s="157"/>
      <c r="IK123" s="157"/>
      <c r="IO123" s="157"/>
      <c r="IS123" s="157"/>
    </row>
    <row r="124" spans="1:254" x14ac:dyDescent="0.2">
      <c r="A124" s="209"/>
      <c r="B124" s="189"/>
      <c r="C124" s="141" t="s">
        <v>363</v>
      </c>
      <c r="D124" s="89">
        <f>(Vin_Max-Vcc_typ)*(Idrive_ls+Idrive_ls)</f>
        <v>6.5639999999999987E-3</v>
      </c>
      <c r="E124" s="146"/>
      <c r="F124" s="143"/>
      <c r="G124" s="192" t="s">
        <v>12</v>
      </c>
      <c r="H124" s="143" t="s">
        <v>364</v>
      </c>
      <c r="I124" s="213"/>
      <c r="J124" s="217"/>
      <c r="M124" s="157"/>
      <c r="Q124" s="157"/>
      <c r="U124" s="157"/>
      <c r="Y124" s="157"/>
      <c r="AC124" s="157"/>
      <c r="AG124" s="157"/>
      <c r="AK124" s="157"/>
      <c r="AO124" s="157"/>
      <c r="AS124" s="157"/>
      <c r="AW124" s="157"/>
      <c r="BA124" s="157"/>
      <c r="BE124" s="157"/>
      <c r="BI124" s="157"/>
      <c r="BM124" s="157"/>
      <c r="BQ124" s="157"/>
      <c r="BU124" s="157"/>
      <c r="BY124" s="157"/>
      <c r="CC124" s="157"/>
      <c r="CG124" s="157"/>
      <c r="CK124" s="157"/>
      <c r="CO124" s="157"/>
      <c r="CS124" s="157"/>
      <c r="CW124" s="157"/>
      <c r="DA124" s="157"/>
      <c r="DE124" s="157"/>
      <c r="DI124" s="157"/>
      <c r="DM124" s="157"/>
      <c r="DQ124" s="157"/>
      <c r="DU124" s="157"/>
      <c r="DY124" s="157"/>
      <c r="EC124" s="157"/>
      <c r="EG124" s="157"/>
      <c r="EK124" s="157"/>
      <c r="EO124" s="157"/>
      <c r="ES124" s="157"/>
      <c r="EW124" s="157"/>
      <c r="FA124" s="157"/>
      <c r="FE124" s="157"/>
      <c r="FI124" s="157"/>
      <c r="FM124" s="157"/>
      <c r="FQ124" s="157"/>
      <c r="FU124" s="157"/>
      <c r="FY124" s="157"/>
      <c r="GC124" s="157"/>
      <c r="GG124" s="157"/>
      <c r="GK124" s="157"/>
      <c r="GO124" s="157"/>
      <c r="GS124" s="157"/>
      <c r="GW124" s="157"/>
      <c r="HA124" s="157"/>
      <c r="HE124" s="157"/>
      <c r="HI124" s="157"/>
      <c r="HM124" s="157"/>
      <c r="HQ124" s="157"/>
      <c r="HU124" s="157"/>
      <c r="HY124" s="157"/>
      <c r="IC124" s="157"/>
      <c r="IG124" s="157"/>
      <c r="IK124" s="157"/>
      <c r="IO124" s="157"/>
      <c r="IS124" s="157"/>
    </row>
    <row r="125" spans="1:254" x14ac:dyDescent="0.2">
      <c r="A125" s="209"/>
      <c r="B125" s="189"/>
      <c r="C125" s="141" t="s">
        <v>234</v>
      </c>
      <c r="D125" s="89">
        <f>Vin_Nom*Iq</f>
        <v>3.5999999999999999E-3</v>
      </c>
      <c r="E125" s="146"/>
      <c r="F125" s="143"/>
      <c r="G125" s="192" t="s">
        <v>12</v>
      </c>
      <c r="H125" s="143" t="s">
        <v>294</v>
      </c>
      <c r="I125" s="213"/>
      <c r="J125" s="217"/>
      <c r="M125" s="157"/>
      <c r="Q125" s="157"/>
      <c r="U125" s="157"/>
      <c r="Y125" s="157"/>
      <c r="AC125" s="157"/>
      <c r="AG125" s="157"/>
      <c r="AK125" s="157"/>
      <c r="AO125" s="157"/>
      <c r="AS125" s="157"/>
      <c r="AW125" s="157"/>
      <c r="BA125" s="157"/>
      <c r="BE125" s="157"/>
      <c r="BI125" s="157"/>
      <c r="BM125" s="157"/>
      <c r="BQ125" s="157"/>
      <c r="BU125" s="157"/>
      <c r="BY125" s="157"/>
      <c r="CC125" s="157"/>
      <c r="CG125" s="157"/>
      <c r="CK125" s="157"/>
      <c r="CO125" s="157"/>
      <c r="CS125" s="157"/>
      <c r="CW125" s="157"/>
      <c r="DA125" s="157"/>
      <c r="DE125" s="157"/>
      <c r="DI125" s="157"/>
      <c r="DM125" s="157"/>
      <c r="DQ125" s="157"/>
      <c r="DU125" s="157"/>
      <c r="DY125" s="157"/>
      <c r="EC125" s="157"/>
      <c r="EG125" s="157"/>
      <c r="EK125" s="157"/>
      <c r="EO125" s="157"/>
      <c r="ES125" s="157"/>
      <c r="EW125" s="157"/>
      <c r="FA125" s="157"/>
      <c r="FE125" s="157"/>
      <c r="FI125" s="157"/>
      <c r="FM125" s="157"/>
      <c r="FQ125" s="157"/>
      <c r="FU125" s="157"/>
      <c r="FY125" s="157"/>
      <c r="GC125" s="157"/>
      <c r="GG125" s="157"/>
      <c r="GK125" s="157"/>
      <c r="GO125" s="157"/>
      <c r="GS125" s="157"/>
      <c r="GW125" s="157"/>
      <c r="HA125" s="157"/>
      <c r="HE125" s="157"/>
      <c r="HI125" s="157"/>
      <c r="HM125" s="157"/>
      <c r="HQ125" s="157"/>
      <c r="HU125" s="157"/>
      <c r="HY125" s="157"/>
      <c r="IC125" s="157"/>
      <c r="IG125" s="157"/>
      <c r="IK125" s="157"/>
      <c r="IO125" s="157"/>
      <c r="IS125" s="157"/>
    </row>
    <row r="126" spans="1:254" x14ac:dyDescent="0.2">
      <c r="A126" s="209"/>
      <c r="B126" s="170"/>
      <c r="C126" s="151"/>
      <c r="D126" s="176"/>
      <c r="E126" s="176"/>
      <c r="F126" s="151"/>
      <c r="G126" s="155"/>
      <c r="H126" s="151"/>
      <c r="I126" s="213"/>
      <c r="J126" s="217"/>
    </row>
    <row r="127" spans="1:254" x14ac:dyDescent="0.2">
      <c r="A127" s="209"/>
      <c r="B127" s="281" t="s">
        <v>112</v>
      </c>
      <c r="C127" s="281"/>
      <c r="D127" s="172"/>
      <c r="E127" s="172"/>
      <c r="F127" s="172"/>
      <c r="G127" s="174"/>
      <c r="H127" s="172"/>
      <c r="I127" s="229"/>
      <c r="J127" s="230"/>
      <c r="L127" s="182"/>
      <c r="M127" s="171"/>
      <c r="N127" s="171"/>
      <c r="P127" s="171"/>
      <c r="Q127" s="171"/>
      <c r="R127" s="171"/>
      <c r="T127" s="171"/>
      <c r="U127" s="171"/>
      <c r="V127" s="171"/>
      <c r="X127" s="171"/>
      <c r="Y127" s="171"/>
      <c r="Z127" s="171"/>
      <c r="AB127" s="171"/>
      <c r="AC127" s="171"/>
      <c r="AD127" s="171"/>
      <c r="AF127" s="171"/>
      <c r="AG127" s="171"/>
      <c r="AH127" s="171"/>
      <c r="AJ127" s="171"/>
      <c r="AK127" s="171"/>
      <c r="AL127" s="171"/>
      <c r="AN127" s="171"/>
      <c r="AO127" s="171"/>
      <c r="AP127" s="171"/>
      <c r="AR127" s="171"/>
      <c r="AS127" s="171"/>
      <c r="AT127" s="171"/>
      <c r="AV127" s="171"/>
      <c r="AW127" s="171"/>
      <c r="AX127" s="171"/>
      <c r="AZ127" s="171"/>
      <c r="BA127" s="171"/>
      <c r="BB127" s="171"/>
      <c r="BD127" s="171"/>
      <c r="BE127" s="171"/>
      <c r="BF127" s="171"/>
      <c r="BH127" s="171"/>
      <c r="BI127" s="171"/>
      <c r="BJ127" s="171"/>
      <c r="BL127" s="171"/>
      <c r="BM127" s="171"/>
      <c r="BN127" s="171"/>
      <c r="BP127" s="171"/>
      <c r="BQ127" s="171"/>
      <c r="BR127" s="171"/>
      <c r="BT127" s="171"/>
      <c r="BU127" s="171"/>
      <c r="BV127" s="171"/>
      <c r="BX127" s="171"/>
      <c r="BY127" s="171"/>
      <c r="BZ127" s="171"/>
      <c r="CB127" s="171"/>
      <c r="CC127" s="171"/>
      <c r="CD127" s="171"/>
      <c r="CF127" s="171"/>
      <c r="CG127" s="171"/>
      <c r="CH127" s="171"/>
      <c r="CJ127" s="171"/>
      <c r="CK127" s="171"/>
      <c r="CL127" s="171"/>
      <c r="CN127" s="171"/>
      <c r="CO127" s="171"/>
      <c r="CP127" s="171"/>
      <c r="CR127" s="171"/>
      <c r="CS127" s="171"/>
      <c r="CT127" s="171"/>
      <c r="CV127" s="171"/>
      <c r="CW127" s="171"/>
      <c r="CX127" s="171"/>
      <c r="CZ127" s="171"/>
      <c r="DA127" s="171"/>
      <c r="DB127" s="171"/>
      <c r="DD127" s="171"/>
      <c r="DE127" s="171"/>
      <c r="DF127" s="171"/>
      <c r="DH127" s="171"/>
      <c r="DI127" s="171"/>
      <c r="DJ127" s="171"/>
      <c r="DL127" s="171"/>
      <c r="DM127" s="171"/>
      <c r="DN127" s="171"/>
      <c r="DP127" s="171"/>
      <c r="DQ127" s="171"/>
      <c r="DR127" s="171"/>
      <c r="DT127" s="171"/>
      <c r="DU127" s="171"/>
      <c r="DV127" s="171"/>
      <c r="DX127" s="171"/>
      <c r="DY127" s="171"/>
      <c r="DZ127" s="171"/>
      <c r="EB127" s="171"/>
      <c r="EC127" s="171"/>
      <c r="ED127" s="171"/>
      <c r="EF127" s="171"/>
      <c r="EG127" s="171"/>
      <c r="EH127" s="171"/>
      <c r="EJ127" s="171"/>
      <c r="EK127" s="171"/>
      <c r="EL127" s="171"/>
      <c r="EN127" s="171"/>
      <c r="EO127" s="171"/>
      <c r="EP127" s="171"/>
      <c r="ER127" s="171"/>
      <c r="ES127" s="171"/>
      <c r="ET127" s="171"/>
      <c r="EV127" s="171"/>
      <c r="EW127" s="171"/>
      <c r="EX127" s="171"/>
      <c r="EZ127" s="171"/>
      <c r="FA127" s="171"/>
      <c r="FB127" s="171"/>
      <c r="FD127" s="171"/>
      <c r="FE127" s="171"/>
      <c r="FF127" s="171"/>
      <c r="FH127" s="171"/>
      <c r="FI127" s="171"/>
      <c r="FJ127" s="171"/>
      <c r="FL127" s="171"/>
      <c r="FM127" s="171"/>
      <c r="FN127" s="171"/>
      <c r="FP127" s="171"/>
      <c r="FQ127" s="171"/>
      <c r="FR127" s="171"/>
      <c r="FT127" s="171"/>
      <c r="FU127" s="171"/>
      <c r="FV127" s="171"/>
      <c r="FX127" s="171"/>
      <c r="FY127" s="171"/>
      <c r="FZ127" s="171"/>
      <c r="GB127" s="171"/>
      <c r="GC127" s="171"/>
      <c r="GD127" s="171"/>
      <c r="GF127" s="171"/>
      <c r="GG127" s="171"/>
      <c r="GH127" s="171"/>
      <c r="GJ127" s="171"/>
      <c r="GK127" s="171"/>
      <c r="GL127" s="171"/>
      <c r="GN127" s="171"/>
      <c r="GO127" s="171"/>
      <c r="GP127" s="171"/>
      <c r="GR127" s="171"/>
      <c r="GS127" s="171"/>
      <c r="GT127" s="171"/>
      <c r="GV127" s="171"/>
      <c r="GW127" s="171"/>
      <c r="GX127" s="171"/>
      <c r="GZ127" s="171"/>
      <c r="HA127" s="171"/>
      <c r="HB127" s="171"/>
      <c r="HD127" s="171"/>
      <c r="HE127" s="171"/>
      <c r="HF127" s="171"/>
      <c r="HH127" s="171"/>
      <c r="HI127" s="171"/>
      <c r="HJ127" s="171"/>
      <c r="HL127" s="171"/>
      <c r="HM127" s="171"/>
      <c r="HN127" s="171"/>
      <c r="HP127" s="171"/>
      <c r="HQ127" s="171"/>
      <c r="HR127" s="171"/>
      <c r="HT127" s="171"/>
      <c r="HU127" s="171"/>
      <c r="HV127" s="171"/>
      <c r="HX127" s="171"/>
      <c r="HY127" s="171"/>
      <c r="HZ127" s="171"/>
      <c r="IB127" s="171"/>
      <c r="IC127" s="171"/>
      <c r="ID127" s="171"/>
      <c r="IF127" s="171"/>
      <c r="IG127" s="171"/>
      <c r="IH127" s="171"/>
      <c r="IJ127" s="171"/>
      <c r="IK127" s="171"/>
      <c r="IL127" s="171"/>
      <c r="IN127" s="171"/>
      <c r="IO127" s="171"/>
      <c r="IP127" s="171"/>
      <c r="IR127" s="171"/>
      <c r="IS127" s="171"/>
      <c r="IT127" s="171"/>
    </row>
    <row r="128" spans="1:254" x14ac:dyDescent="0.2">
      <c r="A128" s="209"/>
      <c r="B128" s="191">
        <v>31</v>
      </c>
      <c r="C128" s="141" t="s">
        <v>424</v>
      </c>
      <c r="D128" s="88">
        <f>Iripple/(4*fsw*Viripple)</f>
        <v>6.2385080115576569E-6</v>
      </c>
      <c r="E128" s="146"/>
      <c r="F128" s="143"/>
      <c r="G128" s="192" t="s">
        <v>3</v>
      </c>
      <c r="H128" s="195" t="s">
        <v>227</v>
      </c>
      <c r="I128" s="213"/>
      <c r="J128" s="217"/>
      <c r="M128" s="157"/>
      <c r="Q128" s="157"/>
      <c r="U128" s="157"/>
      <c r="Y128" s="157"/>
      <c r="AC128" s="157"/>
      <c r="AG128" s="157"/>
      <c r="AK128" s="157"/>
      <c r="AO128" s="157"/>
      <c r="AS128" s="157"/>
      <c r="AW128" s="157"/>
      <c r="BA128" s="157"/>
      <c r="BE128" s="157"/>
      <c r="BI128" s="157"/>
      <c r="BM128" s="157"/>
      <c r="BQ128" s="157"/>
      <c r="BU128" s="157"/>
      <c r="BY128" s="157"/>
      <c r="CC128" s="157"/>
      <c r="CG128" s="157"/>
      <c r="CK128" s="157"/>
      <c r="CO128" s="157"/>
      <c r="CS128" s="157"/>
      <c r="CW128" s="157"/>
      <c r="DA128" s="157"/>
      <c r="DE128" s="157"/>
      <c r="DI128" s="157"/>
      <c r="DM128" s="157"/>
      <c r="DQ128" s="157"/>
      <c r="DU128" s="157"/>
      <c r="DY128" s="157"/>
      <c r="EC128" s="157"/>
      <c r="EG128" s="157"/>
      <c r="EK128" s="157"/>
      <c r="EO128" s="157"/>
      <c r="ES128" s="157"/>
      <c r="EW128" s="157"/>
      <c r="FA128" s="157"/>
      <c r="FE128" s="157"/>
      <c r="FI128" s="157"/>
      <c r="FM128" s="157"/>
      <c r="FQ128" s="157"/>
      <c r="FU128" s="157"/>
      <c r="FY128" s="157"/>
      <c r="GC128" s="157"/>
      <c r="GG128" s="157"/>
      <c r="GK128" s="157"/>
      <c r="GO128" s="157"/>
      <c r="GS128" s="157"/>
      <c r="GW128" s="157"/>
      <c r="HA128" s="157"/>
      <c r="HE128" s="157"/>
      <c r="HI128" s="157"/>
      <c r="HM128" s="157"/>
      <c r="HQ128" s="157"/>
      <c r="HU128" s="157"/>
      <c r="HY128" s="157"/>
      <c r="IC128" s="157"/>
      <c r="IG128" s="157"/>
      <c r="IK128" s="157"/>
      <c r="IO128" s="157"/>
      <c r="IS128" s="157"/>
    </row>
    <row r="129" spans="1:253" x14ac:dyDescent="0.2">
      <c r="A129" s="209"/>
      <c r="B129" s="140"/>
      <c r="C129" s="141" t="s">
        <v>425</v>
      </c>
      <c r="D129" s="100">
        <v>9.3999999999999998E-6</v>
      </c>
      <c r="E129" s="143"/>
      <c r="F129" s="143"/>
      <c r="G129" s="192" t="s">
        <v>7</v>
      </c>
      <c r="H129" s="143" t="s">
        <v>431</v>
      </c>
      <c r="I129" s="213"/>
      <c r="J129" s="217"/>
      <c r="M129" s="157"/>
      <c r="Q129" s="157"/>
      <c r="U129" s="157"/>
      <c r="Y129" s="157"/>
      <c r="AC129" s="157"/>
      <c r="AG129" s="157"/>
      <c r="AK129" s="157"/>
      <c r="AO129" s="157"/>
      <c r="AS129" s="157"/>
      <c r="AW129" s="157"/>
      <c r="BA129" s="157"/>
      <c r="BE129" s="157"/>
      <c r="BI129" s="157"/>
      <c r="BM129" s="157"/>
      <c r="BQ129" s="157"/>
      <c r="BU129" s="157"/>
      <c r="BY129" s="157"/>
      <c r="CC129" s="157"/>
      <c r="CG129" s="157"/>
      <c r="CK129" s="157"/>
      <c r="CO129" s="157"/>
      <c r="CS129" s="157"/>
      <c r="CW129" s="157"/>
      <c r="DA129" s="157"/>
      <c r="DE129" s="157"/>
      <c r="DI129" s="157"/>
      <c r="DM129" s="157"/>
      <c r="DQ129" s="157"/>
      <c r="DU129" s="157"/>
      <c r="DY129" s="157"/>
      <c r="EC129" s="157"/>
      <c r="EG129" s="157"/>
      <c r="EK129" s="157"/>
      <c r="EO129" s="157"/>
      <c r="ES129" s="157"/>
      <c r="EW129" s="157"/>
      <c r="FA129" s="157"/>
      <c r="FE129" s="157"/>
      <c r="FI129" s="157"/>
      <c r="FM129" s="157"/>
      <c r="FQ129" s="157"/>
      <c r="FU129" s="157"/>
      <c r="FY129" s="157"/>
      <c r="GC129" s="157"/>
      <c r="GG129" s="157"/>
      <c r="GK129" s="157"/>
      <c r="GO129" s="157"/>
      <c r="GS129" s="157"/>
      <c r="GW129" s="157"/>
      <c r="HA129" s="157"/>
      <c r="HE129" s="157"/>
      <c r="HI129" s="157"/>
      <c r="HM129" s="157"/>
      <c r="HQ129" s="157"/>
      <c r="HU129" s="157"/>
      <c r="HY129" s="157"/>
      <c r="IC129" s="157"/>
      <c r="IG129" s="157"/>
      <c r="IK129" s="157"/>
      <c r="IO129" s="157"/>
      <c r="IS129" s="157"/>
    </row>
    <row r="130" spans="1:253" x14ac:dyDescent="0.2">
      <c r="A130" s="209"/>
      <c r="B130" s="191">
        <v>32</v>
      </c>
      <c r="C130" s="141" t="s">
        <v>67</v>
      </c>
      <c r="D130" s="90">
        <f>Iripple/SQRT(12)</f>
        <v>0.32416238518330054</v>
      </c>
      <c r="E130" s="146"/>
      <c r="F130" s="143"/>
      <c r="G130" s="192" t="s">
        <v>2</v>
      </c>
      <c r="H130" s="195" t="s">
        <v>91</v>
      </c>
      <c r="I130" s="213"/>
      <c r="J130" s="217"/>
      <c r="M130" s="157"/>
      <c r="Q130" s="157"/>
      <c r="U130" s="157"/>
      <c r="Y130" s="157"/>
      <c r="AC130" s="157"/>
      <c r="AG130" s="157"/>
      <c r="AK130" s="157"/>
      <c r="AO130" s="157"/>
      <c r="AS130" s="157"/>
      <c r="AW130" s="157"/>
      <c r="BA130" s="157"/>
      <c r="BE130" s="157"/>
      <c r="BI130" s="157"/>
      <c r="BM130" s="157"/>
      <c r="BQ130" s="157"/>
      <c r="BU130" s="157"/>
      <c r="BY130" s="157"/>
      <c r="CC130" s="157"/>
      <c r="CG130" s="157"/>
      <c r="CK130" s="157"/>
      <c r="CO130" s="157"/>
      <c r="CS130" s="157"/>
      <c r="CW130" s="157"/>
      <c r="DA130" s="157"/>
      <c r="DE130" s="157"/>
      <c r="DI130" s="157"/>
      <c r="DM130" s="157"/>
      <c r="DQ130" s="157"/>
      <c r="DU130" s="157"/>
      <c r="DY130" s="157"/>
      <c r="EC130" s="157"/>
      <c r="EG130" s="157"/>
      <c r="EK130" s="157"/>
      <c r="EO130" s="157"/>
      <c r="ES130" s="157"/>
      <c r="EW130" s="157"/>
      <c r="FA130" s="157"/>
      <c r="FE130" s="157"/>
      <c r="FI130" s="157"/>
      <c r="FM130" s="157"/>
      <c r="FQ130" s="157"/>
      <c r="FU130" s="157"/>
      <c r="FY130" s="157"/>
      <c r="GC130" s="157"/>
      <c r="GG130" s="157"/>
      <c r="GK130" s="157"/>
      <c r="GO130" s="157"/>
      <c r="GS130" s="157"/>
      <c r="GW130" s="157"/>
      <c r="HA130" s="157"/>
      <c r="HE130" s="157"/>
      <c r="HI130" s="157"/>
      <c r="HM130" s="157"/>
      <c r="HQ130" s="157"/>
      <c r="HU130" s="157"/>
      <c r="HY130" s="157"/>
      <c r="IC130" s="157"/>
      <c r="IG130" s="157"/>
      <c r="IK130" s="157"/>
      <c r="IO130" s="157"/>
      <c r="IS130" s="157"/>
    </row>
    <row r="131" spans="1:253" x14ac:dyDescent="0.2">
      <c r="A131" s="209"/>
      <c r="B131" s="170"/>
      <c r="C131" s="151"/>
      <c r="D131" s="176"/>
      <c r="E131" s="176"/>
      <c r="F131" s="151"/>
      <c r="G131" s="155"/>
      <c r="H131" s="151"/>
      <c r="I131" s="213"/>
      <c r="J131" s="217"/>
    </row>
    <row r="132" spans="1:253" ht="15" x14ac:dyDescent="0.25">
      <c r="A132" s="213"/>
      <c r="B132" s="128" t="s">
        <v>120</v>
      </c>
      <c r="C132" s="127" t="s">
        <v>57</v>
      </c>
      <c r="D132" s="286" t="s">
        <v>9</v>
      </c>
      <c r="E132" s="287"/>
      <c r="F132" s="288"/>
      <c r="G132" s="127" t="s">
        <v>8</v>
      </c>
      <c r="H132" s="135" t="s">
        <v>422</v>
      </c>
      <c r="I132" s="233"/>
      <c r="J132" s="217"/>
      <c r="M132" s="157"/>
    </row>
    <row r="133" spans="1:253" x14ac:dyDescent="0.2">
      <c r="A133" s="209"/>
      <c r="B133" s="170"/>
      <c r="C133" s="151"/>
      <c r="D133" s="176"/>
      <c r="E133" s="176"/>
      <c r="F133" s="151"/>
      <c r="G133" s="155"/>
      <c r="H133" s="151"/>
      <c r="I133" s="213"/>
      <c r="J133" s="217"/>
    </row>
    <row r="134" spans="1:253" x14ac:dyDescent="0.2">
      <c r="A134" s="209"/>
      <c r="B134" s="281" t="s">
        <v>410</v>
      </c>
      <c r="C134" s="281"/>
      <c r="D134" s="173"/>
      <c r="E134" s="173"/>
      <c r="F134" s="173"/>
      <c r="G134" s="178"/>
      <c r="H134" s="173"/>
      <c r="I134" s="213"/>
      <c r="J134" s="217"/>
    </row>
    <row r="135" spans="1:253" x14ac:dyDescent="0.2">
      <c r="A135" s="209"/>
      <c r="B135" s="191"/>
      <c r="C135" s="141" t="s">
        <v>445</v>
      </c>
      <c r="D135" s="100">
        <v>11000</v>
      </c>
      <c r="E135" s="143"/>
      <c r="F135" s="143"/>
      <c r="G135" s="192" t="s">
        <v>29</v>
      </c>
      <c r="H135" s="143" t="s">
        <v>266</v>
      </c>
      <c r="I135" s="213"/>
      <c r="J135" s="217"/>
    </row>
    <row r="136" spans="1:253" x14ac:dyDescent="0.2">
      <c r="A136" s="209"/>
      <c r="B136" s="191">
        <v>33</v>
      </c>
      <c r="C136" s="141" t="s">
        <v>367</v>
      </c>
      <c r="D136" s="89">
        <f>Rsl*(Vout/Vref-1)</f>
        <v>205393.44262295082</v>
      </c>
      <c r="E136" s="101">
        <f>(IF((10^(LOG(D136)-INT(LOG(D136)))*100)-VLOOKUP((10^(LOG(D136)-INT(LOG(D136)))*100),E96_s:E96_f,1)&lt;VLOOKUP((10^(LOG(D136)-INT(LOG(D136)))*100),E96_s:E96_f,2)-(10^(LOG(D136)-INT(LOG(D136)))*100),VLOOKUP((10^(LOG(D136)-INT(LOG(D136)))*100),E96_s:E96_f,1),VLOOKUP((10^(LOG(D136)-INT(LOG(D136)))*100),E96_s:E96_f,2)))*10^INT(LOG(D136))/100</f>
        <v>205000</v>
      </c>
      <c r="F136" s="143"/>
      <c r="G136" s="192" t="s">
        <v>29</v>
      </c>
      <c r="H136" s="143" t="s">
        <v>265</v>
      </c>
      <c r="I136" s="213"/>
      <c r="J136" s="217"/>
    </row>
    <row r="137" spans="1:253" x14ac:dyDescent="0.2">
      <c r="A137" s="209"/>
      <c r="B137" s="191"/>
      <c r="C137" s="141" t="s">
        <v>368</v>
      </c>
      <c r="D137" s="100">
        <f>E136</f>
        <v>205000</v>
      </c>
      <c r="E137" s="146"/>
      <c r="F137" s="143"/>
      <c r="G137" s="192" t="s">
        <v>29</v>
      </c>
      <c r="H137" s="143" t="s">
        <v>106</v>
      </c>
      <c r="I137" s="213"/>
      <c r="J137" s="217"/>
    </row>
    <row r="138" spans="1:253" x14ac:dyDescent="0.2">
      <c r="A138" s="209"/>
      <c r="B138" s="158"/>
      <c r="C138" s="151"/>
      <c r="D138" s="177"/>
      <c r="E138" s="177"/>
      <c r="F138" s="177"/>
      <c r="G138" s="155"/>
      <c r="H138" s="151"/>
      <c r="I138" s="213"/>
      <c r="J138" s="217"/>
    </row>
    <row r="139" spans="1:253" x14ac:dyDescent="0.2">
      <c r="A139" s="209"/>
      <c r="B139" s="281" t="s">
        <v>411</v>
      </c>
      <c r="C139" s="281"/>
      <c r="D139" s="173"/>
      <c r="E139" s="173"/>
      <c r="F139" s="173"/>
      <c r="G139" s="178"/>
      <c r="H139" s="173"/>
      <c r="I139" s="213"/>
      <c r="J139" s="217"/>
      <c r="M139" s="157"/>
    </row>
    <row r="140" spans="1:253" x14ac:dyDescent="0.2">
      <c r="A140" s="209"/>
      <c r="B140" s="189"/>
      <c r="C140" s="141" t="s">
        <v>243</v>
      </c>
      <c r="D140" s="100">
        <v>2.5000000000000001E-2</v>
      </c>
      <c r="E140" s="143"/>
      <c r="F140" s="143"/>
      <c r="G140" s="192" t="s">
        <v>42</v>
      </c>
      <c r="H140" s="143" t="s">
        <v>244</v>
      </c>
      <c r="I140" s="213"/>
      <c r="J140" s="217"/>
      <c r="M140" s="157"/>
    </row>
    <row r="141" spans="1:253" x14ac:dyDescent="0.2">
      <c r="A141" s="209"/>
      <c r="B141" s="191">
        <v>34</v>
      </c>
      <c r="C141" s="141" t="s">
        <v>261</v>
      </c>
      <c r="D141" s="102">
        <f>tss*Iss/Vref</f>
        <v>1.0245901639344264E-7</v>
      </c>
      <c r="E141" s="104">
        <f>IF(D141*10^12&lt;10000,IF((10^(LOG(D141*10^12)-INT(LOG(D141*10^12))))-VLOOKUP((10^(LOG(D141*10^12)-INT(LOG(D141*10^12)))),c_s1:C_f1,1)&lt;VLOOKUP((10^(LOG(D141*10^12)-INT(LOG(D141*10^12)))),c_s1:C_f1,2)-(10^(LOG(D141*10^12)-INT(LOG(D141*10^12)))),VLOOKUP((10^(LOG(D141*10^12)-INT(LOG(D141*10^12)))),c_s1:C_f1,1),VLOOKUP((10^(LOG(D141*10^12)-INT(LOG(D141*10^12)))),c_s1:C_f1,2))*10^INT(LOG(D141*10^12)),IF((10^(LOG(D141*10^12)-INT(LOG(D141*10^12))))-VLOOKUP((10^(LOG(D141*10^12)-INT(LOG(D141*10^12)))),C_s2:C_f2,1)&lt;VLOOKUP((10^(LOG(D141*10^12)-INT(LOG(D141*10^12)))),C_s2:C_f2,2)-(10^(LOG(D141*10^12)-INT(LOG(D141*10^12)))),VLOOKUP((10^(LOG(D141*10^12)-INT(LOG(D141*10^12)))),C_s2:C_f2,1),VLOOKUP((10^(LOG(D141*10^12)-INT(LOG(D141*10^12)))),C_s2:C_f2,2))*10^INT(LOG(D141*10^12)))*10^-12</f>
        <v>9.9999999999999995E-8</v>
      </c>
      <c r="F141" s="143"/>
      <c r="G141" s="192" t="s">
        <v>7</v>
      </c>
      <c r="H141" s="143" t="s">
        <v>262</v>
      </c>
      <c r="I141" s="213"/>
      <c r="J141" s="217"/>
      <c r="M141" s="157"/>
    </row>
    <row r="142" spans="1:253" x14ac:dyDescent="0.2">
      <c r="A142" s="209"/>
      <c r="B142" s="191"/>
      <c r="C142" s="141" t="s">
        <v>446</v>
      </c>
      <c r="D142" s="100">
        <f>E141</f>
        <v>9.9999999999999995E-8</v>
      </c>
      <c r="E142" s="142"/>
      <c r="F142" s="143"/>
      <c r="G142" s="192" t="s">
        <v>7</v>
      </c>
      <c r="H142" s="143" t="s">
        <v>263</v>
      </c>
      <c r="I142" s="213"/>
      <c r="J142" s="217"/>
      <c r="M142" s="157"/>
    </row>
    <row r="143" spans="1:253" x14ac:dyDescent="0.2">
      <c r="A143" s="209"/>
      <c r="B143" s="170"/>
      <c r="C143" s="171"/>
      <c r="D143" s="171"/>
      <c r="E143" s="171"/>
      <c r="F143" s="151"/>
      <c r="G143" s="170"/>
      <c r="H143" s="171"/>
      <c r="I143" s="229"/>
      <c r="J143" s="217"/>
      <c r="M143" s="157"/>
    </row>
    <row r="144" spans="1:253" x14ac:dyDescent="0.2">
      <c r="A144" s="209"/>
      <c r="B144" s="281" t="s">
        <v>412</v>
      </c>
      <c r="C144" s="281"/>
      <c r="D144" s="173"/>
      <c r="E144" s="173"/>
      <c r="F144" s="173"/>
      <c r="G144" s="178"/>
      <c r="H144" s="173"/>
      <c r="I144" s="213"/>
      <c r="J144" s="217"/>
    </row>
    <row r="145" spans="1:13" x14ac:dyDescent="0.2">
      <c r="A145" s="209"/>
      <c r="B145" s="191">
        <v>35</v>
      </c>
      <c r="C145" s="141" t="s">
        <v>416</v>
      </c>
      <c r="D145" s="89">
        <f>(Vstart*(Ven_dis/Ven_on)-Vstop)/(Ien_pup*(1-Ven_dis/Ven_on)+Ien_hys)</f>
        <v>6753.3766883439685</v>
      </c>
      <c r="E145" s="101">
        <f>(IF((10^(LOG(D145)-INT(LOG(D145)))*100)-VLOOKUP((10^(LOG(D145)-INT(LOG(D145)))*100),E96_s:E96_f,1)&lt;VLOOKUP((10^(LOG(D145)-INT(LOG(D145)))*100),E96_s:E96_f,2)-(10^(LOG(D145)-INT(LOG(D145)))*100),VLOOKUP((10^(LOG(D145)-INT(LOG(D145)))*100),E96_s:E96_f,1),VLOOKUP((10^(LOG(D145)-INT(LOG(D145)))*100),E96_s:E96_f,2)))*10^INT(LOG(D145))/100</f>
        <v>6810</v>
      </c>
      <c r="F145" s="143"/>
      <c r="G145" s="192" t="s">
        <v>29</v>
      </c>
      <c r="H145" s="143" t="s">
        <v>267</v>
      </c>
      <c r="I145" s="213"/>
      <c r="J145" s="217"/>
    </row>
    <row r="146" spans="1:13" x14ac:dyDescent="0.2">
      <c r="A146" s="209"/>
      <c r="B146" s="191"/>
      <c r="C146" s="141" t="s">
        <v>447</v>
      </c>
      <c r="D146" s="100">
        <f>E145</f>
        <v>6810</v>
      </c>
      <c r="E146" s="143"/>
      <c r="F146" s="143"/>
      <c r="G146" s="192" t="s">
        <v>29</v>
      </c>
      <c r="H146" s="143" t="s">
        <v>268</v>
      </c>
      <c r="I146" s="213"/>
      <c r="J146" s="217"/>
    </row>
    <row r="147" spans="1:13" x14ac:dyDescent="0.2">
      <c r="A147" s="209"/>
      <c r="B147" s="191">
        <v>36</v>
      </c>
      <c r="C147" s="141" t="s">
        <v>417</v>
      </c>
      <c r="D147" s="89">
        <f>Ruvloh*Ven_dis/(Vstop-Ven_dis+Ruvloh*(Ien_pup+Ien_hys)+Ien_hys)</f>
        <v>2287.353657273256</v>
      </c>
      <c r="E147" s="101">
        <f>(IF((10^(LOG(D147)-INT(LOG(D147)))*100)-VLOOKUP((10^(LOG(D147)-INT(LOG(D147)))*100),E96_s:E96_f,1)&lt;VLOOKUP((10^(LOG(D147)-INT(LOG(D147)))*100),E96_s:E96_f,2)-(10^(LOG(D147)-INT(LOG(D147)))*100),VLOOKUP((10^(LOG(D147)-INT(LOG(D147)))*100),E96_s:E96_f,1),VLOOKUP((10^(LOG(D147)-INT(LOG(D147)))*100),E96_s:E96_f,2)))*10^INT(LOG(D147))/100</f>
        <v>2260</v>
      </c>
      <c r="F147" s="143"/>
      <c r="G147" s="192" t="s">
        <v>29</v>
      </c>
      <c r="H147" s="143" t="s">
        <v>270</v>
      </c>
      <c r="I147" s="213"/>
      <c r="J147" s="217"/>
    </row>
    <row r="148" spans="1:13" x14ac:dyDescent="0.2">
      <c r="A148" s="209"/>
      <c r="B148" s="191"/>
      <c r="C148" s="141" t="s">
        <v>448</v>
      </c>
      <c r="D148" s="100">
        <f>E147</f>
        <v>2260</v>
      </c>
      <c r="E148" s="146"/>
      <c r="F148" s="143"/>
      <c r="G148" s="192" t="s">
        <v>29</v>
      </c>
      <c r="H148" s="143" t="s">
        <v>269</v>
      </c>
      <c r="I148" s="213"/>
      <c r="J148" s="217"/>
    </row>
    <row r="149" spans="1:13" x14ac:dyDescent="0.2">
      <c r="A149" s="209"/>
      <c r="B149" s="140"/>
      <c r="C149" s="141" t="s">
        <v>369</v>
      </c>
      <c r="D149" s="106">
        <f>Ven_on-Ien_pup*Ruvloh-Ien_hys*Ven_on/Ven_dis+Ruvloh*Ven_on/Ruvlol</f>
        <v>4.8438005504114265</v>
      </c>
      <c r="E149" s="145"/>
      <c r="F149" s="143"/>
      <c r="G149" s="192" t="s">
        <v>3</v>
      </c>
      <c r="H149" s="143" t="s">
        <v>296</v>
      </c>
      <c r="I149" s="213"/>
      <c r="J149" s="217"/>
    </row>
    <row r="150" spans="1:13" x14ac:dyDescent="0.2">
      <c r="A150" s="209"/>
      <c r="B150" s="140"/>
      <c r="C150" s="141" t="s">
        <v>370</v>
      </c>
      <c r="D150" s="106">
        <f>Ven_dis-Ien_hys-Ien_hys*Ruvloh-Ien_pup*Ruvloh+Ruvloh*Ven_dis/Ruvlol</f>
        <v>4.541079543362831</v>
      </c>
      <c r="E150" s="145"/>
      <c r="F150" s="143"/>
      <c r="G150" s="192" t="s">
        <v>3</v>
      </c>
      <c r="H150" s="143" t="s">
        <v>295</v>
      </c>
      <c r="I150" s="213"/>
      <c r="J150" s="217"/>
    </row>
    <row r="151" spans="1:13" x14ac:dyDescent="0.2">
      <c r="A151" s="209"/>
      <c r="B151" s="158"/>
      <c r="C151" s="151"/>
      <c r="D151" s="176"/>
      <c r="E151" s="176"/>
      <c r="F151" s="151"/>
      <c r="G151" s="155"/>
      <c r="H151" s="151"/>
      <c r="I151" s="213"/>
      <c r="J151" s="217"/>
    </row>
    <row r="152" spans="1:13" x14ac:dyDescent="0.2">
      <c r="A152" s="209"/>
      <c r="B152" s="281" t="s">
        <v>449</v>
      </c>
      <c r="C152" s="281"/>
      <c r="D152" s="173"/>
      <c r="E152" s="173"/>
      <c r="F152" s="173"/>
      <c r="G152" s="178"/>
      <c r="H152" s="173"/>
      <c r="I152" s="213"/>
      <c r="J152" s="217"/>
    </row>
    <row r="153" spans="1:13" x14ac:dyDescent="0.2">
      <c r="A153" s="209"/>
      <c r="B153" s="191"/>
      <c r="C153" s="141" t="s">
        <v>450</v>
      </c>
      <c r="D153" s="100">
        <v>100000</v>
      </c>
      <c r="E153" s="143"/>
      <c r="F153" s="143"/>
      <c r="G153" s="192" t="s">
        <v>29</v>
      </c>
      <c r="H153" s="143" t="s">
        <v>451</v>
      </c>
      <c r="I153" s="213"/>
      <c r="J153" s="217"/>
    </row>
    <row r="154" spans="1:13" x14ac:dyDescent="0.2">
      <c r="A154" s="209"/>
      <c r="B154" s="158"/>
      <c r="C154" s="151"/>
      <c r="D154" s="177"/>
      <c r="E154" s="177"/>
      <c r="F154" s="177"/>
      <c r="G154" s="155"/>
      <c r="H154" s="151"/>
      <c r="I154" s="213"/>
      <c r="J154" s="217"/>
    </row>
    <row r="155" spans="1:13" ht="15" x14ac:dyDescent="0.25">
      <c r="A155" s="209"/>
      <c r="B155" s="128" t="s">
        <v>120</v>
      </c>
      <c r="C155" s="127" t="s">
        <v>31</v>
      </c>
      <c r="D155" s="286" t="s">
        <v>9</v>
      </c>
      <c r="E155" s="287"/>
      <c r="F155" s="288"/>
      <c r="G155" s="127" t="s">
        <v>8</v>
      </c>
      <c r="H155" s="135" t="s">
        <v>422</v>
      </c>
      <c r="I155" s="213"/>
      <c r="J155" s="217"/>
    </row>
    <row r="156" spans="1:13" x14ac:dyDescent="0.2">
      <c r="A156" s="209"/>
      <c r="B156" s="170"/>
      <c r="C156" s="171"/>
      <c r="D156" s="171"/>
      <c r="E156" s="171"/>
      <c r="F156" s="151"/>
      <c r="G156" s="170"/>
      <c r="H156" s="171"/>
      <c r="I156" s="213"/>
      <c r="J156" s="217"/>
    </row>
    <row r="157" spans="1:13" x14ac:dyDescent="0.2">
      <c r="A157" s="213"/>
      <c r="B157" s="281" t="s">
        <v>37</v>
      </c>
      <c r="C157" s="281"/>
      <c r="D157" s="172"/>
      <c r="E157" s="172"/>
      <c r="F157" s="173"/>
      <c r="G157" s="174"/>
      <c r="H157" s="172"/>
      <c r="I157" s="233"/>
      <c r="J157" s="217"/>
      <c r="M157" s="157"/>
    </row>
    <row r="158" spans="1:13" x14ac:dyDescent="0.2">
      <c r="A158" s="209"/>
      <c r="B158" s="191"/>
      <c r="C158" s="141" t="s">
        <v>10</v>
      </c>
      <c r="D158" s="105">
        <f>Vout/(Iout)</f>
        <v>24</v>
      </c>
      <c r="E158" s="144"/>
      <c r="F158" s="143"/>
      <c r="G158" s="192" t="s">
        <v>29</v>
      </c>
      <c r="H158" s="143" t="s">
        <v>64</v>
      </c>
      <c r="I158" s="229"/>
      <c r="J158" s="217"/>
      <c r="M158" s="157"/>
    </row>
    <row r="159" spans="1:13" x14ac:dyDescent="0.2">
      <c r="A159" s="209"/>
      <c r="B159" s="191">
        <v>37</v>
      </c>
      <c r="C159" s="141" t="s">
        <v>241</v>
      </c>
      <c r="D159" s="105">
        <f>20*LOG(Vin_Min/(2*40/3*Rsense*Iout))</f>
        <v>25.460025441274752</v>
      </c>
      <c r="E159" s="105">
        <f>Vin_Min/(2*40/3*Rsense*Iout)</f>
        <v>18.75</v>
      </c>
      <c r="F159" s="143"/>
      <c r="G159" s="192" t="s">
        <v>11</v>
      </c>
      <c r="H159" s="143" t="s">
        <v>297</v>
      </c>
      <c r="I159" s="229"/>
      <c r="J159" s="217"/>
      <c r="M159" s="157"/>
    </row>
    <row r="160" spans="1:13" x14ac:dyDescent="0.2">
      <c r="A160" s="209"/>
      <c r="B160" s="191">
        <v>38</v>
      </c>
      <c r="C160" s="141" t="s">
        <v>21</v>
      </c>
      <c r="D160" s="88">
        <f>2/(2*PI()*Ro*Co)</f>
        <v>1410.9480770558098</v>
      </c>
      <c r="E160" s="144"/>
      <c r="F160" s="143"/>
      <c r="G160" s="196" t="s">
        <v>5</v>
      </c>
      <c r="H160" s="143" t="s">
        <v>65</v>
      </c>
      <c r="I160" s="229"/>
      <c r="J160" s="217"/>
      <c r="M160" s="157"/>
    </row>
    <row r="161" spans="1:13" x14ac:dyDescent="0.2">
      <c r="A161" s="209"/>
      <c r="B161" s="191">
        <v>39</v>
      </c>
      <c r="C161" s="141" t="s">
        <v>20</v>
      </c>
      <c r="D161" s="88">
        <f>(Ro/(2*PI()*L))*(Vin_Min/Vout)^2</f>
        <v>35273.701926395246</v>
      </c>
      <c r="E161" s="144"/>
      <c r="F161" s="144"/>
      <c r="G161" s="196" t="s">
        <v>5</v>
      </c>
      <c r="H161" s="143" t="s">
        <v>66</v>
      </c>
      <c r="I161" s="229"/>
      <c r="J161" s="217"/>
      <c r="M161" s="157"/>
    </row>
    <row r="162" spans="1:13" x14ac:dyDescent="0.2">
      <c r="A162" s="209"/>
      <c r="B162" s="191">
        <v>40</v>
      </c>
      <c r="C162" s="141" t="s">
        <v>92</v>
      </c>
      <c r="D162" s="88">
        <f>1/(2*PI()*Co_esr*Co)</f>
        <v>677255.07698678866</v>
      </c>
      <c r="E162" s="144"/>
      <c r="F162" s="144"/>
      <c r="G162" s="192" t="s">
        <v>5</v>
      </c>
      <c r="H162" s="143" t="s">
        <v>298</v>
      </c>
      <c r="I162" s="229"/>
      <c r="J162" s="217"/>
      <c r="M162" s="157"/>
    </row>
    <row r="163" spans="1:13" x14ac:dyDescent="0.2">
      <c r="A163" s="209"/>
      <c r="B163" s="158"/>
      <c r="C163" s="171"/>
      <c r="D163" s="171"/>
      <c r="E163" s="151"/>
      <c r="F163" s="151"/>
      <c r="G163" s="170"/>
      <c r="H163" s="171"/>
      <c r="I163" s="229"/>
      <c r="J163" s="217"/>
      <c r="M163" s="157"/>
    </row>
    <row r="164" spans="1:13" x14ac:dyDescent="0.2">
      <c r="A164" s="209"/>
      <c r="B164" s="281" t="s">
        <v>413</v>
      </c>
      <c r="C164" s="281"/>
      <c r="D164" s="172"/>
      <c r="E164" s="172"/>
      <c r="F164" s="173"/>
      <c r="G164" s="174"/>
      <c r="H164" s="172"/>
      <c r="I164" s="229"/>
      <c r="J164" s="217"/>
      <c r="M164" s="157"/>
    </row>
    <row r="165" spans="1:13" x14ac:dyDescent="0.2">
      <c r="A165" s="209"/>
      <c r="B165" s="191">
        <v>41</v>
      </c>
      <c r="C165" s="141" t="s">
        <v>256</v>
      </c>
      <c r="D165" s="88">
        <f>frhpz/4</f>
        <v>8818.4254815988115</v>
      </c>
      <c r="E165" s="191"/>
      <c r="F165" s="191"/>
      <c r="G165" s="192" t="s">
        <v>5</v>
      </c>
      <c r="H165" s="143" t="s">
        <v>281</v>
      </c>
      <c r="I165" s="229"/>
      <c r="J165" s="217"/>
      <c r="M165" s="157"/>
    </row>
    <row r="166" spans="1:13" ht="12" customHeight="1" x14ac:dyDescent="0.2">
      <c r="A166" s="209"/>
      <c r="B166" s="191">
        <v>42</v>
      </c>
      <c r="C166" s="141" t="s">
        <v>257</v>
      </c>
      <c r="D166" s="88">
        <f>fsw/5</f>
        <v>150000</v>
      </c>
      <c r="E166" s="143"/>
      <c r="F166" s="143"/>
      <c r="G166" s="192" t="s">
        <v>5</v>
      </c>
      <c r="H166" s="143" t="s">
        <v>339</v>
      </c>
      <c r="I166" s="229"/>
      <c r="J166" s="217"/>
      <c r="M166" s="157"/>
    </row>
    <row r="167" spans="1:13" x14ac:dyDescent="0.2">
      <c r="A167" s="209"/>
      <c r="B167" s="191"/>
      <c r="C167" s="141" t="s">
        <v>371</v>
      </c>
      <c r="D167" s="107">
        <f>MIN(D166,D165)</f>
        <v>8818.4254815988115</v>
      </c>
      <c r="E167" s="143"/>
      <c r="F167" s="143"/>
      <c r="G167" s="192" t="s">
        <v>5</v>
      </c>
      <c r="H167" s="143" t="s">
        <v>69</v>
      </c>
      <c r="I167" s="213"/>
      <c r="J167" s="217"/>
      <c r="M167" s="157"/>
    </row>
    <row r="168" spans="1:13" x14ac:dyDescent="0.2">
      <c r="A168" s="209"/>
      <c r="B168" s="191"/>
      <c r="C168" s="141" t="s">
        <v>58</v>
      </c>
      <c r="D168" s="106">
        <f>VLOOKUP(MIN('Small Signal'!M4:M404),'Small Signal'!M4:AB404,16,FALSE)</f>
        <v>8.4252853505382568</v>
      </c>
      <c r="E168" s="147"/>
      <c r="F168" s="143"/>
      <c r="G168" s="192" t="s">
        <v>11</v>
      </c>
      <c r="H168" s="143" t="s">
        <v>258</v>
      </c>
      <c r="I168" s="213"/>
      <c r="J168" s="217"/>
      <c r="M168" s="157"/>
    </row>
    <row r="169" spans="1:13" x14ac:dyDescent="0.2">
      <c r="A169" s="209"/>
      <c r="B169" s="191"/>
      <c r="C169" s="141" t="s">
        <v>58</v>
      </c>
      <c r="D169" s="108">
        <f>D168</f>
        <v>8.4252853505382568</v>
      </c>
      <c r="E169" s="147"/>
      <c r="F169" s="143"/>
      <c r="G169" s="192" t="s">
        <v>11</v>
      </c>
      <c r="H169" s="143" t="s">
        <v>259</v>
      </c>
      <c r="I169" s="213"/>
      <c r="J169" s="217"/>
      <c r="M169" s="157"/>
    </row>
    <row r="170" spans="1:13" x14ac:dyDescent="0.2">
      <c r="A170" s="209"/>
      <c r="B170" s="191">
        <v>43</v>
      </c>
      <c r="C170" s="141" t="s">
        <v>114</v>
      </c>
      <c r="D170" s="88">
        <f>2*PI()*Co*40/3*Rsense*Vout*Fco_target*(Rsh+Rsl)/(Rsl*Vin_Min*gea)</f>
        <v>5950.4132231404938</v>
      </c>
      <c r="E170" s="101">
        <f>(IF((10^(LOG(D170)-INT(LOG(D170)))*100)-VLOOKUP((10^(LOG(D170)-INT(LOG(D170)))*100),E96_s:E96_f,1)&lt;VLOOKUP((10^(LOG(D170)-INT(LOG(D170)))*100),E96_s:E96_f,2)-(10^(LOG(D170)-INT(LOG(D170)))*100),VLOOKUP((10^(LOG(D170)-INT(LOG(D170)))*100),E96_s:E96_f,1),VLOOKUP((10^(LOG(D170)-INT(LOG(D170)))*100),E96_s:E96_f,2)))*10^INT(LOG(D170))/100</f>
        <v>5900</v>
      </c>
      <c r="F170" s="143"/>
      <c r="G170" s="192" t="s">
        <v>29</v>
      </c>
      <c r="H170" s="143" t="s">
        <v>372</v>
      </c>
      <c r="I170" s="213"/>
      <c r="J170" s="217"/>
      <c r="M170" s="157"/>
    </row>
    <row r="171" spans="1:13" x14ac:dyDescent="0.2">
      <c r="A171" s="209"/>
      <c r="B171" s="191"/>
      <c r="C171" s="141" t="s">
        <v>114</v>
      </c>
      <c r="D171" s="88">
        <f>1/(gea*Rsl/(Rsh+Rsl)*10^(PSgain_fco/20))</f>
        <v>6767.1236694954359</v>
      </c>
      <c r="E171" s="101">
        <f>(IF((10^(LOG(D171)-INT(LOG(D171)))*100)-VLOOKUP((10^(LOG(D171)-INT(LOG(D171)))*100),E96_s:E96_f,1)&lt;VLOOKUP((10^(LOG(D171)-INT(LOG(D171)))*100),E96_s:E96_f,2)-(10^(LOG(D171)-INT(LOG(D171)))*100),VLOOKUP((10^(LOG(D171)-INT(LOG(D171)))*100),E96_s:E96_f,1),VLOOKUP((10^(LOG(D171)-INT(LOG(D171)))*100),E96_s:E96_f,2)))*10^INT(LOG(D171))/100</f>
        <v>6810</v>
      </c>
      <c r="F171" s="143"/>
      <c r="G171" s="192" t="s">
        <v>29</v>
      </c>
      <c r="H171" s="143" t="s">
        <v>373</v>
      </c>
      <c r="I171" s="213"/>
      <c r="J171" s="217"/>
      <c r="M171" s="157"/>
    </row>
    <row r="172" spans="1:13" x14ac:dyDescent="0.2">
      <c r="A172" s="209"/>
      <c r="B172" s="191"/>
      <c r="C172" s="141" t="s">
        <v>282</v>
      </c>
      <c r="D172" s="107">
        <f>MIN(E170:E171)</f>
        <v>5900</v>
      </c>
      <c r="E172" s="143"/>
      <c r="F172" s="143"/>
      <c r="G172" s="192" t="s">
        <v>29</v>
      </c>
      <c r="H172" s="143" t="s">
        <v>86</v>
      </c>
      <c r="I172" s="213"/>
      <c r="J172" s="217"/>
      <c r="M172" s="157"/>
    </row>
    <row r="173" spans="1:13" x14ac:dyDescent="0.2">
      <c r="A173" s="209"/>
      <c r="B173" s="191">
        <v>44</v>
      </c>
      <c r="C173" s="141" t="s">
        <v>115</v>
      </c>
      <c r="D173" s="88">
        <f>1/(2*PI()*Rcomp*Fco_target/10)</f>
        <v>3.0589830508474576E-8</v>
      </c>
      <c r="E173" s="104">
        <f>IF(D173*10^12&lt;10000,IF((10^(LOG(D173*10^12)-INT(LOG(D173*10^12))))-VLOOKUP((10^(LOG(D173*10^12)-INT(LOG(D173*10^12)))),c_s1:C_f1,1)&lt;VLOOKUP((10^(LOG(D173*10^12)-INT(LOG(D173*10^12)))),c_s1:C_f1,2)-(10^(LOG(D173*10^12)-INT(LOG(D173*10^12)))),VLOOKUP((10^(LOG(D173*10^12)-INT(LOG(D173*10^12)))),c_s1:C_f1,1),VLOOKUP((10^(LOG(D173*10^12)-INT(LOG(D173*10^12)))),c_s1:C_f1,2))*10^INT(LOG(D173*10^12)),IF((10^(LOG(D173*10^12)-INT(LOG(D173*10^12))))-VLOOKUP((10^(LOG(D173*10^12)-INT(LOG(D173*10^12)))),C_s2:C_f2,1)&lt;VLOOKUP((10^(LOG(D173*10^12)-INT(LOG(D173*10^12)))),C_s2:C_f2,2)-(10^(LOG(D173*10^12)-INT(LOG(D173*10^12)))),VLOOKUP((10^(LOG(D173*10^12)-INT(LOG(D173*10^12)))),C_s2:C_f2,1),VLOOKUP((10^(LOG(D173*10^12)-INT(LOG(D173*10^12)))),C_s2:C_f2,2))*10^INT(LOG(D173*10^12)))*10^-12</f>
        <v>3.2999999999999998E-8</v>
      </c>
      <c r="F173" s="143"/>
      <c r="G173" s="192" t="s">
        <v>7</v>
      </c>
      <c r="H173" s="143" t="s">
        <v>87</v>
      </c>
      <c r="I173" s="213"/>
      <c r="J173" s="217"/>
      <c r="M173" s="157"/>
    </row>
    <row r="174" spans="1:13" x14ac:dyDescent="0.2">
      <c r="A174" s="209"/>
      <c r="B174" s="191"/>
      <c r="C174" s="141" t="s">
        <v>283</v>
      </c>
      <c r="D174" s="107">
        <f>E173</f>
        <v>3.2999999999999998E-8</v>
      </c>
      <c r="E174" s="143"/>
      <c r="F174" s="143"/>
      <c r="G174" s="192" t="s">
        <v>7</v>
      </c>
      <c r="H174" s="143" t="s">
        <v>88</v>
      </c>
      <c r="I174" s="213"/>
      <c r="J174" s="217"/>
      <c r="M174" s="157"/>
    </row>
    <row r="175" spans="1:13" x14ac:dyDescent="0.2">
      <c r="A175" s="209"/>
      <c r="B175" s="191">
        <v>46</v>
      </c>
      <c r="C175" s="141" t="s">
        <v>116</v>
      </c>
      <c r="D175" s="88">
        <f>1/(2*PI()*Rcomp*10*Fco_target)</f>
        <v>3.0589830508474579E-10</v>
      </c>
      <c r="E175" s="104">
        <f>IF(D175*10^12&lt;10000,IF((10^(LOG(D175*10^12)-INT(LOG(D175*10^12))))-VLOOKUP((10^(LOG(D175*10^12)-INT(LOG(D175*10^12)))),c_s1:C_f1,1)&lt;VLOOKUP((10^(LOG(D175*10^12)-INT(LOG(D175*10^12)))),c_s1:C_f1,2)-(10^(LOG(D175*10^12)-INT(LOG(D175*10^12)))),VLOOKUP((10^(LOG(D175*10^12)-INT(LOG(D175*10^12)))),c_s1:C_f1,1),VLOOKUP((10^(LOG(D175*10^12)-INT(LOG(D175*10^12)))),c_s1:C_f1,2))*10^INT(LOG(D175*10^12)),IF((10^(LOG(D175*10^12)-INT(LOG(D175*10^12))))-VLOOKUP((10^(LOG(D175*10^12)-INT(LOG(D175*10^12)))),C_s2:C_f2,1)&lt;VLOOKUP((10^(LOG(D175*10^12)-INT(LOG(D175*10^12)))),C_s2:C_f2,2)-(10^(LOG(D175*10^12)-INT(LOG(D175*10^12)))),VLOOKUP((10^(LOG(D175*10^12)-INT(LOG(D175*10^12)))),C_s2:C_f2,1),VLOOKUP((10^(LOG(D175*10^12)-INT(LOG(D175*10^12)))),C_s2:C_f2,2))*10^INT(LOG(D175*10^12)))*10^-12</f>
        <v>3.3E-10</v>
      </c>
      <c r="F175" s="143"/>
      <c r="G175" s="192" t="s">
        <v>7</v>
      </c>
      <c r="H175" s="197" t="s">
        <v>89</v>
      </c>
      <c r="I175" s="213"/>
      <c r="J175" s="217"/>
      <c r="M175" s="157"/>
    </row>
    <row r="176" spans="1:13" x14ac:dyDescent="0.2">
      <c r="A176" s="209"/>
      <c r="B176" s="191">
        <v>45</v>
      </c>
      <c r="C176" s="141" t="s">
        <v>117</v>
      </c>
      <c r="D176" s="88">
        <f>Co*Co_esr/Rcomp</f>
        <v>3.983050847457628E-11</v>
      </c>
      <c r="E176" s="104">
        <f>IF(D176*10^12&lt;10000,IF((10^(LOG(D176*10^12)-INT(LOG(D176*10^12))))-VLOOKUP((10^(LOG(D176*10^12)-INT(LOG(D176*10^12)))),c_s1:C_f1,1)&lt;VLOOKUP((10^(LOG(D176*10^12)-INT(LOG(D176*10^12)))),c_s1:C_f1,2)-(10^(LOG(D176*10^12)-INT(LOG(D176*10^12)))),VLOOKUP((10^(LOG(D176*10^12)-INT(LOG(D176*10^12)))),c_s1:C_f1,1),VLOOKUP((10^(LOG(D176*10^12)-INT(LOG(D176*10^12)))),c_s1:C_f1,2))*10^INT(LOG(D176*10^12)),IF((10^(LOG(D176*10^12)-INT(LOG(D176*10^12))))-VLOOKUP((10^(LOG(D176*10^12)-INT(LOG(D176*10^12)))),C_s2:C_f2,1)&lt;VLOOKUP((10^(LOG(D176*10^12)-INT(LOG(D176*10^12)))),C_s2:C_f2,2)-(10^(LOG(D176*10^12)-INT(LOG(D176*10^12)))),VLOOKUP((10^(LOG(D176*10^12)-INT(LOG(D176*10^12)))),C_s2:C_f2,1),VLOOKUP((10^(LOG(D176*10^12)-INT(LOG(D176*10^12)))),C_s2:C_f2,2))*10^INT(LOG(D176*10^12)))*10^-12</f>
        <v>3.9000000000000001E-11</v>
      </c>
      <c r="F176" s="143"/>
      <c r="G176" s="192" t="s">
        <v>7</v>
      </c>
      <c r="H176" s="197" t="s">
        <v>90</v>
      </c>
      <c r="I176" s="213"/>
      <c r="J176" s="217"/>
      <c r="M176" s="157"/>
    </row>
    <row r="177" spans="1:13" ht="12.75" customHeight="1" x14ac:dyDescent="0.2">
      <c r="A177" s="209"/>
      <c r="B177" s="191"/>
      <c r="C177" s="141" t="s">
        <v>284</v>
      </c>
      <c r="D177" s="107">
        <f>MAX(E175:E176)</f>
        <v>3.3E-10</v>
      </c>
      <c r="E177" s="144"/>
      <c r="F177" s="143"/>
      <c r="G177" s="192"/>
      <c r="H177" s="197" t="s">
        <v>129</v>
      </c>
      <c r="I177" s="213"/>
      <c r="J177" s="217"/>
      <c r="M177" s="157"/>
    </row>
    <row r="178" spans="1:13" ht="12.75" customHeight="1" x14ac:dyDescent="0.2">
      <c r="A178" s="209"/>
      <c r="B178" s="191"/>
      <c r="C178" s="141" t="s">
        <v>38</v>
      </c>
      <c r="D178" s="88">
        <f>1/(2*PI()*Rea*Ccomp)</f>
        <v>0.48228770633907686</v>
      </c>
      <c r="E178" s="144"/>
      <c r="F178" s="144"/>
      <c r="G178" s="192" t="s">
        <v>5</v>
      </c>
      <c r="H178" s="143" t="s">
        <v>127</v>
      </c>
      <c r="I178" s="213"/>
      <c r="J178" s="217"/>
      <c r="M178" s="157"/>
    </row>
    <row r="179" spans="1:13" x14ac:dyDescent="0.2">
      <c r="A179" s="209"/>
      <c r="B179" s="191"/>
      <c r="C179" s="141" t="s">
        <v>39</v>
      </c>
      <c r="D179" s="88">
        <f>1/(2*PI()*Rcomp*Ccomp)</f>
        <v>817.43679040521511</v>
      </c>
      <c r="E179" s="144"/>
      <c r="F179" s="144"/>
      <c r="G179" s="192" t="s">
        <v>5</v>
      </c>
      <c r="H179" s="143" t="s">
        <v>128</v>
      </c>
      <c r="I179" s="213"/>
      <c r="J179" s="217"/>
      <c r="M179" s="157"/>
    </row>
    <row r="180" spans="1:13" x14ac:dyDescent="0.2">
      <c r="A180" s="209"/>
      <c r="B180" s="191"/>
      <c r="C180" s="141" t="s">
        <v>40</v>
      </c>
      <c r="D180" s="88">
        <f>(1/(2*PI()*Chf*Rcomp))</f>
        <v>81743.679040521485</v>
      </c>
      <c r="E180" s="144"/>
      <c r="F180" s="144"/>
      <c r="G180" s="192" t="s">
        <v>5</v>
      </c>
      <c r="H180" s="143" t="s">
        <v>260</v>
      </c>
      <c r="I180" s="213"/>
      <c r="J180" s="217"/>
      <c r="M180" s="157"/>
    </row>
    <row r="181" spans="1:13" ht="15" x14ac:dyDescent="0.25">
      <c r="A181" s="209"/>
      <c r="B181" s="183" t="s">
        <v>313</v>
      </c>
      <c r="C181" s="151"/>
      <c r="D181" s="151"/>
      <c r="E181" s="151"/>
      <c r="F181" s="151"/>
      <c r="G181" s="155"/>
      <c r="H181" s="151"/>
      <c r="I181" s="213"/>
      <c r="J181" s="217"/>
      <c r="M181" s="157"/>
    </row>
    <row r="182" spans="1:13" ht="15" x14ac:dyDescent="0.25">
      <c r="A182" s="209"/>
      <c r="B182" s="287" t="s">
        <v>48</v>
      </c>
      <c r="C182" s="288"/>
      <c r="D182" s="286" t="s">
        <v>9</v>
      </c>
      <c r="E182" s="287"/>
      <c r="F182" s="288"/>
      <c r="G182" s="127" t="s">
        <v>8</v>
      </c>
      <c r="H182" s="135" t="s">
        <v>422</v>
      </c>
      <c r="I182" s="213"/>
      <c r="J182" s="217"/>
      <c r="M182" s="157"/>
    </row>
    <row r="183" spans="1:13" ht="15" x14ac:dyDescent="0.25">
      <c r="A183" s="209"/>
      <c r="B183" s="184"/>
      <c r="C183" s="185"/>
      <c r="D183" s="198" t="s">
        <v>43</v>
      </c>
      <c r="E183" s="199" t="s">
        <v>44</v>
      </c>
      <c r="F183" s="200" t="s">
        <v>45</v>
      </c>
      <c r="G183" s="186"/>
      <c r="H183" s="187"/>
      <c r="I183" s="213"/>
      <c r="J183" s="217"/>
    </row>
    <row r="184" spans="1:13" ht="15" x14ac:dyDescent="0.25">
      <c r="A184" s="210"/>
      <c r="B184" s="170"/>
      <c r="C184" s="141" t="s">
        <v>23</v>
      </c>
      <c r="D184" s="201" t="s">
        <v>53</v>
      </c>
      <c r="E184" s="95"/>
      <c r="F184" s="95">
        <v>58</v>
      </c>
      <c r="G184" s="192" t="s">
        <v>3</v>
      </c>
      <c r="H184" s="143" t="s">
        <v>0</v>
      </c>
      <c r="I184" s="234"/>
      <c r="J184" s="222"/>
    </row>
    <row r="185" spans="1:13" ht="15" x14ac:dyDescent="0.25">
      <c r="A185" s="211"/>
      <c r="B185" s="170"/>
      <c r="C185" s="141" t="s">
        <v>53</v>
      </c>
      <c r="D185" s="95">
        <v>4.5</v>
      </c>
      <c r="E185" s="95"/>
      <c r="F185" s="95">
        <v>38</v>
      </c>
      <c r="G185" s="192" t="s">
        <v>3</v>
      </c>
      <c r="H185" s="143" t="s">
        <v>46</v>
      </c>
      <c r="I185" s="235"/>
      <c r="J185" s="222"/>
    </row>
    <row r="186" spans="1:13" x14ac:dyDescent="0.2">
      <c r="A186" s="209"/>
      <c r="B186" s="170"/>
      <c r="C186" s="141" t="s">
        <v>35</v>
      </c>
      <c r="D186" s="97">
        <v>50000</v>
      </c>
      <c r="E186" s="96"/>
      <c r="F186" s="96">
        <v>1200000</v>
      </c>
      <c r="G186" s="192" t="s">
        <v>5</v>
      </c>
      <c r="H186" s="143" t="s">
        <v>47</v>
      </c>
      <c r="I186" s="213"/>
      <c r="J186" s="230"/>
    </row>
    <row r="187" spans="1:13" x14ac:dyDescent="0.2">
      <c r="A187" s="209"/>
      <c r="B187" s="170"/>
      <c r="C187" s="141" t="s">
        <v>174</v>
      </c>
      <c r="D187" s="202"/>
      <c r="E187" s="96">
        <f>0.0011</f>
        <v>1.1000000000000001E-3</v>
      </c>
      <c r="F187" s="97"/>
      <c r="G187" s="192" t="s">
        <v>1</v>
      </c>
      <c r="H187" s="143" t="s">
        <v>16</v>
      </c>
      <c r="I187" s="213"/>
      <c r="J187" s="230"/>
    </row>
    <row r="188" spans="1:13" x14ac:dyDescent="0.2">
      <c r="A188" s="209"/>
      <c r="B188" s="170"/>
      <c r="C188" s="141" t="s">
        <v>54</v>
      </c>
      <c r="D188" s="202"/>
      <c r="E188" s="97">
        <f>10*10^6</f>
        <v>10000000</v>
      </c>
      <c r="F188" s="202"/>
      <c r="G188" s="192" t="s">
        <v>29</v>
      </c>
      <c r="H188" s="143" t="s">
        <v>17</v>
      </c>
      <c r="I188" s="213"/>
      <c r="J188" s="230"/>
    </row>
    <row r="189" spans="1:13" x14ac:dyDescent="0.2">
      <c r="A189" s="209"/>
      <c r="B189" s="170"/>
      <c r="C189" s="141" t="s">
        <v>55</v>
      </c>
      <c r="D189" s="202"/>
      <c r="E189" s="95">
        <v>1.22</v>
      </c>
      <c r="F189" s="202"/>
      <c r="G189" s="192" t="s">
        <v>3</v>
      </c>
      <c r="H189" s="143" t="s">
        <v>18</v>
      </c>
      <c r="I189" s="213"/>
      <c r="J189" s="217"/>
    </row>
    <row r="190" spans="1:13" x14ac:dyDescent="0.2">
      <c r="A190" s="209"/>
      <c r="B190" s="170"/>
      <c r="C190" s="141" t="s">
        <v>232</v>
      </c>
      <c r="D190" s="202"/>
      <c r="E190" s="97">
        <v>9.9999999999999995E-8</v>
      </c>
      <c r="F190" s="202"/>
      <c r="G190" s="192" t="s">
        <v>42</v>
      </c>
      <c r="H190" s="143" t="s">
        <v>32</v>
      </c>
      <c r="I190" s="213"/>
      <c r="J190" s="217"/>
    </row>
    <row r="191" spans="1:13" x14ac:dyDescent="0.2">
      <c r="A191" s="209"/>
      <c r="B191" s="170"/>
      <c r="C191" s="141" t="s">
        <v>233</v>
      </c>
      <c r="D191" s="202"/>
      <c r="E191" s="97">
        <v>2.4999999999999999E-7</v>
      </c>
      <c r="F191" s="202"/>
      <c r="G191" s="192" t="s">
        <v>42</v>
      </c>
      <c r="H191" s="143" t="s">
        <v>193</v>
      </c>
      <c r="I191" s="213"/>
      <c r="J191" s="217"/>
    </row>
    <row r="192" spans="1:13" x14ac:dyDescent="0.2">
      <c r="A192" s="209"/>
      <c r="B192" s="170"/>
      <c r="C192" s="141" t="s">
        <v>341</v>
      </c>
      <c r="D192" s="98">
        <v>6.4000000000000001E-2</v>
      </c>
      <c r="E192" s="98">
        <v>7.2999999999999995E-2</v>
      </c>
      <c r="F192" s="98">
        <v>8.2000000000000003E-2</v>
      </c>
      <c r="G192" s="192" t="s">
        <v>3</v>
      </c>
      <c r="H192" s="143" t="s">
        <v>247</v>
      </c>
      <c r="I192" s="213"/>
      <c r="J192" s="217"/>
    </row>
    <row r="193" spans="1:10" x14ac:dyDescent="0.2">
      <c r="A193" s="209"/>
      <c r="B193" s="170"/>
      <c r="C193" s="141" t="s">
        <v>342</v>
      </c>
      <c r="D193" s="98">
        <v>5.0999999999999997E-2</v>
      </c>
      <c r="E193" s="98">
        <v>6.0999999999999999E-2</v>
      </c>
      <c r="F193" s="98">
        <v>7.1999999999999995E-2</v>
      </c>
      <c r="G193" s="192" t="s">
        <v>3</v>
      </c>
      <c r="H193" s="143" t="s">
        <v>246</v>
      </c>
      <c r="I193" s="213"/>
      <c r="J193" s="217"/>
    </row>
    <row r="194" spans="1:10" x14ac:dyDescent="0.2">
      <c r="A194" s="209"/>
      <c r="B194" s="170"/>
      <c r="C194" s="141" t="s">
        <v>229</v>
      </c>
      <c r="D194" s="98"/>
      <c r="E194" s="113">
        <f>LOOKUP($D$4,partdata!A4:A5,partdata!B4:B5)</f>
        <v>5.5</v>
      </c>
      <c r="F194" s="98"/>
      <c r="G194" s="192" t="s">
        <v>3</v>
      </c>
      <c r="H194" s="143" t="s">
        <v>248</v>
      </c>
      <c r="I194" s="213"/>
      <c r="J194" s="217"/>
    </row>
    <row r="195" spans="1:10" x14ac:dyDescent="0.2">
      <c r="A195" s="209"/>
      <c r="B195" s="170"/>
      <c r="C195" s="141" t="s">
        <v>224</v>
      </c>
      <c r="D195" s="98"/>
      <c r="E195" s="98">
        <f>LOOKUP($D$4,partdata!A4:A5,partdata!C4:C5)</f>
        <v>0.75</v>
      </c>
      <c r="F195" s="98"/>
      <c r="G195" s="192" t="s">
        <v>3</v>
      </c>
      <c r="H195" s="143" t="s">
        <v>249</v>
      </c>
      <c r="I195" s="213"/>
      <c r="J195" s="217"/>
    </row>
    <row r="196" spans="1:10" x14ac:dyDescent="0.2">
      <c r="A196" s="209"/>
      <c r="B196" s="170"/>
      <c r="C196" s="141" t="s">
        <v>323</v>
      </c>
      <c r="D196" s="98"/>
      <c r="E196" s="97">
        <v>6.5E-8</v>
      </c>
      <c r="F196" s="98"/>
      <c r="G196" s="192" t="s">
        <v>42</v>
      </c>
      <c r="H196" s="143" t="s">
        <v>322</v>
      </c>
      <c r="I196" s="213"/>
      <c r="J196" s="217"/>
    </row>
    <row r="197" spans="1:10" x14ac:dyDescent="0.2">
      <c r="A197" s="209"/>
      <c r="B197" s="170"/>
      <c r="C197" s="141" t="s">
        <v>275</v>
      </c>
      <c r="D197" s="98"/>
      <c r="E197" s="113">
        <f>LOOKUP($D$4,partdata!A4:A5,partdata!D4:D5)</f>
        <v>2.5</v>
      </c>
      <c r="F197" s="98"/>
      <c r="G197" s="192" t="s">
        <v>29</v>
      </c>
      <c r="H197" s="143" t="s">
        <v>273</v>
      </c>
      <c r="I197" s="213"/>
      <c r="J197" s="217"/>
    </row>
    <row r="198" spans="1:10" x14ac:dyDescent="0.2">
      <c r="A198" s="209"/>
      <c r="B198" s="170"/>
      <c r="C198" s="141" t="s">
        <v>274</v>
      </c>
      <c r="D198" s="98"/>
      <c r="E198" s="113">
        <f>LOOKUP($D$4,partdata!A4:A5,partdata!E4:E5)</f>
        <v>1.6</v>
      </c>
      <c r="F198" s="98"/>
      <c r="G198" s="192" t="s">
        <v>29</v>
      </c>
      <c r="H198" s="143" t="s">
        <v>278</v>
      </c>
      <c r="I198" s="213"/>
      <c r="J198" s="217"/>
    </row>
    <row r="199" spans="1:10" x14ac:dyDescent="0.2">
      <c r="A199" s="209"/>
      <c r="B199" s="170"/>
      <c r="C199" s="141" t="s">
        <v>276</v>
      </c>
      <c r="D199" s="98"/>
      <c r="E199" s="113">
        <f>LOOKUP($D$4,partdata!A4:A5,partdata!F4:F5)</f>
        <v>5</v>
      </c>
      <c r="F199" s="98"/>
      <c r="G199" s="192" t="s">
        <v>29</v>
      </c>
      <c r="H199" s="143" t="s">
        <v>279</v>
      </c>
      <c r="I199" s="213"/>
      <c r="J199" s="217"/>
    </row>
    <row r="200" spans="1:10" x14ac:dyDescent="0.2">
      <c r="A200" s="209"/>
      <c r="B200" s="170"/>
      <c r="C200" s="141" t="s">
        <v>277</v>
      </c>
      <c r="D200" s="98"/>
      <c r="E200" s="113">
        <f>LOOKUP($D$4,partdata!A4:A5,partdata!G4:G5)</f>
        <v>3</v>
      </c>
      <c r="F200" s="98"/>
      <c r="G200" s="192" t="s">
        <v>29</v>
      </c>
      <c r="H200" s="143" t="s">
        <v>280</v>
      </c>
      <c r="I200" s="213"/>
      <c r="J200" s="217"/>
    </row>
    <row r="201" spans="1:10" x14ac:dyDescent="0.2">
      <c r="A201" s="209"/>
      <c r="B201" s="170"/>
      <c r="C201" s="141" t="s">
        <v>236</v>
      </c>
      <c r="D201" s="98"/>
      <c r="E201" s="103">
        <v>1.21</v>
      </c>
      <c r="F201" s="98"/>
      <c r="G201" s="192" t="s">
        <v>3</v>
      </c>
      <c r="H201" s="143" t="s">
        <v>250</v>
      </c>
      <c r="I201" s="213"/>
      <c r="J201" s="217"/>
    </row>
    <row r="202" spans="1:10" x14ac:dyDescent="0.2">
      <c r="A202" s="209"/>
      <c r="B202" s="170"/>
      <c r="C202" s="141" t="s">
        <v>239</v>
      </c>
      <c r="D202" s="98"/>
      <c r="E202" s="103">
        <v>1.1399999999999999</v>
      </c>
      <c r="F202" s="98"/>
      <c r="G202" s="192" t="s">
        <v>3</v>
      </c>
      <c r="H202" s="143" t="s">
        <v>251</v>
      </c>
      <c r="I202" s="213"/>
      <c r="J202" s="217"/>
    </row>
    <row r="203" spans="1:10" x14ac:dyDescent="0.2">
      <c r="A203" s="209"/>
      <c r="B203" s="170"/>
      <c r="C203" s="141" t="s">
        <v>237</v>
      </c>
      <c r="D203" s="98"/>
      <c r="E203" s="96">
        <v>1.7999999999999999E-6</v>
      </c>
      <c r="F203" s="98"/>
      <c r="G203" s="192" t="s">
        <v>42</v>
      </c>
      <c r="H203" s="143" t="s">
        <v>252</v>
      </c>
      <c r="I203" s="213"/>
      <c r="J203" s="217"/>
    </row>
    <row r="204" spans="1:10" x14ac:dyDescent="0.2">
      <c r="A204" s="209"/>
      <c r="B204" s="170"/>
      <c r="C204" s="141" t="s">
        <v>238</v>
      </c>
      <c r="D204" s="98"/>
      <c r="E204" s="96">
        <v>3.1999999999999999E-6</v>
      </c>
      <c r="F204" s="98"/>
      <c r="G204" s="192" t="s">
        <v>42</v>
      </c>
      <c r="H204" s="143" t="s">
        <v>253</v>
      </c>
      <c r="I204" s="213"/>
      <c r="J204" s="217"/>
    </row>
    <row r="205" spans="1:10" x14ac:dyDescent="0.2">
      <c r="A205" s="209"/>
      <c r="B205" s="170"/>
      <c r="C205" s="141" t="s">
        <v>240</v>
      </c>
      <c r="D205" s="98"/>
      <c r="E205" s="97">
        <v>5.9999999999999995E-4</v>
      </c>
      <c r="F205" s="98"/>
      <c r="G205" s="192" t="s">
        <v>2</v>
      </c>
      <c r="H205" s="143" t="s">
        <v>254</v>
      </c>
      <c r="I205" s="213"/>
      <c r="J205" s="217"/>
    </row>
    <row r="206" spans="1:10" x14ac:dyDescent="0.2">
      <c r="A206" s="209"/>
      <c r="B206" s="170"/>
      <c r="C206" s="141" t="s">
        <v>245</v>
      </c>
      <c r="D206" s="98"/>
      <c r="E206" s="97">
        <v>5.0000000000000004E-6</v>
      </c>
      <c r="F206" s="98"/>
      <c r="G206" s="192" t="s">
        <v>2</v>
      </c>
      <c r="H206" s="143" t="s">
        <v>255</v>
      </c>
      <c r="I206" s="213"/>
      <c r="J206" s="217"/>
    </row>
    <row r="207" spans="1:10" x14ac:dyDescent="0.2">
      <c r="A207" s="209"/>
      <c r="B207" s="214"/>
      <c r="C207" s="207"/>
      <c r="D207" s="207"/>
      <c r="E207" s="207"/>
      <c r="F207" s="207"/>
      <c r="G207" s="215"/>
      <c r="H207" s="207"/>
      <c r="I207" s="213"/>
      <c r="J207" s="217"/>
    </row>
    <row r="208" spans="1:10" x14ac:dyDescent="0.2">
      <c r="A208" s="209"/>
      <c r="B208" s="218"/>
      <c r="C208" s="219"/>
      <c r="D208" s="219"/>
      <c r="E208" s="219"/>
      <c r="F208" s="219"/>
      <c r="G208" s="220"/>
      <c r="H208" s="219"/>
      <c r="I208" s="213"/>
      <c r="J208" s="217"/>
    </row>
    <row r="209" spans="1:10" x14ac:dyDescent="0.2">
      <c r="A209" s="151"/>
      <c r="B209" s="170"/>
      <c r="C209" s="151"/>
      <c r="D209" s="151"/>
      <c r="E209" s="151"/>
      <c r="F209" s="151"/>
      <c r="G209" s="155"/>
      <c r="H209" s="151"/>
      <c r="I209" s="151"/>
      <c r="J209" s="156"/>
    </row>
    <row r="210" spans="1:10" x14ac:dyDescent="0.2">
      <c r="A210" s="151"/>
      <c r="B210" s="170"/>
      <c r="C210" s="151"/>
      <c r="D210" s="151"/>
      <c r="E210" s="151"/>
      <c r="F210" s="151"/>
      <c r="G210" s="155"/>
      <c r="H210" s="151"/>
      <c r="I210" s="151"/>
      <c r="J210" s="156"/>
    </row>
    <row r="211" spans="1:10" x14ac:dyDescent="0.2">
      <c r="A211" s="151"/>
      <c r="B211" s="170"/>
      <c r="C211" s="151"/>
      <c r="D211" s="151"/>
      <c r="E211" s="151"/>
      <c r="F211" s="151"/>
      <c r="G211" s="155"/>
      <c r="H211" s="151"/>
      <c r="I211" s="151"/>
      <c r="J211" s="156"/>
    </row>
    <row r="212" spans="1:10" x14ac:dyDescent="0.2">
      <c r="A212" s="151"/>
      <c r="B212" s="170"/>
      <c r="C212" s="151"/>
      <c r="D212" s="151"/>
      <c r="E212" s="151"/>
      <c r="F212" s="151"/>
      <c r="G212" s="155"/>
      <c r="H212" s="151"/>
      <c r="I212" s="151"/>
      <c r="J212" s="156"/>
    </row>
    <row r="213" spans="1:10" x14ac:dyDescent="0.2">
      <c r="A213" s="151"/>
      <c r="B213" s="170"/>
      <c r="C213" s="151"/>
      <c r="D213" s="151"/>
      <c r="E213" s="151"/>
      <c r="F213" s="151"/>
      <c r="G213" s="155"/>
      <c r="H213" s="151"/>
      <c r="I213" s="151"/>
      <c r="J213" s="156"/>
    </row>
    <row r="214" spans="1:10" x14ac:dyDescent="0.2">
      <c r="A214" s="151"/>
      <c r="B214" s="170"/>
      <c r="C214" s="151"/>
      <c r="D214" s="151"/>
      <c r="E214" s="151"/>
      <c r="F214" s="151"/>
      <c r="G214" s="155"/>
      <c r="H214" s="151"/>
      <c r="I214" s="151"/>
      <c r="J214" s="156"/>
    </row>
    <row r="215" spans="1:10" x14ac:dyDescent="0.2">
      <c r="A215" s="151"/>
      <c r="B215" s="170"/>
      <c r="C215" s="151"/>
      <c r="D215" s="151"/>
      <c r="E215" s="151"/>
      <c r="F215" s="151"/>
      <c r="G215" s="155"/>
      <c r="H215" s="151"/>
      <c r="I215" s="151"/>
      <c r="J215" s="156"/>
    </row>
    <row r="216" spans="1:10" x14ac:dyDescent="0.2">
      <c r="A216" s="151"/>
      <c r="B216" s="170"/>
      <c r="C216" s="151"/>
      <c r="D216" s="151"/>
      <c r="E216" s="151"/>
      <c r="F216" s="151"/>
      <c r="G216" s="155"/>
      <c r="H216" s="151"/>
      <c r="I216" s="151"/>
      <c r="J216" s="156"/>
    </row>
    <row r="217" spans="1:10" x14ac:dyDescent="0.2">
      <c r="A217" s="151"/>
      <c r="B217" s="170"/>
      <c r="C217" s="151"/>
      <c r="D217" s="151"/>
      <c r="E217" s="151"/>
      <c r="F217" s="151"/>
      <c r="G217" s="155"/>
      <c r="H217" s="151"/>
      <c r="I217" s="151"/>
      <c r="J217" s="156"/>
    </row>
    <row r="218" spans="1:10" x14ac:dyDescent="0.2">
      <c r="A218" s="151"/>
      <c r="B218" s="170"/>
      <c r="C218" s="151"/>
      <c r="D218" s="151"/>
      <c r="E218" s="151"/>
      <c r="F218" s="151"/>
      <c r="G218" s="155"/>
      <c r="H218" s="151"/>
      <c r="I218" s="151"/>
      <c r="J218" s="156"/>
    </row>
    <row r="219" spans="1:10" x14ac:dyDescent="0.2">
      <c r="A219" s="151"/>
      <c r="B219" s="170"/>
      <c r="C219" s="151"/>
      <c r="D219" s="151"/>
      <c r="E219" s="151"/>
      <c r="F219" s="151"/>
      <c r="G219" s="155"/>
      <c r="H219" s="151"/>
      <c r="I219" s="151"/>
      <c r="J219" s="156"/>
    </row>
    <row r="220" spans="1:10" x14ac:dyDescent="0.2">
      <c r="A220" s="151"/>
      <c r="B220" s="170"/>
      <c r="C220" s="151"/>
      <c r="D220" s="151"/>
      <c r="E220" s="151"/>
      <c r="F220" s="151"/>
      <c r="G220" s="155"/>
      <c r="H220" s="151"/>
      <c r="I220" s="151"/>
      <c r="J220" s="156"/>
    </row>
    <row r="221" spans="1:10" x14ac:dyDescent="0.2">
      <c r="A221" s="151"/>
      <c r="B221" s="170"/>
      <c r="C221" s="151"/>
      <c r="D221" s="151"/>
      <c r="E221" s="151"/>
      <c r="F221" s="151"/>
      <c r="G221" s="155"/>
      <c r="H221" s="151"/>
      <c r="I221" s="151"/>
      <c r="J221" s="156"/>
    </row>
    <row r="222" spans="1:10" x14ac:dyDescent="0.2">
      <c r="A222" s="151"/>
      <c r="B222" s="170"/>
      <c r="C222" s="151"/>
      <c r="D222" s="151"/>
      <c r="E222" s="151"/>
      <c r="F222" s="151"/>
      <c r="G222" s="155"/>
      <c r="H222" s="151"/>
      <c r="I222" s="151"/>
      <c r="J222" s="156"/>
    </row>
    <row r="223" spans="1:10" x14ac:dyDescent="0.2">
      <c r="A223" s="151"/>
      <c r="B223" s="170"/>
      <c r="C223" s="151"/>
      <c r="D223" s="151"/>
      <c r="E223" s="151"/>
      <c r="F223" s="151"/>
      <c r="G223" s="155"/>
      <c r="H223" s="151"/>
      <c r="I223" s="151"/>
      <c r="J223" s="156"/>
    </row>
    <row r="224" spans="1:10" x14ac:dyDescent="0.2">
      <c r="A224" s="151"/>
      <c r="B224" s="170"/>
      <c r="C224" s="151"/>
      <c r="D224" s="151"/>
      <c r="E224" s="151"/>
      <c r="F224" s="151"/>
      <c r="G224" s="155"/>
      <c r="H224" s="151"/>
      <c r="I224" s="151"/>
      <c r="J224" s="156"/>
    </row>
    <row r="225" spans="1:10" x14ac:dyDescent="0.2">
      <c r="A225" s="151"/>
      <c r="B225" s="170"/>
      <c r="C225" s="151"/>
      <c r="D225" s="151"/>
      <c r="E225" s="151"/>
      <c r="F225" s="151"/>
      <c r="G225" s="155"/>
      <c r="H225" s="151"/>
      <c r="I225" s="151"/>
      <c r="J225" s="156"/>
    </row>
    <row r="226" spans="1:10" x14ac:dyDescent="0.2">
      <c r="A226" s="151"/>
      <c r="B226" s="170"/>
      <c r="C226" s="151"/>
      <c r="D226" s="151"/>
      <c r="E226" s="151"/>
      <c r="F226" s="151"/>
      <c r="G226" s="155"/>
      <c r="H226" s="151"/>
      <c r="I226" s="151"/>
      <c r="J226" s="156"/>
    </row>
    <row r="227" spans="1:10" x14ac:dyDescent="0.2">
      <c r="A227" s="151"/>
      <c r="B227" s="170"/>
      <c r="C227" s="151"/>
      <c r="D227" s="151"/>
      <c r="E227" s="151"/>
      <c r="F227" s="151"/>
      <c r="G227" s="155"/>
      <c r="H227" s="151"/>
      <c r="I227" s="151"/>
      <c r="J227" s="156"/>
    </row>
    <row r="228" spans="1:10" x14ac:dyDescent="0.2">
      <c r="A228" s="151"/>
      <c r="B228" s="170"/>
      <c r="C228" s="151"/>
      <c r="D228" s="151"/>
      <c r="E228" s="151"/>
      <c r="F228" s="151"/>
      <c r="G228" s="155"/>
      <c r="H228" s="151"/>
      <c r="I228" s="151"/>
      <c r="J228" s="156"/>
    </row>
    <row r="229" spans="1:10" x14ac:dyDescent="0.2">
      <c r="A229" s="151"/>
      <c r="B229" s="170"/>
      <c r="C229" s="151"/>
      <c r="D229" s="151"/>
      <c r="E229" s="151"/>
      <c r="F229" s="151"/>
      <c r="G229" s="155"/>
      <c r="H229" s="151"/>
      <c r="I229" s="151"/>
      <c r="J229" s="156"/>
    </row>
    <row r="230" spans="1:10" x14ac:dyDescent="0.2">
      <c r="A230" s="151"/>
      <c r="B230" s="170"/>
      <c r="C230" s="151"/>
      <c r="D230" s="151"/>
      <c r="E230" s="151"/>
      <c r="F230" s="151"/>
      <c r="G230" s="155"/>
      <c r="H230" s="151"/>
      <c r="I230" s="151"/>
      <c r="J230" s="156"/>
    </row>
    <row r="231" spans="1:10" x14ac:dyDescent="0.2">
      <c r="A231" s="151"/>
      <c r="B231" s="170"/>
      <c r="C231" s="151"/>
      <c r="D231" s="151"/>
      <c r="E231" s="151"/>
      <c r="F231" s="151"/>
      <c r="G231" s="155"/>
      <c r="H231" s="151"/>
      <c r="I231" s="151"/>
      <c r="J231" s="156"/>
    </row>
    <row r="232" spans="1:10" x14ac:dyDescent="0.2">
      <c r="A232" s="151"/>
      <c r="B232" s="170"/>
      <c r="C232" s="151"/>
      <c r="D232" s="151"/>
      <c r="E232" s="151"/>
      <c r="F232" s="151"/>
      <c r="G232" s="155"/>
      <c r="H232" s="151"/>
      <c r="I232" s="151"/>
      <c r="J232" s="156"/>
    </row>
    <row r="233" spans="1:10" x14ac:dyDescent="0.2">
      <c r="A233" s="151"/>
      <c r="B233" s="170"/>
      <c r="C233" s="151"/>
      <c r="D233" s="151"/>
      <c r="E233" s="151"/>
      <c r="F233" s="151"/>
      <c r="G233" s="155"/>
      <c r="H233" s="151"/>
      <c r="I233" s="151"/>
      <c r="J233" s="156"/>
    </row>
    <row r="234" spans="1:10" x14ac:dyDescent="0.2">
      <c r="A234" s="151"/>
      <c r="B234" s="170"/>
      <c r="C234" s="151"/>
      <c r="D234" s="151"/>
      <c r="E234" s="151"/>
      <c r="F234" s="151"/>
      <c r="G234" s="155"/>
      <c r="H234" s="151"/>
      <c r="I234" s="151"/>
      <c r="J234" s="156"/>
    </row>
    <row r="235" spans="1:10" x14ac:dyDescent="0.2">
      <c r="A235" s="151"/>
      <c r="B235" s="170"/>
      <c r="C235" s="151"/>
      <c r="D235" s="151"/>
      <c r="E235" s="151"/>
      <c r="F235" s="151"/>
      <c r="G235" s="155"/>
      <c r="H235" s="151"/>
      <c r="I235" s="151"/>
      <c r="J235" s="156"/>
    </row>
    <row r="236" spans="1:10" x14ac:dyDescent="0.2">
      <c r="A236" s="151"/>
      <c r="B236" s="170"/>
      <c r="C236" s="151"/>
      <c r="D236" s="151"/>
      <c r="E236" s="151"/>
      <c r="F236" s="151"/>
      <c r="G236" s="155"/>
      <c r="H236" s="151"/>
      <c r="I236" s="151"/>
      <c r="J236" s="156"/>
    </row>
    <row r="237" spans="1:10" x14ac:dyDescent="0.2">
      <c r="A237" s="151"/>
      <c r="B237" s="170"/>
      <c r="C237" s="151"/>
      <c r="D237" s="151"/>
      <c r="E237" s="151"/>
      <c r="F237" s="151"/>
      <c r="G237" s="155"/>
      <c r="H237" s="151"/>
      <c r="I237" s="151"/>
      <c r="J237" s="156"/>
    </row>
    <row r="238" spans="1:10" x14ac:dyDescent="0.2">
      <c r="A238" s="151"/>
      <c r="B238" s="170"/>
      <c r="C238" s="151"/>
      <c r="D238" s="151"/>
      <c r="E238" s="151"/>
      <c r="F238" s="151"/>
      <c r="G238" s="155"/>
      <c r="H238" s="151"/>
      <c r="I238" s="151"/>
      <c r="J238" s="156"/>
    </row>
    <row r="239" spans="1:10" x14ac:dyDescent="0.2">
      <c r="A239" s="151"/>
      <c r="B239" s="170"/>
      <c r="C239" s="151"/>
      <c r="D239" s="151"/>
      <c r="E239" s="151"/>
      <c r="F239" s="151"/>
      <c r="G239" s="155"/>
      <c r="H239" s="151"/>
      <c r="I239" s="151"/>
      <c r="J239" s="156"/>
    </row>
    <row r="240" spans="1:10" x14ac:dyDescent="0.2">
      <c r="A240" s="151"/>
      <c r="B240" s="170"/>
      <c r="C240" s="151"/>
      <c r="D240" s="151"/>
      <c r="E240" s="151"/>
      <c r="F240" s="151"/>
      <c r="G240" s="155"/>
      <c r="H240" s="151"/>
      <c r="I240" s="151"/>
      <c r="J240" s="156"/>
    </row>
    <row r="241" spans="1:10" x14ac:dyDescent="0.2">
      <c r="A241" s="151"/>
      <c r="B241" s="170"/>
      <c r="C241" s="151"/>
      <c r="D241" s="151"/>
      <c r="E241" s="151"/>
      <c r="F241" s="151"/>
      <c r="G241" s="155"/>
      <c r="H241" s="151"/>
      <c r="I241" s="151"/>
      <c r="J241" s="156"/>
    </row>
    <row r="242" spans="1:10" x14ac:dyDescent="0.2">
      <c r="A242" s="151"/>
      <c r="B242" s="170"/>
      <c r="C242" s="151"/>
      <c r="D242" s="151"/>
      <c r="E242" s="151"/>
      <c r="F242" s="151"/>
      <c r="G242" s="155"/>
      <c r="H242" s="151"/>
      <c r="I242" s="151"/>
      <c r="J242" s="156"/>
    </row>
    <row r="243" spans="1:10" x14ac:dyDescent="0.2">
      <c r="A243" s="151"/>
      <c r="B243" s="170"/>
      <c r="C243" s="151"/>
      <c r="D243" s="151"/>
      <c r="E243" s="151"/>
      <c r="F243" s="151"/>
      <c r="G243" s="155"/>
      <c r="H243" s="151"/>
      <c r="I243" s="151"/>
      <c r="J243" s="156"/>
    </row>
    <row r="244" spans="1:10" x14ac:dyDescent="0.2">
      <c r="A244" s="151"/>
      <c r="B244" s="170"/>
      <c r="C244" s="151"/>
      <c r="D244" s="151"/>
      <c r="E244" s="151"/>
      <c r="F244" s="151"/>
      <c r="G244" s="155"/>
      <c r="H244" s="151"/>
      <c r="I244" s="151"/>
      <c r="J244" s="156"/>
    </row>
    <row r="245" spans="1:10" x14ac:dyDescent="0.2">
      <c r="A245" s="151"/>
      <c r="B245" s="170"/>
      <c r="C245" s="151"/>
      <c r="D245" s="151"/>
      <c r="E245" s="151"/>
      <c r="F245" s="151"/>
      <c r="G245" s="155"/>
      <c r="H245" s="151"/>
      <c r="I245" s="151"/>
      <c r="J245" s="156"/>
    </row>
    <row r="246" spans="1:10" x14ac:dyDescent="0.2">
      <c r="A246" s="151"/>
      <c r="B246" s="170"/>
      <c r="C246" s="151"/>
      <c r="D246" s="151"/>
      <c r="E246" s="151"/>
      <c r="F246" s="151"/>
      <c r="G246" s="155"/>
      <c r="H246" s="151"/>
      <c r="I246" s="151"/>
      <c r="J246" s="156"/>
    </row>
    <row r="247" spans="1:10" x14ac:dyDescent="0.2">
      <c r="A247" s="151"/>
      <c r="B247" s="170"/>
      <c r="C247" s="151"/>
      <c r="D247" s="151"/>
      <c r="E247" s="151"/>
      <c r="F247" s="151"/>
      <c r="G247" s="155"/>
      <c r="H247" s="151"/>
      <c r="I247" s="151"/>
      <c r="J247" s="156"/>
    </row>
    <row r="248" spans="1:10" x14ac:dyDescent="0.2">
      <c r="A248" s="151"/>
      <c r="B248" s="170"/>
      <c r="C248" s="151"/>
      <c r="D248" s="151"/>
      <c r="E248" s="151"/>
      <c r="F248" s="151"/>
      <c r="G248" s="155"/>
      <c r="H248" s="151"/>
      <c r="I248" s="151"/>
      <c r="J248" s="156"/>
    </row>
    <row r="249" spans="1:10" x14ac:dyDescent="0.2">
      <c r="A249" s="151"/>
      <c r="B249" s="170"/>
      <c r="C249" s="151"/>
      <c r="D249" s="151"/>
      <c r="E249" s="151"/>
      <c r="F249" s="151"/>
      <c r="G249" s="155"/>
      <c r="H249" s="151"/>
      <c r="I249" s="151"/>
      <c r="J249" s="156"/>
    </row>
    <row r="250" spans="1:10" x14ac:dyDescent="0.2">
      <c r="A250" s="151"/>
      <c r="B250" s="170"/>
      <c r="C250" s="151"/>
      <c r="D250" s="151"/>
      <c r="E250" s="151"/>
      <c r="F250" s="151"/>
      <c r="G250" s="155"/>
      <c r="H250" s="151"/>
      <c r="I250" s="151"/>
      <c r="J250" s="156"/>
    </row>
    <row r="251" spans="1:10" x14ac:dyDescent="0.2">
      <c r="A251" s="151"/>
      <c r="B251" s="170"/>
      <c r="C251" s="151"/>
      <c r="D251" s="151"/>
      <c r="E251" s="151"/>
      <c r="F251" s="151"/>
      <c r="G251" s="155"/>
      <c r="H251" s="151"/>
      <c r="I251" s="151"/>
      <c r="J251" s="156"/>
    </row>
    <row r="252" spans="1:10" x14ac:dyDescent="0.2">
      <c r="A252" s="151"/>
      <c r="B252" s="170"/>
      <c r="C252" s="151"/>
      <c r="D252" s="151"/>
      <c r="E252" s="151"/>
      <c r="F252" s="151"/>
      <c r="G252" s="155"/>
      <c r="H252" s="151"/>
      <c r="I252" s="151"/>
      <c r="J252" s="156"/>
    </row>
    <row r="253" spans="1:10" x14ac:dyDescent="0.2">
      <c r="A253" s="151"/>
      <c r="B253" s="170"/>
      <c r="C253" s="151"/>
      <c r="D253" s="151"/>
      <c r="E253" s="151"/>
      <c r="F253" s="151"/>
      <c r="G253" s="155"/>
      <c r="H253" s="151"/>
      <c r="I253" s="151"/>
      <c r="J253" s="156"/>
    </row>
    <row r="254" spans="1:10" x14ac:dyDescent="0.2">
      <c r="A254" s="151"/>
      <c r="B254" s="170"/>
      <c r="C254" s="151"/>
      <c r="D254" s="151"/>
      <c r="E254" s="151"/>
      <c r="F254" s="151"/>
      <c r="G254" s="155"/>
      <c r="H254" s="151"/>
      <c r="I254" s="151"/>
      <c r="J254" s="156"/>
    </row>
    <row r="255" spans="1:10" x14ac:dyDescent="0.2">
      <c r="A255" s="151"/>
      <c r="B255" s="170"/>
      <c r="C255" s="151"/>
      <c r="D255" s="151"/>
      <c r="E255" s="151"/>
      <c r="F255" s="151"/>
      <c r="G255" s="155"/>
      <c r="H255" s="151"/>
      <c r="I255" s="151"/>
      <c r="J255" s="156"/>
    </row>
    <row r="256" spans="1:10" x14ac:dyDescent="0.2">
      <c r="A256" s="151"/>
      <c r="B256" s="170"/>
      <c r="C256" s="151"/>
      <c r="D256" s="151"/>
      <c r="E256" s="151"/>
      <c r="F256" s="151"/>
      <c r="G256" s="155"/>
      <c r="H256" s="151"/>
      <c r="I256" s="151"/>
      <c r="J256" s="156"/>
    </row>
    <row r="257" spans="1:10" x14ac:dyDescent="0.2">
      <c r="A257" s="151"/>
      <c r="B257" s="170"/>
      <c r="C257" s="151"/>
      <c r="D257" s="151"/>
      <c r="E257" s="151"/>
      <c r="F257" s="151"/>
      <c r="G257" s="155"/>
      <c r="H257" s="151"/>
      <c r="I257" s="151"/>
      <c r="J257" s="156"/>
    </row>
    <row r="258" spans="1:10" x14ac:dyDescent="0.2">
      <c r="A258" s="151"/>
      <c r="B258" s="170"/>
      <c r="C258" s="151"/>
      <c r="D258" s="151"/>
      <c r="E258" s="151"/>
      <c r="F258" s="151"/>
      <c r="G258" s="155"/>
      <c r="H258" s="151"/>
      <c r="I258" s="151"/>
      <c r="J258" s="156"/>
    </row>
    <row r="259" spans="1:10" x14ac:dyDescent="0.2">
      <c r="A259" s="151"/>
      <c r="B259" s="170"/>
      <c r="C259" s="151"/>
      <c r="D259" s="151"/>
      <c r="E259" s="151"/>
      <c r="F259" s="151"/>
      <c r="G259" s="155"/>
      <c r="H259" s="151"/>
      <c r="I259" s="151"/>
      <c r="J259" s="156"/>
    </row>
    <row r="260" spans="1:10" x14ac:dyDescent="0.2">
      <c r="A260" s="151"/>
      <c r="B260" s="170"/>
      <c r="C260" s="151"/>
      <c r="D260" s="151"/>
      <c r="E260" s="151"/>
      <c r="F260" s="151"/>
      <c r="G260" s="155"/>
      <c r="H260" s="151"/>
      <c r="I260" s="151"/>
      <c r="J260" s="156"/>
    </row>
    <row r="261" spans="1:10" x14ac:dyDescent="0.2">
      <c r="A261" s="151"/>
      <c r="B261" s="170"/>
      <c r="C261" s="151"/>
      <c r="D261" s="151"/>
      <c r="E261" s="151"/>
      <c r="F261" s="151"/>
      <c r="G261" s="155"/>
      <c r="H261" s="151"/>
      <c r="I261" s="151"/>
      <c r="J261" s="156"/>
    </row>
    <row r="262" spans="1:10" x14ac:dyDescent="0.2">
      <c r="A262" s="151"/>
      <c r="B262" s="170"/>
      <c r="C262" s="151"/>
      <c r="D262" s="151"/>
      <c r="E262" s="151"/>
      <c r="F262" s="151"/>
      <c r="G262" s="155"/>
      <c r="H262" s="151"/>
      <c r="I262" s="151"/>
      <c r="J262" s="156"/>
    </row>
    <row r="263" spans="1:10" x14ac:dyDescent="0.2">
      <c r="A263" s="151"/>
      <c r="B263" s="170"/>
      <c r="C263" s="151"/>
      <c r="D263" s="151"/>
      <c r="E263" s="151"/>
      <c r="F263" s="151"/>
      <c r="G263" s="155"/>
      <c r="H263" s="151"/>
      <c r="I263" s="151"/>
      <c r="J263" s="156"/>
    </row>
    <row r="264" spans="1:10" x14ac:dyDescent="0.2">
      <c r="A264" s="151"/>
      <c r="B264" s="170"/>
      <c r="C264" s="151"/>
      <c r="D264" s="151"/>
      <c r="E264" s="151"/>
      <c r="F264" s="151"/>
      <c r="G264" s="155"/>
      <c r="H264" s="151"/>
      <c r="I264" s="151"/>
      <c r="J264" s="156"/>
    </row>
    <row r="265" spans="1:10" x14ac:dyDescent="0.2">
      <c r="A265" s="151"/>
      <c r="B265" s="170"/>
      <c r="C265" s="151"/>
      <c r="D265" s="151"/>
      <c r="E265" s="151"/>
      <c r="F265" s="151"/>
      <c r="G265" s="155"/>
      <c r="H265" s="151"/>
      <c r="I265" s="151"/>
      <c r="J265" s="156"/>
    </row>
    <row r="266" spans="1:10" x14ac:dyDescent="0.2">
      <c r="A266" s="151"/>
      <c r="B266" s="170"/>
      <c r="C266" s="151"/>
      <c r="D266" s="151"/>
      <c r="E266" s="151"/>
      <c r="F266" s="151"/>
      <c r="G266" s="155"/>
      <c r="H266" s="151"/>
      <c r="I266" s="151"/>
      <c r="J266" s="156"/>
    </row>
    <row r="267" spans="1:10" x14ac:dyDescent="0.2">
      <c r="A267" s="151"/>
      <c r="B267" s="170"/>
      <c r="C267" s="151"/>
      <c r="D267" s="151"/>
      <c r="E267" s="151"/>
      <c r="F267" s="151"/>
      <c r="G267" s="155"/>
      <c r="H267" s="151"/>
      <c r="I267" s="151"/>
      <c r="J267" s="156"/>
    </row>
    <row r="268" spans="1:10" x14ac:dyDescent="0.2">
      <c r="A268" s="151"/>
      <c r="B268" s="170"/>
      <c r="C268" s="151"/>
      <c r="D268" s="151"/>
      <c r="E268" s="151"/>
      <c r="F268" s="151"/>
      <c r="G268" s="155"/>
      <c r="H268" s="151"/>
      <c r="I268" s="151"/>
      <c r="J268" s="156"/>
    </row>
    <row r="269" spans="1:10" x14ac:dyDescent="0.2">
      <c r="A269" s="151"/>
      <c r="B269" s="170"/>
      <c r="C269" s="151"/>
      <c r="D269" s="151"/>
      <c r="E269" s="151"/>
      <c r="F269" s="151"/>
      <c r="G269" s="155"/>
      <c r="H269" s="151"/>
      <c r="I269" s="151"/>
      <c r="J269" s="156"/>
    </row>
    <row r="270" spans="1:10" x14ac:dyDescent="0.2">
      <c r="A270" s="151"/>
      <c r="B270" s="170"/>
      <c r="C270" s="151"/>
      <c r="D270" s="151"/>
      <c r="E270" s="151"/>
      <c r="F270" s="151"/>
      <c r="G270" s="155"/>
      <c r="H270" s="151"/>
      <c r="I270" s="151"/>
      <c r="J270" s="156"/>
    </row>
    <row r="271" spans="1:10" x14ac:dyDescent="0.2">
      <c r="A271" s="151"/>
      <c r="B271" s="170"/>
      <c r="C271" s="151"/>
      <c r="D271" s="151"/>
      <c r="E271" s="151"/>
      <c r="F271" s="151"/>
      <c r="G271" s="155"/>
      <c r="H271" s="151"/>
      <c r="I271" s="151"/>
      <c r="J271" s="156"/>
    </row>
    <row r="272" spans="1:10" x14ac:dyDescent="0.2">
      <c r="A272" s="151"/>
      <c r="B272" s="170"/>
      <c r="C272" s="151"/>
      <c r="D272" s="151"/>
      <c r="E272" s="151"/>
      <c r="F272" s="151"/>
      <c r="G272" s="155"/>
      <c r="H272" s="151"/>
      <c r="I272" s="151"/>
      <c r="J272" s="156"/>
    </row>
    <row r="273" spans="1:10" x14ac:dyDescent="0.2">
      <c r="A273" s="151"/>
      <c r="B273" s="170"/>
      <c r="C273" s="151"/>
      <c r="D273" s="151"/>
      <c r="E273" s="151"/>
      <c r="F273" s="151"/>
      <c r="G273" s="155"/>
      <c r="H273" s="151"/>
      <c r="I273" s="151"/>
      <c r="J273" s="156"/>
    </row>
    <row r="274" spans="1:10" x14ac:dyDescent="0.2">
      <c r="A274" s="151"/>
      <c r="B274" s="170"/>
      <c r="C274" s="151"/>
      <c r="D274" s="151"/>
      <c r="E274" s="151"/>
      <c r="F274" s="151"/>
      <c r="G274" s="155"/>
      <c r="H274" s="151"/>
      <c r="I274" s="151"/>
      <c r="J274" s="156"/>
    </row>
    <row r="275" spans="1:10" x14ac:dyDescent="0.2">
      <c r="A275" s="151"/>
      <c r="B275" s="170"/>
      <c r="C275" s="151"/>
      <c r="D275" s="151"/>
      <c r="E275" s="151"/>
      <c r="F275" s="151"/>
      <c r="G275" s="155"/>
      <c r="H275" s="151"/>
      <c r="I275" s="151"/>
      <c r="J275" s="156"/>
    </row>
    <row r="276" spans="1:10" x14ac:dyDescent="0.2">
      <c r="A276" s="151"/>
      <c r="B276" s="170"/>
      <c r="C276" s="151"/>
      <c r="D276" s="151"/>
      <c r="E276" s="151"/>
      <c r="F276" s="151"/>
      <c r="G276" s="155"/>
      <c r="H276" s="151"/>
      <c r="I276" s="151"/>
      <c r="J276" s="156"/>
    </row>
    <row r="277" spans="1:10" x14ac:dyDescent="0.2">
      <c r="A277" s="151"/>
      <c r="B277" s="170"/>
      <c r="C277" s="151"/>
      <c r="D277" s="151"/>
      <c r="E277" s="151"/>
      <c r="F277" s="151"/>
      <c r="G277" s="155"/>
      <c r="H277" s="151"/>
      <c r="I277" s="151"/>
      <c r="J277" s="156"/>
    </row>
    <row r="278" spans="1:10" x14ac:dyDescent="0.2">
      <c r="A278" s="151"/>
      <c r="B278" s="170"/>
      <c r="C278" s="151"/>
      <c r="D278" s="151"/>
      <c r="E278" s="151"/>
      <c r="F278" s="151"/>
      <c r="G278" s="155"/>
      <c r="H278" s="151"/>
      <c r="I278" s="151"/>
      <c r="J278" s="156"/>
    </row>
    <row r="279" spans="1:10" x14ac:dyDescent="0.2">
      <c r="A279" s="151"/>
      <c r="B279" s="170"/>
      <c r="C279" s="151"/>
      <c r="D279" s="151"/>
      <c r="E279" s="151"/>
      <c r="F279" s="151"/>
      <c r="G279" s="155"/>
      <c r="H279" s="151"/>
      <c r="I279" s="151"/>
      <c r="J279" s="156"/>
    </row>
    <row r="280" spans="1:10" x14ac:dyDescent="0.2">
      <c r="A280" s="151"/>
      <c r="B280" s="170"/>
      <c r="C280" s="151"/>
      <c r="D280" s="151"/>
      <c r="E280" s="151"/>
      <c r="F280" s="151"/>
      <c r="G280" s="155"/>
      <c r="H280" s="151"/>
      <c r="I280" s="151"/>
      <c r="J280" s="156"/>
    </row>
    <row r="281" spans="1:10" x14ac:dyDescent="0.2">
      <c r="A281" s="151"/>
      <c r="B281" s="170"/>
      <c r="C281" s="151"/>
      <c r="D281" s="151"/>
      <c r="E281" s="151"/>
      <c r="F281" s="151"/>
      <c r="G281" s="155"/>
      <c r="H281" s="151"/>
      <c r="I281" s="151"/>
      <c r="J281" s="156"/>
    </row>
    <row r="282" spans="1:10" x14ac:dyDescent="0.2">
      <c r="A282" s="151"/>
      <c r="B282" s="170"/>
      <c r="C282" s="151"/>
      <c r="D282" s="151"/>
      <c r="E282" s="151"/>
      <c r="F282" s="151"/>
      <c r="G282" s="155"/>
      <c r="H282" s="151"/>
      <c r="I282" s="151"/>
      <c r="J282" s="156"/>
    </row>
    <row r="283" spans="1:10" x14ac:dyDescent="0.2">
      <c r="A283" s="151"/>
      <c r="B283" s="170"/>
      <c r="C283" s="151"/>
      <c r="D283" s="151"/>
      <c r="E283" s="151"/>
      <c r="F283" s="151"/>
      <c r="G283" s="155"/>
      <c r="H283" s="151"/>
      <c r="I283" s="151"/>
      <c r="J283" s="156"/>
    </row>
    <row r="284" spans="1:10" x14ac:dyDescent="0.2">
      <c r="A284" s="151"/>
      <c r="B284" s="170"/>
      <c r="C284" s="151"/>
      <c r="D284" s="151"/>
      <c r="E284" s="151"/>
      <c r="F284" s="151"/>
      <c r="G284" s="155"/>
      <c r="H284" s="151"/>
      <c r="I284" s="151"/>
      <c r="J284" s="156"/>
    </row>
    <row r="285" spans="1:10" x14ac:dyDescent="0.2">
      <c r="A285" s="151"/>
      <c r="B285" s="170"/>
      <c r="C285" s="151"/>
      <c r="D285" s="151"/>
      <c r="E285" s="151"/>
      <c r="F285" s="151"/>
      <c r="G285" s="155"/>
      <c r="H285" s="151"/>
      <c r="I285" s="151"/>
      <c r="J285" s="156"/>
    </row>
    <row r="286" spans="1:10" x14ac:dyDescent="0.2">
      <c r="A286" s="151"/>
      <c r="B286" s="170"/>
      <c r="C286" s="151"/>
      <c r="D286" s="151"/>
      <c r="E286" s="151"/>
      <c r="F286" s="151"/>
      <c r="G286" s="155"/>
      <c r="H286" s="151"/>
      <c r="I286" s="151"/>
      <c r="J286" s="156"/>
    </row>
    <row r="287" spans="1:10" x14ac:dyDescent="0.2">
      <c r="A287" s="151"/>
      <c r="B287" s="170"/>
      <c r="C287" s="151"/>
      <c r="D287" s="151"/>
      <c r="E287" s="151"/>
      <c r="F287" s="151"/>
      <c r="G287" s="155"/>
      <c r="H287" s="151"/>
      <c r="I287" s="151"/>
      <c r="J287" s="156"/>
    </row>
    <row r="288" spans="1:10" x14ac:dyDescent="0.2">
      <c r="A288" s="151"/>
      <c r="B288" s="170"/>
      <c r="C288" s="151"/>
      <c r="D288" s="151"/>
      <c r="E288" s="151"/>
      <c r="F288" s="151"/>
      <c r="G288" s="155"/>
      <c r="H288" s="151"/>
      <c r="I288" s="151"/>
      <c r="J288" s="156"/>
    </row>
    <row r="289" spans="1:10" x14ac:dyDescent="0.2">
      <c r="A289" s="151"/>
      <c r="B289" s="170"/>
      <c r="C289" s="151"/>
      <c r="D289" s="151"/>
      <c r="E289" s="151"/>
      <c r="F289" s="151"/>
      <c r="G289" s="155"/>
      <c r="H289" s="151"/>
      <c r="I289" s="151"/>
      <c r="J289" s="156"/>
    </row>
    <row r="290" spans="1:10" x14ac:dyDescent="0.2">
      <c r="A290" s="151"/>
      <c r="B290" s="170"/>
      <c r="C290" s="151"/>
      <c r="D290" s="151"/>
      <c r="E290" s="151"/>
      <c r="F290" s="151"/>
      <c r="G290" s="155"/>
      <c r="H290" s="151"/>
      <c r="I290" s="151"/>
      <c r="J290" s="156"/>
    </row>
    <row r="291" spans="1:10" x14ac:dyDescent="0.2">
      <c r="A291" s="151"/>
      <c r="B291" s="170"/>
      <c r="C291" s="151"/>
      <c r="D291" s="151"/>
      <c r="E291" s="151"/>
      <c r="F291" s="151"/>
      <c r="G291" s="155"/>
      <c r="H291" s="151"/>
      <c r="I291" s="151"/>
      <c r="J291" s="156"/>
    </row>
    <row r="292" spans="1:10" x14ac:dyDescent="0.2">
      <c r="A292" s="151"/>
      <c r="B292" s="170"/>
      <c r="C292" s="151"/>
      <c r="D292" s="151"/>
      <c r="E292" s="151"/>
      <c r="F292" s="151"/>
      <c r="G292" s="155"/>
      <c r="H292" s="151"/>
      <c r="I292" s="151"/>
      <c r="J292" s="156"/>
    </row>
    <row r="293" spans="1:10" x14ac:dyDescent="0.2">
      <c r="A293" s="151"/>
      <c r="B293" s="170"/>
      <c r="C293" s="151"/>
      <c r="D293" s="151"/>
      <c r="E293" s="151"/>
      <c r="F293" s="151"/>
      <c r="G293" s="155"/>
      <c r="H293" s="151"/>
      <c r="I293" s="151"/>
      <c r="J293" s="156"/>
    </row>
    <row r="294" spans="1:10" x14ac:dyDescent="0.2">
      <c r="A294" s="151"/>
      <c r="B294" s="170"/>
      <c r="C294" s="151"/>
      <c r="D294" s="151"/>
      <c r="E294" s="151"/>
      <c r="F294" s="151"/>
      <c r="G294" s="155"/>
      <c r="H294" s="151"/>
      <c r="I294" s="151"/>
      <c r="J294" s="156"/>
    </row>
    <row r="295" spans="1:10" x14ac:dyDescent="0.2">
      <c r="A295" s="151"/>
      <c r="B295" s="170"/>
      <c r="C295" s="151"/>
      <c r="D295" s="151"/>
      <c r="E295" s="151"/>
      <c r="F295" s="151"/>
      <c r="G295" s="155"/>
      <c r="H295" s="151"/>
      <c r="I295" s="151"/>
      <c r="J295" s="156"/>
    </row>
    <row r="296" spans="1:10" x14ac:dyDescent="0.2">
      <c r="A296" s="151"/>
      <c r="B296" s="170"/>
      <c r="C296" s="151"/>
      <c r="D296" s="151"/>
      <c r="E296" s="151"/>
      <c r="F296" s="151"/>
      <c r="G296" s="155"/>
      <c r="H296" s="151"/>
      <c r="I296" s="151"/>
      <c r="J296" s="156"/>
    </row>
    <row r="297" spans="1:10" x14ac:dyDescent="0.2">
      <c r="A297" s="151"/>
      <c r="B297" s="170"/>
      <c r="C297" s="151"/>
      <c r="D297" s="151"/>
      <c r="E297" s="151"/>
      <c r="F297" s="151"/>
      <c r="G297" s="155"/>
      <c r="H297" s="151"/>
      <c r="I297" s="151"/>
      <c r="J297" s="156"/>
    </row>
    <row r="298" spans="1:10" x14ac:dyDescent="0.2">
      <c r="A298" s="151"/>
      <c r="B298" s="170"/>
      <c r="C298" s="151"/>
      <c r="D298" s="151"/>
      <c r="E298" s="151"/>
      <c r="F298" s="151"/>
      <c r="G298" s="155"/>
      <c r="H298" s="151"/>
      <c r="I298" s="151"/>
      <c r="J298" s="156"/>
    </row>
    <row r="299" spans="1:10" x14ac:dyDescent="0.2">
      <c r="A299" s="151"/>
      <c r="B299" s="170"/>
      <c r="C299" s="151"/>
      <c r="D299" s="151"/>
      <c r="E299" s="151"/>
      <c r="F299" s="151"/>
      <c r="G299" s="155"/>
      <c r="H299" s="151"/>
      <c r="I299" s="151"/>
      <c r="J299" s="156"/>
    </row>
    <row r="300" spans="1:10" x14ac:dyDescent="0.2">
      <c r="A300" s="151"/>
      <c r="B300" s="170"/>
      <c r="C300" s="151"/>
      <c r="D300" s="151"/>
      <c r="E300" s="151"/>
      <c r="F300" s="151"/>
      <c r="G300" s="155"/>
      <c r="H300" s="151"/>
      <c r="I300" s="151"/>
      <c r="J300" s="156"/>
    </row>
    <row r="301" spans="1:10" x14ac:dyDescent="0.2">
      <c r="A301" s="151"/>
      <c r="B301" s="170"/>
      <c r="C301" s="151"/>
      <c r="D301" s="151"/>
      <c r="E301" s="151"/>
      <c r="F301" s="151"/>
      <c r="G301" s="155"/>
      <c r="H301" s="151"/>
      <c r="I301" s="151"/>
      <c r="J301" s="156"/>
    </row>
    <row r="302" spans="1:10" x14ac:dyDescent="0.2">
      <c r="A302" s="151"/>
      <c r="B302" s="170"/>
      <c r="C302" s="151"/>
      <c r="D302" s="151"/>
      <c r="E302" s="151"/>
      <c r="F302" s="151"/>
      <c r="G302" s="155"/>
      <c r="H302" s="151"/>
      <c r="I302" s="151"/>
      <c r="J302" s="156"/>
    </row>
    <row r="303" spans="1:10" x14ac:dyDescent="0.2">
      <c r="A303" s="151"/>
      <c r="B303" s="170"/>
      <c r="C303" s="151"/>
      <c r="D303" s="151"/>
      <c r="E303" s="151"/>
      <c r="F303" s="151"/>
      <c r="G303" s="155"/>
      <c r="H303" s="151"/>
      <c r="I303" s="151"/>
      <c r="J303" s="156"/>
    </row>
    <row r="304" spans="1:10" x14ac:dyDescent="0.2">
      <c r="A304" s="151"/>
      <c r="B304" s="170"/>
      <c r="C304" s="151"/>
      <c r="D304" s="151"/>
      <c r="E304" s="151"/>
      <c r="F304" s="151"/>
      <c r="G304" s="155"/>
      <c r="H304" s="151"/>
      <c r="I304" s="151"/>
      <c r="J304" s="156"/>
    </row>
    <row r="305" spans="1:10" x14ac:dyDescent="0.2">
      <c r="A305" s="151"/>
      <c r="B305" s="170"/>
      <c r="C305" s="151"/>
      <c r="D305" s="151"/>
      <c r="E305" s="151"/>
      <c r="F305" s="151"/>
      <c r="G305" s="155"/>
      <c r="H305" s="151"/>
      <c r="I305" s="151"/>
      <c r="J305" s="156"/>
    </row>
    <row r="306" spans="1:10" x14ac:dyDescent="0.2">
      <c r="A306" s="151"/>
      <c r="B306" s="170"/>
      <c r="C306" s="151"/>
      <c r="D306" s="151"/>
      <c r="E306" s="151"/>
      <c r="F306" s="151"/>
      <c r="G306" s="155"/>
      <c r="H306" s="151"/>
      <c r="I306" s="151"/>
      <c r="J306" s="156"/>
    </row>
    <row r="307" spans="1:10" x14ac:dyDescent="0.2">
      <c r="A307" s="151"/>
      <c r="B307" s="170"/>
      <c r="C307" s="151"/>
      <c r="D307" s="151"/>
      <c r="E307" s="151"/>
      <c r="F307" s="151"/>
      <c r="G307" s="155"/>
      <c r="H307" s="151"/>
      <c r="I307" s="151"/>
      <c r="J307" s="156"/>
    </row>
    <row r="308" spans="1:10" x14ac:dyDescent="0.2">
      <c r="A308" s="151"/>
      <c r="B308" s="170"/>
      <c r="C308" s="151"/>
      <c r="D308" s="151"/>
      <c r="E308" s="151"/>
      <c r="F308" s="151"/>
      <c r="G308" s="155"/>
      <c r="H308" s="151"/>
      <c r="I308" s="151"/>
      <c r="J308" s="156"/>
    </row>
    <row r="309" spans="1:10" x14ac:dyDescent="0.2">
      <c r="A309" s="151"/>
      <c r="B309" s="170"/>
      <c r="C309" s="151"/>
      <c r="D309" s="151"/>
      <c r="E309" s="151"/>
      <c r="F309" s="151"/>
      <c r="G309" s="155"/>
      <c r="H309" s="151"/>
      <c r="I309" s="151"/>
      <c r="J309" s="156"/>
    </row>
    <row r="310" spans="1:10" x14ac:dyDescent="0.2">
      <c r="A310" s="151"/>
      <c r="B310" s="170"/>
      <c r="C310" s="151"/>
      <c r="D310" s="151"/>
      <c r="E310" s="151"/>
      <c r="F310" s="151"/>
      <c r="G310" s="155"/>
      <c r="H310" s="151"/>
      <c r="I310" s="151"/>
      <c r="J310" s="156"/>
    </row>
    <row r="311" spans="1:10" x14ac:dyDescent="0.2">
      <c r="A311" s="151"/>
      <c r="B311" s="170"/>
      <c r="C311" s="151"/>
      <c r="D311" s="151"/>
      <c r="E311" s="151"/>
      <c r="F311" s="151"/>
      <c r="G311" s="155"/>
      <c r="H311" s="151"/>
      <c r="I311" s="151"/>
      <c r="J311" s="156"/>
    </row>
    <row r="312" spans="1:10" x14ac:dyDescent="0.2">
      <c r="A312" s="151"/>
      <c r="B312" s="170"/>
      <c r="C312" s="151"/>
      <c r="D312" s="151"/>
      <c r="E312" s="151"/>
      <c r="F312" s="151"/>
      <c r="G312" s="155"/>
      <c r="H312" s="151"/>
      <c r="I312" s="151"/>
      <c r="J312" s="156"/>
    </row>
    <row r="313" spans="1:10" x14ac:dyDescent="0.2">
      <c r="A313" s="151"/>
      <c r="B313" s="170"/>
      <c r="C313" s="151"/>
      <c r="D313" s="151"/>
      <c r="E313" s="151"/>
      <c r="F313" s="151"/>
      <c r="G313" s="155"/>
      <c r="H313" s="151"/>
      <c r="I313" s="151"/>
      <c r="J313" s="156"/>
    </row>
    <row r="314" spans="1:10" x14ac:dyDescent="0.2">
      <c r="A314" s="151"/>
      <c r="B314" s="170"/>
      <c r="C314" s="151"/>
      <c r="D314" s="151"/>
      <c r="E314" s="151"/>
      <c r="F314" s="151"/>
      <c r="G314" s="155"/>
      <c r="H314" s="151"/>
      <c r="I314" s="151"/>
      <c r="J314" s="156"/>
    </row>
    <row r="315" spans="1:10" x14ac:dyDescent="0.2">
      <c r="A315" s="151"/>
      <c r="B315" s="170"/>
      <c r="C315" s="151"/>
      <c r="D315" s="151"/>
      <c r="E315" s="151"/>
      <c r="F315" s="151"/>
      <c r="G315" s="155"/>
      <c r="H315" s="151"/>
      <c r="I315" s="151"/>
      <c r="J315" s="156"/>
    </row>
    <row r="316" spans="1:10" x14ac:dyDescent="0.2">
      <c r="A316" s="151"/>
      <c r="B316" s="170"/>
      <c r="C316" s="151"/>
      <c r="D316" s="151"/>
      <c r="E316" s="151"/>
      <c r="F316" s="151"/>
      <c r="G316" s="155"/>
      <c r="H316" s="151"/>
      <c r="I316" s="151"/>
      <c r="J316" s="156"/>
    </row>
    <row r="317" spans="1:10" x14ac:dyDescent="0.2">
      <c r="A317" s="151"/>
      <c r="B317" s="170"/>
      <c r="C317" s="151"/>
      <c r="D317" s="151"/>
      <c r="E317" s="151"/>
      <c r="F317" s="151"/>
      <c r="G317" s="155"/>
      <c r="H317" s="151"/>
      <c r="I317" s="151"/>
      <c r="J317" s="156"/>
    </row>
    <row r="318" spans="1:10" x14ac:dyDescent="0.2">
      <c r="A318" s="151"/>
      <c r="B318" s="170"/>
      <c r="C318" s="151"/>
      <c r="D318" s="151"/>
      <c r="E318" s="151"/>
      <c r="F318" s="151"/>
      <c r="G318" s="155"/>
      <c r="H318" s="151"/>
      <c r="I318" s="151"/>
      <c r="J318" s="156"/>
    </row>
    <row r="319" spans="1:10" x14ac:dyDescent="0.2">
      <c r="A319" s="151"/>
      <c r="B319" s="170"/>
      <c r="C319" s="151"/>
      <c r="D319" s="151"/>
      <c r="E319" s="151"/>
      <c r="F319" s="151"/>
      <c r="G319" s="155"/>
      <c r="H319" s="151"/>
      <c r="I319" s="151"/>
      <c r="J319" s="156"/>
    </row>
    <row r="320" spans="1:10" x14ac:dyDescent="0.2">
      <c r="A320" s="151"/>
      <c r="B320" s="170"/>
      <c r="C320" s="151"/>
      <c r="D320" s="151"/>
      <c r="E320" s="151"/>
      <c r="F320" s="151"/>
      <c r="G320" s="155"/>
      <c r="H320" s="151"/>
      <c r="I320" s="151"/>
      <c r="J320" s="156"/>
    </row>
    <row r="321" spans="1:10" x14ac:dyDescent="0.2">
      <c r="A321" s="151"/>
      <c r="B321" s="170"/>
      <c r="C321" s="151"/>
      <c r="D321" s="151"/>
      <c r="E321" s="151"/>
      <c r="F321" s="151"/>
      <c r="G321" s="155"/>
      <c r="H321" s="151"/>
      <c r="I321" s="151"/>
      <c r="J321" s="156"/>
    </row>
    <row r="322" spans="1:10" x14ac:dyDescent="0.2">
      <c r="A322" s="151"/>
      <c r="B322" s="170"/>
      <c r="C322" s="151"/>
      <c r="D322" s="151"/>
      <c r="E322" s="151"/>
      <c r="F322" s="151"/>
      <c r="G322" s="155"/>
      <c r="H322" s="151"/>
      <c r="I322" s="151"/>
      <c r="J322" s="156"/>
    </row>
    <row r="323" spans="1:10" x14ac:dyDescent="0.2">
      <c r="A323" s="151"/>
      <c r="B323" s="170"/>
      <c r="C323" s="151"/>
      <c r="D323" s="151"/>
      <c r="E323" s="151"/>
      <c r="F323" s="151"/>
      <c r="G323" s="155"/>
      <c r="H323" s="151"/>
      <c r="I323" s="151"/>
      <c r="J323" s="156"/>
    </row>
    <row r="324" spans="1:10" x14ac:dyDescent="0.2">
      <c r="A324" s="151"/>
      <c r="B324" s="170"/>
      <c r="C324" s="151"/>
      <c r="D324" s="151"/>
      <c r="E324" s="151"/>
      <c r="F324" s="151"/>
      <c r="G324" s="155"/>
      <c r="H324" s="151"/>
      <c r="I324" s="151"/>
      <c r="J324" s="156"/>
    </row>
    <row r="325" spans="1:10" x14ac:dyDescent="0.2">
      <c r="A325" s="151"/>
      <c r="B325" s="170"/>
      <c r="C325" s="151"/>
      <c r="D325" s="151"/>
      <c r="E325" s="151"/>
      <c r="F325" s="151"/>
      <c r="G325" s="155"/>
      <c r="H325" s="151"/>
      <c r="I325" s="151"/>
      <c r="J325" s="156"/>
    </row>
    <row r="326" spans="1:10" x14ac:dyDescent="0.2">
      <c r="A326" s="151"/>
      <c r="I326" s="151"/>
      <c r="J326" s="156"/>
    </row>
    <row r="327" spans="1:10" x14ac:dyDescent="0.2">
      <c r="A327" s="151"/>
      <c r="I327" s="151"/>
      <c r="J327" s="156"/>
    </row>
  </sheetData>
  <sheetProtection sheet="1"/>
  <mergeCells count="34">
    <mergeCell ref="D155:F155"/>
    <mergeCell ref="D182:F182"/>
    <mergeCell ref="D40:F40"/>
    <mergeCell ref="D132:F132"/>
    <mergeCell ref="B182:C182"/>
    <mergeCell ref="B115:C115"/>
    <mergeCell ref="B67:C67"/>
    <mergeCell ref="B79:C79"/>
    <mergeCell ref="B102:C102"/>
    <mergeCell ref="B139:C139"/>
    <mergeCell ref="B164:C164"/>
    <mergeCell ref="B42:C42"/>
    <mergeCell ref="B51:C51"/>
    <mergeCell ref="B157:C157"/>
    <mergeCell ref="B87:C87"/>
    <mergeCell ref="B134:C134"/>
    <mergeCell ref="B127:C127"/>
    <mergeCell ref="B144:C144"/>
    <mergeCell ref="F8:H8"/>
    <mergeCell ref="F9:H9"/>
    <mergeCell ref="F10:H10"/>
    <mergeCell ref="F11:H11"/>
    <mergeCell ref="F12:H12"/>
    <mergeCell ref="B19:H19"/>
    <mergeCell ref="D20:H20"/>
    <mergeCell ref="F6:H6"/>
    <mergeCell ref="B152:C152"/>
    <mergeCell ref="F13:H13"/>
    <mergeCell ref="F14:H14"/>
    <mergeCell ref="F15:H15"/>
    <mergeCell ref="F16:H16"/>
    <mergeCell ref="F17:H17"/>
    <mergeCell ref="F18:H18"/>
    <mergeCell ref="F7:H7"/>
  </mergeCells>
  <phoneticPr fontId="2" type="noConversion"/>
  <conditionalFormatting sqref="D116">
    <cfRule type="cellIs" dxfId="2" priority="1" stopIfTrue="1" operator="greaterThan">
      <formula>0.05</formula>
    </cfRule>
  </conditionalFormatting>
  <dataValidations count="1">
    <dataValidation type="list" errorStyle="warning" allowBlank="1" showInputMessage="1" showErrorMessage="1" errorTitle="Select" error="Select a device from list" promptTitle="Select" prompt="Please select a device." sqref="D4" xr:uid="{E43FB657-6FC7-4B49-B1A6-06BA72EBEDE2}">
      <formula1>$B$4:$B$5</formula1>
    </dataValidation>
  </dataValidations>
  <pageMargins left="0.75" right="0.75" top="1" bottom="1" header="0.5" footer="0.5"/>
  <pageSetup scale="6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Visio.Drawing.11" shapeId="2185" r:id="rId4">
          <objectPr defaultSize="0" autoPict="0" r:id="rId5">
            <anchor moveWithCells="1">
              <from>
                <xdr:col>6</xdr:col>
                <xdr:colOff>142875</xdr:colOff>
                <xdr:row>19</xdr:row>
                <xdr:rowOff>9525</xdr:rowOff>
              </from>
              <to>
                <xdr:col>7</xdr:col>
                <xdr:colOff>6477000</xdr:colOff>
                <xdr:row>38</xdr:row>
                <xdr:rowOff>209550</xdr:rowOff>
              </to>
            </anchor>
          </objectPr>
        </oleObject>
      </mc:Choice>
      <mc:Fallback>
        <oleObject progId="Visio.Drawing.11" shapeId="218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8555-6B51-466A-AEA5-64AA010CBD9F}">
  <dimension ref="A2:AJ612"/>
  <sheetViews>
    <sheetView zoomScale="85" zoomScaleNormal="85" workbookViewId="0">
      <selection activeCell="M66" sqref="M66"/>
    </sheetView>
  </sheetViews>
  <sheetFormatPr defaultRowHeight="12.75" x14ac:dyDescent="0.2"/>
  <cols>
    <col min="1" max="1" width="2.7109375" style="237" customWidth="1"/>
    <col min="2" max="2" width="9.85546875" style="239" bestFit="1" customWidth="1"/>
    <col min="3" max="3" width="13.5703125" style="237" bestFit="1" customWidth="1"/>
    <col min="4" max="4" width="9.5703125" style="237" bestFit="1" customWidth="1"/>
    <col min="5" max="5" width="7.140625" style="237" customWidth="1"/>
    <col min="6" max="6" width="16.7109375" style="239" customWidth="1"/>
    <col min="7" max="7" width="7.42578125" style="237" bestFit="1" customWidth="1"/>
    <col min="8" max="8" width="3.28515625" style="237" bestFit="1" customWidth="1"/>
    <col min="9" max="9" width="9.28515625" style="246" bestFit="1" customWidth="1"/>
    <col min="10" max="11" width="9.140625" style="246" customWidth="1"/>
    <col min="12" max="12" width="12" style="246" bestFit="1" customWidth="1"/>
    <col min="13" max="13" width="9.140625" style="246" customWidth="1"/>
    <col min="14" max="16" width="14.5703125" style="246" customWidth="1"/>
    <col min="17" max="17" width="9.140625" style="246" customWidth="1"/>
    <col min="18" max="21" width="19.5703125" style="246" customWidth="1"/>
    <col min="22" max="22" width="13.42578125" style="246" bestFit="1" customWidth="1"/>
    <col min="23" max="23" width="15" style="246" bestFit="1" customWidth="1"/>
    <col min="24" max="27" width="19.5703125" style="246" customWidth="1"/>
    <col min="28" max="28" width="13.42578125" style="246" bestFit="1" customWidth="1"/>
    <col min="29" max="29" width="15" style="246" bestFit="1" customWidth="1"/>
    <col min="30" max="30" width="12.85546875" style="246" bestFit="1" customWidth="1"/>
    <col min="31" max="31" width="12.28515625" style="246" bestFit="1" customWidth="1"/>
    <col min="32" max="33" width="12.85546875" style="246" bestFit="1" customWidth="1"/>
    <col min="34" max="34" width="12" style="246" bestFit="1" customWidth="1"/>
    <col min="35" max="36" width="9.140625" style="246"/>
    <col min="37" max="16384" width="9.140625" style="237"/>
  </cols>
  <sheetData>
    <row r="2" spans="2:35" ht="18" x14ac:dyDescent="0.25">
      <c r="B2" s="290" t="s">
        <v>130</v>
      </c>
      <c r="C2" s="290"/>
      <c r="D2" s="290"/>
      <c r="E2" s="290" t="s">
        <v>139</v>
      </c>
      <c r="F2" s="290"/>
      <c r="G2" s="290"/>
      <c r="J2" s="247"/>
    </row>
    <row r="3" spans="2:35" x14ac:dyDescent="0.2">
      <c r="B3" s="238" t="s">
        <v>191</v>
      </c>
      <c r="C3" s="109">
        <f>Vin_Min</f>
        <v>5</v>
      </c>
      <c r="D3" s="237" t="s">
        <v>3</v>
      </c>
      <c r="E3" s="238" t="s">
        <v>53</v>
      </c>
      <c r="F3" s="269">
        <f>C3</f>
        <v>5</v>
      </c>
      <c r="G3" s="237" t="s">
        <v>3</v>
      </c>
      <c r="K3" s="246" t="s">
        <v>15</v>
      </c>
      <c r="L3" s="246" t="s">
        <v>140</v>
      </c>
      <c r="N3" s="246" t="s">
        <v>167</v>
      </c>
      <c r="O3" s="246" t="s">
        <v>166</v>
      </c>
      <c r="P3" s="246" t="s">
        <v>25</v>
      </c>
      <c r="Q3" s="246" t="s">
        <v>15</v>
      </c>
      <c r="R3" s="246" t="s">
        <v>151</v>
      </c>
      <c r="S3" s="246" t="s">
        <v>152</v>
      </c>
      <c r="T3" s="246" t="s">
        <v>153</v>
      </c>
      <c r="U3" s="246" t="s">
        <v>154</v>
      </c>
      <c r="V3" s="246" t="s">
        <v>144</v>
      </c>
      <c r="W3" s="246" t="s">
        <v>145</v>
      </c>
      <c r="X3" s="246" t="s">
        <v>155</v>
      </c>
      <c r="Y3" s="246" t="s">
        <v>157</v>
      </c>
      <c r="Z3" s="246" t="s">
        <v>156</v>
      </c>
      <c r="AA3" s="246" t="s">
        <v>158</v>
      </c>
      <c r="AB3" s="246" t="s">
        <v>159</v>
      </c>
      <c r="AC3" s="246" t="s">
        <v>160</v>
      </c>
      <c r="AD3" s="246" t="s">
        <v>162</v>
      </c>
      <c r="AE3" s="246" t="s">
        <v>163</v>
      </c>
      <c r="AF3" s="246" t="s">
        <v>164</v>
      </c>
      <c r="AG3" s="246" t="s">
        <v>165</v>
      </c>
      <c r="AH3" s="246" t="s">
        <v>161</v>
      </c>
    </row>
    <row r="4" spans="2:35" x14ac:dyDescent="0.2">
      <c r="B4" s="238" t="s">
        <v>190</v>
      </c>
      <c r="C4" s="109">
        <f>Vin_Nom</f>
        <v>6</v>
      </c>
      <c r="D4" s="237" t="s">
        <v>3</v>
      </c>
      <c r="E4" s="239"/>
      <c r="F4" s="237"/>
      <c r="I4" s="246">
        <v>0</v>
      </c>
      <c r="J4" s="246">
        <f t="shared" ref="J4:J67" si="0">1+I4*(LOG(fsw)-1)/500</f>
        <v>1</v>
      </c>
      <c r="K4" s="246">
        <f>10^(J4)</f>
        <v>10</v>
      </c>
      <c r="L4" s="246">
        <f>2*PI()*K4</f>
        <v>62.831853071795862</v>
      </c>
      <c r="M4" s="246">
        <f t="shared" ref="M4:M67" si="1">SQRT((Fco_target-K5)^2)</f>
        <v>8808.1984376435285</v>
      </c>
      <c r="N4" s="246">
        <f>SQRT((ABS(AC4)-171.5+'Small Signal'!C$59)^2)</f>
        <v>101.08587392051217</v>
      </c>
      <c r="O4" s="246">
        <f>ABS(AG4)</f>
        <v>93.040915256142753</v>
      </c>
      <c r="P4" s="246">
        <f>ABS(AF4)</f>
        <v>52.281342293925064</v>
      </c>
      <c r="Q4" s="246">
        <f>K4</f>
        <v>10</v>
      </c>
      <c r="R4" s="246" t="str">
        <f t="shared" ref="R4:R67" si="2">IMSUM(COMPLEX(DCRss,Lss*L4),COMPLEX(Rdsonss,0),COMPLEX(40/3*Risense,0))</f>
        <v>0.161233333333333+0.000295309709437441i</v>
      </c>
      <c r="S4" s="246" t="str">
        <f t="shared" ref="S4:S67" si="3">IMSUM(COMPLEX(ESRss,0),IMDIV(COMPLEX(1,0),COMPLEX(0,L4*Cbulkss)))</f>
        <v>0.025-1693.13769246697i</v>
      </c>
      <c r="T4" s="246" t="str">
        <f>IMDIV(IMPRODUCT(S4,COMPLEX(Ross,0)),IMSUM(S4,COMPLEX(Ross,0)))</f>
        <v>23.99517370472-0.340128301920212i</v>
      </c>
      <c r="U4" s="246" t="str">
        <f t="shared" ref="U4:U67" si="4">IMPRODUCT(COMPLEX(Vinss,0),COMPLEX(M^2,0),IMDIV(IMSUB(COMPLEX(1,0),IMDIV(IMPRODUCT(R4,COMPLEX(M^2,0)),COMPLEX(Ross,0))),IMSUM(COMPLEX(1,0),IMDIV(IMPRODUCT(R4,COMPLEX(M^2,0)),T4))))</f>
        <v>84.3176741668963-0.209182083208237i</v>
      </c>
      <c r="V4" s="246">
        <f>20*LOG(IMABS(U4))</f>
        <v>38.518399097351015</v>
      </c>
      <c r="W4" s="246">
        <f>IF(DEGREES(IMARGUMENT(U4))&gt;0,DEGREES(IMARGUMENT(U4))-360, DEGREES(IMARGUMENT(U4)))</f>
        <v>-0.14214369700401538</v>
      </c>
      <c r="X4" s="246" t="str">
        <f t="shared" ref="X4:X67" si="5">IMSUM(COMPLEX(1,L4/(wn*q0)),IMPOWER(COMPLEX(0,L4/wn),2))</f>
        <v>0.999999999288889-0.0000047169888808891i</v>
      </c>
      <c r="Y4" s="246" t="str">
        <f t="shared" ref="Y4:Y67" si="6">IMPRODUCT(COMPLEX(2*Ioutss*M^2,0),IMDIV(IMSUM(COMPLEX(1,0),IMDIV(COMPLEX(Ross,0),IMPRODUCT(COMPLEX(2,0),S4))),IMSUM(COMPLEX(1,0),IMDIV(IMPRODUCT(R4,COMPLEX(M^2,0)),T4))))</f>
        <v>39.9041313884984+0.197201921993129i</v>
      </c>
      <c r="Z4" s="246" t="str">
        <f t="shared" ref="Z4:Z67" si="7">IMPRODUCT(COMPLEX(Fm*40/3*Risense,0),Y4,X4)</f>
        <v>24.9644274245067+0.123253753331022i</v>
      </c>
      <c r="AA4" s="246" t="str">
        <f t="shared" ref="AA4:AA67" si="8">IMDIV(IMPRODUCT(COMPLEX(Fm,0),U4),IMSUM(COMPLEX(1,0),Z4))</f>
        <v>15.2366667526169-0.110130466908514i</v>
      </c>
      <c r="AB4" s="246">
        <f>20*LOG(IMABS(AA4))</f>
        <v>23.658026266542738</v>
      </c>
      <c r="AC4" s="246">
        <f>IF(DEGREES(IMARGUMENT(AA4))&gt;0,DEGREES(IMARGUMENT(AA4))-360, DEGREES(IMARGUMENT(AA4)))</f>
        <v>-0.41412607948782848</v>
      </c>
      <c r="AD4" s="248">
        <f>20*LOG(IMABS(AH4))</f>
        <v>28.62331602738233</v>
      </c>
      <c r="AE4" s="248">
        <f>180+DEGREES(IMARGUMENT(AH4))</f>
        <v>93.455041335630582</v>
      </c>
      <c r="AF4" s="246">
        <f t="shared" ref="AF4:AF67" si="9">AD4+AB4</f>
        <v>52.281342293925064</v>
      </c>
      <c r="AG4" s="246">
        <f t="shared" ref="AG4:AG67" si="10">AE4+AC4</f>
        <v>93.040915256142753</v>
      </c>
      <c r="AH4" s="249" t="str">
        <f>IMDIV(IMPRODUCT(COMPLEX(gea*Rea*Rslss/(Rslss+Rshss),0),COMPLEX(1,L4*Ccompss*Rcompss),COMPLEX(1,k_3*L4*Cffss*Rshss)),IMPRODUCT(COMPLEX(1,L4*Rea*Ccompss),COMPLEX(1,L4*Rcompss*Chfss),COMPLEX(1,k_3*L4*Rffss*Cffss)))</f>
        <v>1.62642177277825-26.9386425142451i</v>
      </c>
      <c r="AI4" s="246" t="str">
        <f>IMDIV(IMPRODUCT(IMSUM(COMPLEX(ESRss,0),IMDIV(COMPLEX(1,0),COMPLEX(0,L4*Cbulkss))),IMSUM(COMPLEX(Rcerss,0),IMDIV(COMPLEX(1,0),COMPLEX(0,L4*Ccerss)))),IMSUM(IMSUM(COMPLEX(ESRss,0),IMDIV(COMPLEX(1,0),COMPLEX(0,L4*Cbulkss))),IMSUM(COMPLEX(Rcerss,0),IMDIV(COMPLEX(1,0),COMPLEX(0,L4*Ccerss)))))</f>
        <v>0.0250000059981879-1693.13751234596i</v>
      </c>
    </row>
    <row r="5" spans="2:35" x14ac:dyDescent="0.2">
      <c r="B5" s="238" t="s">
        <v>192</v>
      </c>
      <c r="C5" s="109">
        <f>Vin_Max</f>
        <v>6.3</v>
      </c>
      <c r="D5" s="237" t="s">
        <v>3</v>
      </c>
      <c r="E5" s="239"/>
      <c r="F5" s="237"/>
      <c r="I5" s="246">
        <v>1</v>
      </c>
      <c r="J5" s="246">
        <f t="shared" si="0"/>
        <v>1.0097501225267833</v>
      </c>
      <c r="K5" s="246">
        <f>10^(J5)</f>
        <v>10.22704395528236</v>
      </c>
      <c r="L5" s="246">
        <f t="shared" ref="L5:L68" si="11">2*PI()*K5</f>
        <v>64.258412315709919</v>
      </c>
      <c r="M5" s="246">
        <f t="shared" si="1"/>
        <v>8807.9662387924836</v>
      </c>
      <c r="N5" s="246">
        <f>SQRT((ABS(AC5)-171.5+'Small Signal'!C$59)^2)</f>
        <v>101.07647173193976</v>
      </c>
      <c r="O5" s="246">
        <f t="shared" ref="O5:O68" si="12">ABS(AG5)</f>
        <v>92.986058350085258</v>
      </c>
      <c r="P5" s="246">
        <f t="shared" ref="P5:P68" si="13">ABS(AF5)</f>
        <v>52.08680277150259</v>
      </c>
      <c r="Q5" s="246">
        <f t="shared" ref="Q5:Q68" si="14">K5</f>
        <v>10.22704395528236</v>
      </c>
      <c r="R5" s="246" t="str">
        <f t="shared" si="2"/>
        <v>0.161233333333333+0.000302014537883837i</v>
      </c>
      <c r="S5" s="246" t="str">
        <f t="shared" si="3"/>
        <v>0.025-1655.54944309441i</v>
      </c>
      <c r="T5" s="246" t="str">
        <f t="shared" ref="T5:T35" si="15">IMDIV(IMPRODUCT(S5,COMPLEX(Ross,0)),IMSUM(S5,COMPLEX(Ross,0)))</f>
        <v>23.9949521072478-0.34784749363948i</v>
      </c>
      <c r="U5" s="246" t="str">
        <f t="shared" si="4"/>
        <v>84.3176669227642-0.21393145418308i</v>
      </c>
      <c r="V5" s="246">
        <f t="shared" ref="V5:V68" si="16">20*LOG(IMABS(U5))</f>
        <v>38.518399578654538</v>
      </c>
      <c r="W5" s="246">
        <f t="shared" ref="W5:W68" si="17">IF(DEGREES(IMARGUMENT(U5))&gt;0,DEGREES(IMARGUMENT(U5))-360, DEGREES(IMARGUMENT(U5)))</f>
        <v>-0.1453709948966484</v>
      </c>
      <c r="X5" s="246" t="str">
        <f t="shared" si="5"/>
        <v>0.999999999256232-0.0000048240852621431i</v>
      </c>
      <c r="Y5" s="246" t="str">
        <f t="shared" si="6"/>
        <v>39.9041573360893+0.201679247368032i</v>
      </c>
      <c r="Z5" s="246" t="str">
        <f t="shared" si="7"/>
        <v>24.9644436834911+0.126052139536172i</v>
      </c>
      <c r="AA5" s="246" t="str">
        <f t="shared" si="8"/>
        <v>15.2366318947209-0.112630666874884i</v>
      </c>
      <c r="AB5" s="246">
        <f t="shared" ref="AB5:AB68" si="18">20*LOG(IMABS(AA5))</f>
        <v>23.658016814604391</v>
      </c>
      <c r="AC5" s="246">
        <f t="shared" ref="AC5:AC68" si="19">IF(DEGREES(IMARGUMENT(AA5))&gt;0,DEGREES(IMARGUMENT(AA5))-360, DEGREES(IMARGUMENT(AA5)))</f>
        <v>-0.42352826806023369</v>
      </c>
      <c r="AD5" s="248">
        <f t="shared" ref="AD5:AD68" si="20">20*LOG(IMABS(AH5))</f>
        <v>28.428785956898196</v>
      </c>
      <c r="AE5" s="248">
        <f t="shared" ref="AE5:AE68" si="21">180+DEGREES(IMARGUMENT(AH5))</f>
        <v>93.409586618145497</v>
      </c>
      <c r="AF5" s="246">
        <f t="shared" si="9"/>
        <v>52.08680277150259</v>
      </c>
      <c r="AG5" s="246">
        <f t="shared" si="10"/>
        <v>92.986058350085258</v>
      </c>
      <c r="AH5" s="249" t="str">
        <f t="shared" ref="AH5:AH67" si="22">IMDIV(IMPRODUCT(COMPLEX(gea*Rea*Rslss/(Rslss+Rshss),0),COMPLEX(1,L5*Ccompss*Rcompss),COMPLEX(1,k_3*L5*Cffss*Rshss)),IMPRODUCT(COMPLEX(1,L5*Rea*Ccompss),COMPLEX(1,L5*Rcompss*Chfss),COMPLEX(1,k_3*L5*Rffss*Cffss)))</f>
        <v>1.56950259418451-26.3432812182241i</v>
      </c>
      <c r="AI5" s="249"/>
    </row>
    <row r="6" spans="2:35" x14ac:dyDescent="0.2">
      <c r="B6" s="238" t="s">
        <v>23</v>
      </c>
      <c r="C6" s="109">
        <f>Vout</f>
        <v>24</v>
      </c>
      <c r="D6" s="237" t="s">
        <v>3</v>
      </c>
      <c r="E6" s="238"/>
      <c r="F6" s="269">
        <f>Vout</f>
        <v>24</v>
      </c>
      <c r="G6" s="237" t="s">
        <v>3</v>
      </c>
      <c r="I6" s="246">
        <v>2</v>
      </c>
      <c r="J6" s="246">
        <f t="shared" si="0"/>
        <v>1.0195002450535668</v>
      </c>
      <c r="K6" s="246">
        <f>10^(J6)</f>
        <v>10.459242806327749</v>
      </c>
      <c r="L6" s="246">
        <f t="shared" si="11"/>
        <v>65.717360724942296</v>
      </c>
      <c r="M6" s="246">
        <f t="shared" si="1"/>
        <v>8807.7287680068839</v>
      </c>
      <c r="N6" s="246">
        <f>SQRT((ABS(AC6)-171.5+'Small Signal'!C$59)^2)</f>
        <v>101.06685609282323</v>
      </c>
      <c r="O6" s="246">
        <f t="shared" si="12"/>
        <v>92.932698382131775</v>
      </c>
      <c r="P6" s="246">
        <f t="shared" si="13"/>
        <v>51.892244796441197</v>
      </c>
      <c r="Q6" s="246">
        <f t="shared" si="14"/>
        <v>10.459242806327749</v>
      </c>
      <c r="R6" s="246" t="str">
        <f t="shared" si="2"/>
        <v>0.161233333333333+0.000308871595407229i</v>
      </c>
      <c r="S6" s="246" t="str">
        <f t="shared" si="3"/>
        <v>0.025-1618.79566601383i</v>
      </c>
      <c r="T6" s="246" t="str">
        <f t="shared" si="15"/>
        <v>23.9947203374549-0.355741720958149i</v>
      </c>
      <c r="U6" s="246" t="str">
        <f t="shared" si="4"/>
        <v>84.3176593459444-0.218788658024469i</v>
      </c>
      <c r="V6" s="246">
        <f t="shared" si="16"/>
        <v>38.518400082061412</v>
      </c>
      <c r="W6" s="246">
        <f t="shared" si="17"/>
        <v>-0.14867156741563153</v>
      </c>
      <c r="X6" s="246" t="str">
        <f t="shared" si="5"/>
        <v>0.999999999222075-4.93361320199673E-06i</v>
      </c>
      <c r="Y6" s="246" t="str">
        <f t="shared" si="6"/>
        <v>39.9041844753079+0.20625822596311i</v>
      </c>
      <c r="Z6" s="246" t="str">
        <f t="shared" si="7"/>
        <v>24.9644606891596+0.128914060310477i</v>
      </c>
      <c r="AA6" s="246" t="str">
        <f t="shared" si="8"/>
        <v>15.2365954361641-0.115187615252137i</v>
      </c>
      <c r="AB6" s="246">
        <f t="shared" si="18"/>
        <v>23.658006928614842</v>
      </c>
      <c r="AC6" s="246">
        <f t="shared" si="19"/>
        <v>-0.43314390717676138</v>
      </c>
      <c r="AD6" s="248">
        <f t="shared" si="20"/>
        <v>28.234237867826355</v>
      </c>
      <c r="AE6" s="248">
        <f t="shared" si="21"/>
        <v>93.365842289308532</v>
      </c>
      <c r="AF6" s="246">
        <f t="shared" si="9"/>
        <v>51.892244796441197</v>
      </c>
      <c r="AG6" s="246">
        <f t="shared" si="10"/>
        <v>92.932698382131775</v>
      </c>
      <c r="AH6" s="249" t="str">
        <f t="shared" si="22"/>
        <v>1.51507176525979-25.7609628613441i</v>
      </c>
    </row>
    <row r="7" spans="2:35" x14ac:dyDescent="0.2">
      <c r="B7" s="238" t="s">
        <v>34</v>
      </c>
      <c r="C7" s="109">
        <f>Iout</f>
        <v>1</v>
      </c>
      <c r="D7" s="237" t="s">
        <v>2</v>
      </c>
      <c r="E7" s="238"/>
      <c r="F7" s="269">
        <f>C7</f>
        <v>1</v>
      </c>
      <c r="G7" s="237" t="s">
        <v>2</v>
      </c>
      <c r="I7" s="246">
        <v>3</v>
      </c>
      <c r="J7" s="246">
        <f t="shared" si="0"/>
        <v>1.0292503675803502</v>
      </c>
      <c r="K7" s="246">
        <f>10^(J7)</f>
        <v>10.696713591928464</v>
      </c>
      <c r="L7" s="246">
        <f t="shared" si="11"/>
        <v>67.209433675913104</v>
      </c>
      <c r="M7" s="246">
        <f t="shared" si="1"/>
        <v>8807.48590559064</v>
      </c>
      <c r="N7" s="246">
        <f>SQRT((ABS(AC7)-171.5+'Small Signal'!C$59)^2)</f>
        <v>101.0570221583227</v>
      </c>
      <c r="O7" s="246">
        <f t="shared" si="12"/>
        <v>92.880808970637474</v>
      </c>
      <c r="P7" s="246">
        <f t="shared" si="13"/>
        <v>51.69766925941844</v>
      </c>
      <c r="Q7" s="246">
        <f t="shared" si="14"/>
        <v>10.696713591928464</v>
      </c>
      <c r="R7" s="246" t="str">
        <f t="shared" si="2"/>
        <v>0.161233333333333+0.000315884338276792i</v>
      </c>
      <c r="S7" s="246" t="str">
        <f t="shared" si="3"/>
        <v>0.025-1582.85783564831i</v>
      </c>
      <c r="T7" s="246" t="str">
        <f t="shared" si="15"/>
        <v>23.9944779285964-0.36381494235625i</v>
      </c>
      <c r="U7" s="246" t="str">
        <f t="shared" si="4"/>
        <v>84.3176514211579-0.223756143100899i</v>
      </c>
      <c r="V7" s="246">
        <f t="shared" si="16"/>
        <v>38.518400608586688</v>
      </c>
      <c r="W7" s="246">
        <f t="shared" si="17"/>
        <v>-0.1520470782713037</v>
      </c>
      <c r="X7" s="246" t="str">
        <f t="shared" si="5"/>
        <v>0.999999999186349-5.04562790751819E-06i</v>
      </c>
      <c r="Y7" s="246" t="str">
        <f t="shared" si="6"/>
        <v>39.9042128608802+0.210941165631622i</v>
      </c>
      <c r="Z7" s="246" t="str">
        <f t="shared" si="7"/>
        <v>24.9644784758041+0.131840958091415i</v>
      </c>
      <c r="AA7" s="246" t="str">
        <f t="shared" si="8"/>
        <v>15.236557303452-0.117802599286131i</v>
      </c>
      <c r="AB7" s="246">
        <f t="shared" si="18"/>
        <v>23.657996588642341</v>
      </c>
      <c r="AC7" s="246">
        <f t="shared" si="19"/>
        <v>-0.4429778416773133</v>
      </c>
      <c r="AD7" s="248">
        <f t="shared" si="20"/>
        <v>28.039672670776099</v>
      </c>
      <c r="AE7" s="248">
        <f t="shared" si="21"/>
        <v>93.323786812314793</v>
      </c>
      <c r="AF7" s="246">
        <f t="shared" si="9"/>
        <v>51.69766925941844</v>
      </c>
      <c r="AG7" s="246">
        <f t="shared" si="10"/>
        <v>92.880808970637474</v>
      </c>
      <c r="AH7" s="249" t="str">
        <f t="shared" si="22"/>
        <v>1.46302095680709-25.1914091884943i</v>
      </c>
    </row>
    <row r="8" spans="2:35" ht="19.5" x14ac:dyDescent="0.35">
      <c r="B8" s="238" t="s">
        <v>134</v>
      </c>
      <c r="C8" s="109">
        <f>Rsh</f>
        <v>205000</v>
      </c>
      <c r="D8" s="237" t="s">
        <v>29</v>
      </c>
      <c r="E8" s="238"/>
      <c r="F8" s="270">
        <f>Rsh</f>
        <v>205000</v>
      </c>
      <c r="G8" s="237" t="s">
        <v>29</v>
      </c>
      <c r="I8" s="246">
        <v>4</v>
      </c>
      <c r="J8" s="246">
        <f t="shared" si="0"/>
        <v>1.0390004901071337</v>
      </c>
      <c r="K8" s="246">
        <f t="shared" ref="K8:K71" si="23">10^(J8)</f>
        <v>10.939576008171871</v>
      </c>
      <c r="L8" s="246">
        <f t="shared" si="11"/>
        <v>68.735383241319809</v>
      </c>
      <c r="M8" s="246">
        <f t="shared" si="1"/>
        <v>8807.2375291300395</v>
      </c>
      <c r="N8" s="246">
        <f>SQRT((ABS(AC8)-171.5+'Small Signal'!C$59)^2)</f>
        <v>101.04696497369832</v>
      </c>
      <c r="O8" s="246">
        <f t="shared" si="12"/>
        <v>92.830364440669911</v>
      </c>
      <c r="P8" s="246">
        <f t="shared" si="13"/>
        <v>51.503077016173023</v>
      </c>
      <c r="Q8" s="246">
        <f t="shared" si="14"/>
        <v>10.939576008171871</v>
      </c>
      <c r="R8" s="246" t="str">
        <f t="shared" si="2"/>
        <v>0.161233333333333+0.000323056301234203i</v>
      </c>
      <c r="S8" s="246" t="str">
        <f t="shared" si="3"/>
        <v>0.025-1547.71783769517i</v>
      </c>
      <c r="T8" s="246" t="str">
        <f t="shared" si="15"/>
        <v>23.9942243925315-0.372071205102947i</v>
      </c>
      <c r="U8" s="246" t="str">
        <f t="shared" si="4"/>
        <v>84.3176431324241-0.228836413375753i</v>
      </c>
      <c r="V8" s="246">
        <f t="shared" si="16"/>
        <v>38.518401159292075</v>
      </c>
      <c r="W8" s="246">
        <f t="shared" si="17"/>
        <v>-0.15549922895131973</v>
      </c>
      <c r="X8" s="246" t="str">
        <f t="shared" si="5"/>
        <v>0.999999999148983-5.16018583921879E-06i</v>
      </c>
      <c r="Y8" s="246" t="str">
        <f t="shared" si="6"/>
        <v>39.9042425500439+0.21573042661678i</v>
      </c>
      <c r="Z8" s="246" t="str">
        <f t="shared" si="7"/>
        <v>24.9644970792902+0.134834308060813i</v>
      </c>
      <c r="AA8" s="246" t="str">
        <f t="shared" si="8"/>
        <v>15.2365174197175-0.120476935365815i</v>
      </c>
      <c r="AB8" s="246">
        <f t="shared" si="18"/>
        <v>23.657985773840643</v>
      </c>
      <c r="AC8" s="246">
        <f t="shared" si="19"/>
        <v>-0.45303502630167375</v>
      </c>
      <c r="AD8" s="248">
        <f t="shared" si="20"/>
        <v>27.84509124233238</v>
      </c>
      <c r="AE8" s="248">
        <f t="shared" si="21"/>
        <v>93.283399466971588</v>
      </c>
      <c r="AF8" s="246">
        <f t="shared" si="9"/>
        <v>51.503077016173023</v>
      </c>
      <c r="AG8" s="246">
        <f t="shared" si="10"/>
        <v>92.830364440669911</v>
      </c>
      <c r="AH8" s="249" t="str">
        <f t="shared" si="22"/>
        <v>1.4132465167166-24.63434739143i</v>
      </c>
    </row>
    <row r="9" spans="2:35" ht="19.5" x14ac:dyDescent="0.35">
      <c r="B9" s="238" t="s">
        <v>135</v>
      </c>
      <c r="C9" s="109">
        <f>Rsl</f>
        <v>11000</v>
      </c>
      <c r="D9" s="237" t="s">
        <v>29</v>
      </c>
      <c r="E9" s="238"/>
      <c r="F9" s="270">
        <f>Rsl</f>
        <v>11000</v>
      </c>
      <c r="G9" s="237" t="s">
        <v>29</v>
      </c>
      <c r="I9" s="246">
        <v>5</v>
      </c>
      <c r="J9" s="246">
        <f t="shared" si="0"/>
        <v>1.048750612633917</v>
      </c>
      <c r="K9" s="246">
        <f t="shared" si="23"/>
        <v>11.187952468772604</v>
      </c>
      <c r="L9" s="246">
        <f t="shared" si="11"/>
        <v>70.295978569215606</v>
      </c>
      <c r="M9" s="246">
        <f t="shared" si="1"/>
        <v>8806.9835134320365</v>
      </c>
      <c r="N9" s="246">
        <f>SQRT((ABS(AC9)-171.5+'Small Signal'!C$59)^2)</f>
        <v>101.03667947182225</v>
      </c>
      <c r="O9" s="246">
        <f t="shared" si="12"/>
        <v>92.781339813220072</v>
      </c>
      <c r="P9" s="246">
        <f t="shared" si="13"/>
        <v>51.308468889188212</v>
      </c>
      <c r="Q9" s="246">
        <f t="shared" si="14"/>
        <v>11.187952468772604</v>
      </c>
      <c r="R9" s="246" t="str">
        <f t="shared" si="2"/>
        <v>0.161233333333333+0.000330391099275313i</v>
      </c>
      <c r="S9" s="246" t="str">
        <f t="shared" si="3"/>
        <v>0.025-1513.35795999562i</v>
      </c>
      <c r="T9" s="246" t="str">
        <f t="shared" si="15"/>
        <v>23.9939592187437-0.380514647196875i</v>
      </c>
      <c r="U9" s="246" t="str">
        <f t="shared" si="4"/>
        <v>84.3176344630274-0.234032029669976i</v>
      </c>
      <c r="V9" s="246">
        <f t="shared" si="16"/>
        <v>38.518401735287902</v>
      </c>
      <c r="W9" s="246">
        <f t="shared" si="17"/>
        <v>-0.15902975957862459</v>
      </c>
      <c r="X9" s="246" t="str">
        <f t="shared" si="5"/>
        <v>0.9999999991099-5.27734473951161E-06i</v>
      </c>
      <c r="Y9" s="246" t="str">
        <f t="shared" si="6"/>
        <v>39.9042736026653+0.220628422740612i</v>
      </c>
      <c r="Z9" s="246" t="str">
        <f t="shared" si="7"/>
        <v>24.9645165371306+0.1378956188879i</v>
      </c>
      <c r="AA9" s="246" t="str">
        <f t="shared" si="8"/>
        <v>15.2364757045643-0.123211969679089i</v>
      </c>
      <c r="AB9" s="246">
        <f t="shared" si="18"/>
        <v>23.657974462405953</v>
      </c>
      <c r="AC9" s="246">
        <f t="shared" si="19"/>
        <v>-0.46332052817773772</v>
      </c>
      <c r="AD9" s="248">
        <f t="shared" si="20"/>
        <v>27.650494426782259</v>
      </c>
      <c r="AE9" s="248">
        <f t="shared" si="21"/>
        <v>93.244660341397804</v>
      </c>
      <c r="AF9" s="246">
        <f t="shared" si="9"/>
        <v>51.308468889188212</v>
      </c>
      <c r="AG9" s="246">
        <f t="shared" si="10"/>
        <v>92.781339813220072</v>
      </c>
      <c r="AH9" s="249" t="str">
        <f t="shared" si="22"/>
        <v>1.36564927137979-24.0895100348386i</v>
      </c>
    </row>
    <row r="10" spans="2:35" ht="19.5" x14ac:dyDescent="0.35">
      <c r="B10" s="238" t="s">
        <v>136</v>
      </c>
      <c r="C10" s="109">
        <f>Rcomp</f>
        <v>5900</v>
      </c>
      <c r="D10" s="237" t="s">
        <v>29</v>
      </c>
      <c r="E10" s="238"/>
      <c r="F10" s="269">
        <f>Rcomp</f>
        <v>5900</v>
      </c>
      <c r="G10" s="237" t="s">
        <v>29</v>
      </c>
      <c r="I10" s="246">
        <v>6</v>
      </c>
      <c r="J10" s="246">
        <f t="shared" si="0"/>
        <v>1.0585007351607003</v>
      </c>
      <c r="K10" s="246">
        <f t="shared" si="23"/>
        <v>11.44196816677472</v>
      </c>
      <c r="L10" s="246">
        <f t="shared" si="11"/>
        <v>71.892006270695461</v>
      </c>
      <c r="M10" s="246">
        <f t="shared" si="1"/>
        <v>8806.7237304611572</v>
      </c>
      <c r="N10" s="246">
        <f>SQRT((ABS(AC10)-171.5+'Small Signal'!C$59)^2)</f>
        <v>101.02616047063415</v>
      </c>
      <c r="O10" s="246">
        <f t="shared" si="12"/>
        <v>92.733710794619896</v>
      </c>
      <c r="P10" s="246">
        <f t="shared" si="13"/>
        <v>51.113845669313221</v>
      </c>
      <c r="Q10" s="246">
        <f t="shared" si="14"/>
        <v>11.44196816677472</v>
      </c>
      <c r="R10" s="246" t="str">
        <f t="shared" si="2"/>
        <v>0.161233333333333+0.000337892429472269i</v>
      </c>
      <c r="S10" s="246" t="str">
        <f t="shared" si="3"/>
        <v>0.025-1479.760883607i</v>
      </c>
      <c r="T10" s="246" t="str">
        <f t="shared" si="15"/>
        <v>23.9936818733179-0.389149499345328i</v>
      </c>
      <c r="U10" s="246" t="str">
        <f t="shared" si="4"/>
        <v>84.3176253954863-0.239345610953466i</v>
      </c>
      <c r="V10" s="246">
        <f t="shared" si="16"/>
        <v>38.518402337735701</v>
      </c>
      <c r="W10" s="246">
        <f t="shared" si="17"/>
        <v>-0.16264044978893108</v>
      </c>
      <c r="X10" s="246" t="str">
        <f t="shared" si="5"/>
        <v>0.999999999069023-5.39716366181634E-06i</v>
      </c>
      <c r="Y10" s="246" t="str">
        <f t="shared" si="6"/>
        <v>39.9043060813618+0.225637622619819i</v>
      </c>
      <c r="Z10" s="246" t="str">
        <f t="shared" si="7"/>
        <v>24.9645368885621+0.141026433489228i</v>
      </c>
      <c r="AA10" s="246" t="str">
        <f t="shared" si="8"/>
        <v>15.2364320739055-0.126009078883195i</v>
      </c>
      <c r="AB10" s="246">
        <f t="shared" si="18"/>
        <v>23.657962631533287</v>
      </c>
      <c r="AC10" s="246">
        <f t="shared" si="19"/>
        <v>-0.47383952936584678</v>
      </c>
      <c r="AD10" s="248">
        <f t="shared" si="20"/>
        <v>27.45588303777993</v>
      </c>
      <c r="AE10" s="248">
        <f t="shared" si="21"/>
        <v>93.207550323985743</v>
      </c>
      <c r="AF10" s="246">
        <f t="shared" si="9"/>
        <v>51.113845669313221</v>
      </c>
      <c r="AG10" s="246">
        <f t="shared" si="10"/>
        <v>92.733710794619896</v>
      </c>
      <c r="AH10" s="249" t="str">
        <f t="shared" si="22"/>
        <v>1.32013433524689-23.5566349810497i</v>
      </c>
    </row>
    <row r="11" spans="2:35" ht="19.5" x14ac:dyDescent="0.35">
      <c r="B11" s="238" t="s">
        <v>132</v>
      </c>
      <c r="C11" s="110">
        <f>Ccomp</f>
        <v>3.2999999999999998E-8</v>
      </c>
      <c r="D11" s="237" t="s">
        <v>7</v>
      </c>
      <c r="E11" s="238"/>
      <c r="F11" s="271">
        <f>Ccomp</f>
        <v>3.2999999999999998E-8</v>
      </c>
      <c r="G11" s="237" t="s">
        <v>7</v>
      </c>
      <c r="I11" s="246">
        <v>7</v>
      </c>
      <c r="J11" s="246">
        <f t="shared" si="0"/>
        <v>1.0682508576874838</v>
      </c>
      <c r="K11" s="246">
        <f t="shared" si="23"/>
        <v>11.701751137654661</v>
      </c>
      <c r="L11" s="246">
        <f t="shared" si="11"/>
        <v>73.524270816383776</v>
      </c>
      <c r="M11" s="246">
        <f t="shared" si="1"/>
        <v>8806.4580492749537</v>
      </c>
      <c r="N11" s="246">
        <f>SQRT((ABS(AC11)-171.5+'Small Signal'!C$59)^2)</f>
        <v>101.01540267053963</v>
      </c>
      <c r="O11" s="246">
        <f t="shared" si="12"/>
        <v>92.687453766169781</v>
      </c>
      <c r="P11" s="246">
        <f t="shared" si="13"/>
        <v>50.919208117323947</v>
      </c>
      <c r="Q11" s="246">
        <f t="shared" si="14"/>
        <v>11.701751137654661</v>
      </c>
      <c r="R11" s="246" t="str">
        <f t="shared" si="2"/>
        <v>0.161233333333333+0.000345564072837004i</v>
      </c>
      <c r="S11" s="246" t="str">
        <f t="shared" si="3"/>
        <v>0.025-1446.90967407321i</v>
      </c>
      <c r="T11" s="246" t="str">
        <f t="shared" si="15"/>
        <v>23.9933917978702-0.397980086982746i</v>
      </c>
      <c r="U11" s="246" t="str">
        <f t="shared" si="4"/>
        <v>84.3176159115146-0.244779835665776i</v>
      </c>
      <c r="V11" s="246">
        <f t="shared" si="16"/>
        <v>38.518402967850129</v>
      </c>
      <c r="W11" s="246">
        <f t="shared" si="17"/>
        <v>-0.16633311962812344</v>
      </c>
      <c r="X11" s="246" t="str">
        <f t="shared" si="5"/>
        <v>0.999999999026269-5.51970300032484E-06i</v>
      </c>
      <c r="Y11" s="246" t="str">
        <f t="shared" si="6"/>
        <v>39.9043400516246+0.230760550909187i</v>
      </c>
      <c r="Z11" s="246" t="str">
        <f t="shared" si="7"/>
        <v>24.9645581746217+0.144228329805822i</v>
      </c>
      <c r="AA11" s="246" t="str">
        <f t="shared" si="8"/>
        <v>15.2363864397952-0.128869670789897i</v>
      </c>
      <c r="AB11" s="246">
        <f t="shared" si="18"/>
        <v>23.657950257371052</v>
      </c>
      <c r="AC11" s="246">
        <f t="shared" si="19"/>
        <v>-0.48459732946035783</v>
      </c>
      <c r="AD11" s="248">
        <f t="shared" si="20"/>
        <v>27.261257859952892</v>
      </c>
      <c r="AE11" s="248">
        <f t="shared" si="21"/>
        <v>93.172051095630138</v>
      </c>
      <c r="AF11" s="246">
        <f t="shared" si="9"/>
        <v>50.919208117323947</v>
      </c>
      <c r="AG11" s="246">
        <f t="shared" si="10"/>
        <v>92.687453766169781</v>
      </c>
      <c r="AH11" s="249" t="str">
        <f t="shared" si="22"/>
        <v>1.27661092821883-23.0354653136067i</v>
      </c>
      <c r="AI11" s="250"/>
    </row>
    <row r="12" spans="2:35" ht="19.5" x14ac:dyDescent="0.35">
      <c r="B12" s="238" t="s">
        <v>133</v>
      </c>
      <c r="C12" s="110">
        <f>Chf</f>
        <v>3.3E-10</v>
      </c>
      <c r="D12" s="237" t="s">
        <v>7</v>
      </c>
      <c r="E12" s="238"/>
      <c r="F12" s="271">
        <f>Chf</f>
        <v>3.3E-10</v>
      </c>
      <c r="G12" s="237" t="s">
        <v>7</v>
      </c>
      <c r="I12" s="246">
        <v>8</v>
      </c>
      <c r="J12" s="246">
        <f t="shared" si="0"/>
        <v>1.0780009802142672</v>
      </c>
      <c r="K12" s="246">
        <f t="shared" si="23"/>
        <v>11.967432323856951</v>
      </c>
      <c r="L12" s="246">
        <f t="shared" si="11"/>
        <v>75.193594941924047</v>
      </c>
      <c r="M12" s="246">
        <f t="shared" si="1"/>
        <v>8806.1863359580166</v>
      </c>
      <c r="N12" s="246">
        <f>SQRT((ABS(AC12)-171.5+'Small Signal'!C$59)^2)</f>
        <v>101.00440065175033</v>
      </c>
      <c r="O12" s="246">
        <f t="shared" si="12"/>
        <v>92.64254577397918</v>
      </c>
      <c r="P12" s="246">
        <f t="shared" si="13"/>
        <v>50.724556965425002</v>
      </c>
      <c r="Q12" s="246">
        <f t="shared" si="14"/>
        <v>11.967432323856951</v>
      </c>
      <c r="R12" s="246" t="str">
        <f t="shared" si="2"/>
        <v>0.161233333333333+0.000353409896227043i</v>
      </c>
      <c r="S12" s="246" t="str">
        <f t="shared" si="3"/>
        <v>0.025-1414.78777288903i</v>
      </c>
      <c r="T12" s="246" t="str">
        <f t="shared" si="15"/>
        <v>23.9930884084284-0.407010832329025i</v>
      </c>
      <c r="U12" s="246" t="str">
        <f t="shared" si="4"/>
        <v>84.3176059919881-0.250337443066889i</v>
      </c>
      <c r="V12" s="246">
        <f t="shared" si="16"/>
        <v>38.518403626901858</v>
      </c>
      <c r="W12" s="246">
        <f t="shared" si="17"/>
        <v>-0.17010963047007963</v>
      </c>
      <c r="X12" s="246" t="str">
        <f t="shared" si="5"/>
        <v>0.999999998981551-5.64502452044261E-06i</v>
      </c>
      <c r="Y12" s="246" t="str">
        <f t="shared" si="6"/>
        <v>39.9043755819541+0.235999789573157i</v>
      </c>
      <c r="Z12" s="246" t="str">
        <f t="shared" si="7"/>
        <v>24.9645804382327+0.147502921597915i</v>
      </c>
      <c r="AA12" s="246" t="str">
        <f t="shared" si="8"/>
        <v>15.2363387102499-0.13179518506572i</v>
      </c>
      <c r="AB12" s="246">
        <f t="shared" si="18"/>
        <v>23.657937314972099</v>
      </c>
      <c r="AC12" s="246">
        <f t="shared" si="19"/>
        <v>-0.49559934824966867</v>
      </c>
      <c r="AD12" s="248">
        <f t="shared" si="20"/>
        <v>27.066619650452903</v>
      </c>
      <c r="AE12" s="248">
        <f t="shared" si="21"/>
        <v>93.138145122228849</v>
      </c>
      <c r="AF12" s="246">
        <f t="shared" si="9"/>
        <v>50.724556965425002</v>
      </c>
      <c r="AG12" s="246">
        <f t="shared" si="10"/>
        <v>92.64254577397918</v>
      </c>
      <c r="AH12" s="249" t="str">
        <f t="shared" si="22"/>
        <v>1.2349922005745-22.5257492599043i</v>
      </c>
      <c r="AI12" s="250"/>
    </row>
    <row r="13" spans="2:35" x14ac:dyDescent="0.2">
      <c r="B13" s="238" t="s">
        <v>35</v>
      </c>
      <c r="C13" s="109">
        <f>fsw</f>
        <v>750000</v>
      </c>
      <c r="D13" s="237" t="s">
        <v>5</v>
      </c>
      <c r="E13" s="238"/>
      <c r="F13" s="271">
        <f>C13</f>
        <v>750000</v>
      </c>
      <c r="G13" s="237" t="s">
        <v>5</v>
      </c>
      <c r="I13" s="246">
        <v>9</v>
      </c>
      <c r="J13" s="246">
        <f t="shared" si="0"/>
        <v>1.0877511027410507</v>
      </c>
      <c r="K13" s="246">
        <f t="shared" si="23"/>
        <v>12.239145640795199</v>
      </c>
      <c r="L13" s="246">
        <f t="shared" si="11"/>
        <v>76.900820062675479</v>
      </c>
      <c r="M13" s="246">
        <f t="shared" si="1"/>
        <v>8805.9084535544607</v>
      </c>
      <c r="N13" s="246">
        <f>SQRT((ABS(AC13)-171.5+'Small Signal'!C$59)^2)</f>
        <v>100.99314887156385</v>
      </c>
      <c r="O13" s="246">
        <f t="shared" si="12"/>
        <v>92.59896451902263</v>
      </c>
      <c r="P13" s="246">
        <f t="shared" si="13"/>
        <v>50.529892918698081</v>
      </c>
      <c r="Q13" s="246">
        <f t="shared" si="14"/>
        <v>12.239145640795199</v>
      </c>
      <c r="R13" s="246" t="str">
        <f t="shared" si="2"/>
        <v>0.161233333333333+0.000361433854294575i</v>
      </c>
      <c r="S13" s="246" t="str">
        <f t="shared" si="3"/>
        <v>0.025-1383.37898915383i</v>
      </c>
      <c r="T13" s="246" t="str">
        <f t="shared" si="15"/>
        <v>23.9927710942623-0.416246256488156i</v>
      </c>
      <c r="U13" s="246" t="str">
        <f t="shared" si="4"/>
        <v>84.3175956169021-0.256021234618652i</v>
      </c>
      <c r="V13" s="246">
        <f t="shared" si="16"/>
        <v>38.518404316219637</v>
      </c>
      <c r="W13" s="246">
        <f t="shared" si="17"/>
        <v>-0.17397188595533808</v>
      </c>
      <c r="X13" s="246" t="str">
        <f t="shared" si="5"/>
        <v>0.999999998934779-5.77319138992133E-06i</v>
      </c>
      <c r="Y13" s="246" t="str">
        <f t="shared" si="6"/>
        <v>39.9044127439946+0.241357979186247i</v>
      </c>
      <c r="Z13" s="246" t="str">
        <f t="shared" si="7"/>
        <v>24.9646037242877+0.150851859257731i</v>
      </c>
      <c r="AA13" s="246" t="str">
        <f t="shared" si="8"/>
        <v>15.236288789065-0.134787093947653i</v>
      </c>
      <c r="AB13" s="246">
        <f t="shared" si="18"/>
        <v>23.657923778244438</v>
      </c>
      <c r="AC13" s="246">
        <f t="shared" si="19"/>
        <v>-0.50685112843616187</v>
      </c>
      <c r="AD13" s="248">
        <f t="shared" si="20"/>
        <v>26.871969140453643</v>
      </c>
      <c r="AE13" s="248">
        <f t="shared" si="21"/>
        <v>93.105815647458797</v>
      </c>
      <c r="AF13" s="246">
        <f t="shared" si="9"/>
        <v>50.529892918698081</v>
      </c>
      <c r="AG13" s="246">
        <f t="shared" si="10"/>
        <v>92.59896451902263</v>
      </c>
      <c r="AH13" s="249" t="str">
        <f t="shared" si="22"/>
        <v>1.19519506514318-22.0272401130758i</v>
      </c>
      <c r="AI13" s="250"/>
    </row>
    <row r="14" spans="2:35" x14ac:dyDescent="0.2">
      <c r="B14" s="238" t="s">
        <v>59</v>
      </c>
      <c r="C14" s="110">
        <f>L</f>
        <v>4.6999999999999999E-6</v>
      </c>
      <c r="D14" s="237" t="s">
        <v>6</v>
      </c>
      <c r="E14" s="238"/>
      <c r="F14" s="271">
        <f>L</f>
        <v>4.6999999999999999E-6</v>
      </c>
      <c r="G14" s="237" t="s">
        <v>6</v>
      </c>
      <c r="I14" s="246">
        <v>10</v>
      </c>
      <c r="J14" s="246">
        <f t="shared" si="0"/>
        <v>1.097501225267834</v>
      </c>
      <c r="K14" s="246">
        <f t="shared" si="23"/>
        <v>12.517028044351497</v>
      </c>
      <c r="L14" s="246">
        <f t="shared" si="11"/>
        <v>78.646806697824147</v>
      </c>
      <c r="M14" s="246">
        <f t="shared" si="1"/>
        <v>8805.6242619989025</v>
      </c>
      <c r="N14" s="246">
        <f>SQRT((ABS(AC14)-171.5+'Small Signal'!C$59)^2)</f>
        <v>100.98164166158284</v>
      </c>
      <c r="O14" s="246">
        <f t="shared" si="12"/>
        <v>92.556688347414052</v>
      </c>
      <c r="P14" s="246">
        <f t="shared" si="13"/>
        <v>50.335216656496343</v>
      </c>
      <c r="Q14" s="246">
        <f t="shared" si="14"/>
        <v>12.517028044351497</v>
      </c>
      <c r="R14" s="246" t="str">
        <f t="shared" si="2"/>
        <v>0.161233333333333+0.000369639991479774i</v>
      </c>
      <c r="S14" s="246" t="str">
        <f t="shared" si="3"/>
        <v>0.025-1352.66749141065i</v>
      </c>
      <c r="T14" s="246" t="str">
        <f t="shared" si="15"/>
        <v>23.9924392166607-0.425690981587628i</v>
      </c>
      <c r="U14" s="246" t="str">
        <f t="shared" si="4"/>
        <v>84.3175847653352-0.261834075397645i</v>
      </c>
      <c r="V14" s="246">
        <f t="shared" si="16"/>
        <v>38.518405037193496</v>
      </c>
      <c r="W14" s="246">
        <f t="shared" si="17"/>
        <v>-0.17792183295110497</v>
      </c>
      <c r="X14" s="246" t="str">
        <f t="shared" si="5"/>
        <v>0.99999999888586-5.90426821069831E-06i</v>
      </c>
      <c r="Y14" s="246" t="str">
        <f t="shared" si="6"/>
        <v>39.9044516126828+0.246837820262927i</v>
      </c>
      <c r="Z14" s="246" t="str">
        <f t="shared" si="7"/>
        <v>24.964628079743+0.154276830640668i</v>
      </c>
      <c r="AA14" s="246" t="str">
        <f t="shared" si="8"/>
        <v>15.2362365756192-0.137846902974509i</v>
      </c>
      <c r="AB14" s="246">
        <f t="shared" si="18"/>
        <v>23.657909619897566</v>
      </c>
      <c r="AC14" s="246">
        <f t="shared" si="19"/>
        <v>-0.51835833841714718</v>
      </c>
      <c r="AD14" s="248">
        <f t="shared" si="20"/>
        <v>26.677307036598773</v>
      </c>
      <c r="AE14" s="248">
        <f t="shared" si="21"/>
        <v>93.075046685831197</v>
      </c>
      <c r="AF14" s="246">
        <f t="shared" si="9"/>
        <v>50.335216656496343</v>
      </c>
      <c r="AG14" s="246">
        <f t="shared" si="10"/>
        <v>92.556688347414052</v>
      </c>
      <c r="AH14" s="249" t="str">
        <f t="shared" si="22"/>
        <v>1.15714003644166-21.5396961533056i</v>
      </c>
    </row>
    <row r="15" spans="2:35" x14ac:dyDescent="0.2">
      <c r="B15" s="238" t="s">
        <v>27</v>
      </c>
      <c r="C15" s="109">
        <f>DCR</f>
        <v>1.95E-2</v>
      </c>
      <c r="D15" s="237" t="s">
        <v>29</v>
      </c>
      <c r="E15" s="238"/>
      <c r="F15" s="269">
        <f>DCR</f>
        <v>1.95E-2</v>
      </c>
      <c r="G15" s="237" t="s">
        <v>29</v>
      </c>
      <c r="I15" s="246">
        <v>11</v>
      </c>
      <c r="J15" s="246">
        <f t="shared" si="0"/>
        <v>1.1072513477946173</v>
      </c>
      <c r="K15" s="246">
        <f t="shared" si="23"/>
        <v>12.801219599908473</v>
      </c>
      <c r="L15" s="246">
        <f t="shared" si="11"/>
        <v>80.432434904124264</v>
      </c>
      <c r="M15" s="246">
        <f t="shared" si="1"/>
        <v>8805.3336180458627</v>
      </c>
      <c r="N15" s="246">
        <f>SQRT((ABS(AC15)-171.5+'Small Signal'!C$59)^2)</f>
        <v>100.96987322487166</v>
      </c>
      <c r="O15" s="246">
        <f t="shared" si="12"/>
        <v>92.515696240900056</v>
      </c>
      <c r="P15" s="246">
        <f t="shared" si="13"/>
        <v>50.140528833790981</v>
      </c>
      <c r="Q15" s="246">
        <f t="shared" si="14"/>
        <v>12.801219599908473</v>
      </c>
      <c r="R15" s="246" t="str">
        <f t="shared" si="2"/>
        <v>0.161233333333333+0.000378032444049384i</v>
      </c>
      <c r="S15" s="246" t="str">
        <f t="shared" si="3"/>
        <v>0.025-1322.63779966643i</v>
      </c>
      <c r="T15" s="246" t="str">
        <f t="shared" si="15"/>
        <v>23.9920921076526-0.435349732959071i</v>
      </c>
      <c r="U15" s="246" t="str">
        <f t="shared" si="4"/>
        <v>84.3175734154039-0.267778895540148i</v>
      </c>
      <c r="V15" s="246">
        <f t="shared" si="16"/>
        <v>38.518405791277146</v>
      </c>
      <c r="W15" s="246">
        <f t="shared" si="17"/>
        <v>-0.18196146253308371</v>
      </c>
      <c r="X15" s="246" t="str">
        <f t="shared" si="5"/>
        <v>0.999999998834693-6.03832105145879E-06i</v>
      </c>
      <c r="Y15" s="246" t="str">
        <f t="shared" si="6"/>
        <v>39.9044922663957+0.25244207461763i</v>
      </c>
      <c r="Z15" s="246" t="str">
        <f t="shared" si="7"/>
        <v>24.96465355371+0.157779561915316i</v>
      </c>
      <c r="AA15" s="246" t="str">
        <f t="shared" si="8"/>
        <v>15.2361819646736-0.140976151734379i</v>
      </c>
      <c r="AB15" s="246">
        <f t="shared" si="18"/>
        <v>23.657894811388431</v>
      </c>
      <c r="AC15" s="246">
        <f t="shared" si="19"/>
        <v>-0.53012677512834927</v>
      </c>
      <c r="AD15" s="248">
        <f t="shared" si="20"/>
        <v>26.482634022402554</v>
      </c>
      <c r="AE15" s="248">
        <f t="shared" si="21"/>
        <v>93.045823016028407</v>
      </c>
      <c r="AF15" s="246">
        <f t="shared" si="9"/>
        <v>50.140528833790981</v>
      </c>
      <c r="AG15" s="246">
        <f t="shared" si="10"/>
        <v>92.515696240900056</v>
      </c>
      <c r="AH15" s="249" t="str">
        <f t="shared" si="22"/>
        <v>1.12075107650441-21.0628805687243i</v>
      </c>
    </row>
    <row r="16" spans="2:35" x14ac:dyDescent="0.2">
      <c r="B16" s="238" t="s">
        <v>56</v>
      </c>
      <c r="C16" s="109">
        <f>Rdson_ls</f>
        <v>8.3999999999999995E-3</v>
      </c>
      <c r="D16" s="237" t="s">
        <v>29</v>
      </c>
      <c r="E16" s="238"/>
      <c r="F16" s="269">
        <f>Rdsonss</f>
        <v>8.3999999999999995E-3</v>
      </c>
      <c r="G16" s="237" t="s">
        <v>29</v>
      </c>
      <c r="I16" s="246">
        <v>12</v>
      </c>
      <c r="J16" s="246">
        <f t="shared" si="0"/>
        <v>1.1170014703214008</v>
      </c>
      <c r="K16" s="246">
        <f t="shared" si="23"/>
        <v>13.091863552948606</v>
      </c>
      <c r="L16" s="246">
        <f t="shared" si="11"/>
        <v>82.258604719486613</v>
      </c>
      <c r="M16" s="246">
        <f t="shared" si="1"/>
        <v>8805.0363751975547</v>
      </c>
      <c r="N16" s="246">
        <f>SQRT((ABS(AC16)-171.5+'Small Signal'!C$59)^2)</f>
        <v>100.9578376330488</v>
      </c>
      <c r="O16" s="246">
        <f t="shared" si="12"/>
        <v>92.475967807574762</v>
      </c>
      <c r="P16" s="246">
        <f t="shared" si="13"/>
        <v>49.945830082469186</v>
      </c>
      <c r="Q16" s="246">
        <f t="shared" si="14"/>
        <v>13.091863552948606</v>
      </c>
      <c r="R16" s="246" t="str">
        <f t="shared" si="2"/>
        <v>0.161233333333333+0.000386615442181587i</v>
      </c>
      <c r="S16" s="246" t="str">
        <f t="shared" si="3"/>
        <v>0.025-1293.27477758935i</v>
      </c>
      <c r="T16" s="246" t="str">
        <f t="shared" si="15"/>
        <v>23.9917290686701-0.445227341360577i</v>
      </c>
      <c r="U16" s="246" t="str">
        <f t="shared" si="4"/>
        <v>84.3175615442199-0.273858691719978i</v>
      </c>
      <c r="V16" s="246">
        <f t="shared" si="16"/>
        <v>38.518406579991094</v>
      </c>
      <c r="W16" s="246">
        <f t="shared" si="17"/>
        <v>-0.18609281098962679</v>
      </c>
      <c r="X16" s="246" t="str">
        <f t="shared" si="5"/>
        <v>0.999999998781178-6.17541748093759E-06i</v>
      </c>
      <c r="Y16" s="246" t="str">
        <f t="shared" si="6"/>
        <v>39.9045347871106+0.258173566755592i</v>
      </c>
      <c r="Z16" s="246" t="str">
        <f t="shared" si="7"/>
        <v>24.9646801975566+0.161361818432743i</v>
      </c>
      <c r="AA16" s="246" t="str">
        <f t="shared" si="8"/>
        <v>15.236124846159-0.144176414628424i</v>
      </c>
      <c r="AB16" s="246">
        <f t="shared" si="18"/>
        <v>23.65787932286343</v>
      </c>
      <c r="AC16" s="246">
        <f t="shared" si="19"/>
        <v>-0.54216236695120645</v>
      </c>
      <c r="AD16" s="248">
        <f t="shared" si="20"/>
        <v>26.287950759605753</v>
      </c>
      <c r="AE16" s="248">
        <f t="shared" si="21"/>
        <v>93.018130174525965</v>
      </c>
      <c r="AF16" s="246">
        <f t="shared" si="9"/>
        <v>49.945830082469186</v>
      </c>
      <c r="AG16" s="246">
        <f t="shared" si="10"/>
        <v>92.475967807574762</v>
      </c>
      <c r="AH16" s="249" t="str">
        <f t="shared" si="22"/>
        <v>1.08595544714443-20.5965613760329i</v>
      </c>
    </row>
    <row r="17" spans="2:34" x14ac:dyDescent="0.2">
      <c r="B17" s="238" t="s">
        <v>137</v>
      </c>
      <c r="C17" s="110">
        <f>Co</f>
        <v>9.3999999999999998E-6</v>
      </c>
      <c r="D17" s="237" t="s">
        <v>7</v>
      </c>
      <c r="E17" s="238"/>
      <c r="F17" s="271">
        <f>Co</f>
        <v>9.3999999999999998E-6</v>
      </c>
      <c r="G17" s="237" t="s">
        <v>7</v>
      </c>
      <c r="I17" s="246">
        <v>13</v>
      </c>
      <c r="J17" s="246">
        <f t="shared" si="0"/>
        <v>1.1267515928481842</v>
      </c>
      <c r="K17" s="246">
        <f t="shared" si="23"/>
        <v>13.38910640125644</v>
      </c>
      <c r="L17" s="246">
        <f t="shared" si="11"/>
        <v>84.126236616638607</v>
      </c>
      <c r="M17" s="246">
        <f t="shared" si="1"/>
        <v>8804.7323836300511</v>
      </c>
      <c r="N17" s="246">
        <f>SQRT((ABS(AC17)-171.5+'Small Signal'!C$59)^2)</f>
        <v>100.94552882331456</v>
      </c>
      <c r="O17" s="246">
        <f t="shared" si="12"/>
        <v>92.437483272816493</v>
      </c>
      <c r="P17" s="246">
        <f t="shared" si="13"/>
        <v>49.751121012588129</v>
      </c>
      <c r="Q17" s="246">
        <f t="shared" si="14"/>
        <v>13.38910640125644</v>
      </c>
      <c r="R17" s="246" t="str">
        <f t="shared" si="2"/>
        <v>0.161233333333333+0.000395393312098201i</v>
      </c>
      <c r="S17" s="246" t="str">
        <f t="shared" si="3"/>
        <v>0.025-1264.56362487947i</v>
      </c>
      <c r="T17" s="246" t="str">
        <f t="shared" si="15"/>
        <v>23.9913493691506-0.45532874524105i</v>
      </c>
      <c r="U17" s="246" t="str">
        <f t="shared" si="4"/>
        <v>84.317549127844-0.280076528659916i</v>
      </c>
      <c r="V17" s="246">
        <f t="shared" si="16"/>
        <v>38.518407404925725</v>
      </c>
      <c r="W17" s="246">
        <f t="shared" si="17"/>
        <v>-0.19031796084871003</v>
      </c>
      <c r="X17" s="246" t="str">
        <f t="shared" si="5"/>
        <v>0.999999998725204-6.31562660197677E-06i</v>
      </c>
      <c r="Y17" s="246" t="str">
        <f t="shared" si="6"/>
        <v>39.9045792605688+0.264035185295189i</v>
      </c>
      <c r="Z17" s="246" t="str">
        <f t="shared" si="7"/>
        <v>24.964708065009+0.165025405615473i</v>
      </c>
      <c r="AA17" s="246" t="str">
        <f t="shared" si="8"/>
        <v>15.2360651049546-0.147449301651378i</v>
      </c>
      <c r="AB17" s="246">
        <f t="shared" si="18"/>
        <v>23.657863123098409</v>
      </c>
      <c r="AC17" s="246">
        <f t="shared" si="19"/>
        <v>-0.55447117668542512</v>
      </c>
      <c r="AD17" s="248">
        <f t="shared" si="20"/>
        <v>26.093257889489717</v>
      </c>
      <c r="AE17" s="248">
        <f t="shared" si="21"/>
        <v>92.991954449501918</v>
      </c>
      <c r="AF17" s="246">
        <f t="shared" si="9"/>
        <v>49.751121012588129</v>
      </c>
      <c r="AG17" s="246">
        <f t="shared" si="10"/>
        <v>92.437483272816493</v>
      </c>
      <c r="AH17" s="249" t="str">
        <f t="shared" si="22"/>
        <v>1.05268356839113-20.1405113409919i</v>
      </c>
    </row>
    <row r="18" spans="2:34" x14ac:dyDescent="0.2">
      <c r="B18" s="238" t="s">
        <v>271</v>
      </c>
      <c r="C18" s="111">
        <f>Co_esr</f>
        <v>2.5000000000000005E-2</v>
      </c>
      <c r="D18" s="237" t="s">
        <v>29</v>
      </c>
      <c r="E18" s="238"/>
      <c r="F18" s="272">
        <f>Co_esr</f>
        <v>2.5000000000000005E-2</v>
      </c>
      <c r="G18" s="237" t="s">
        <v>29</v>
      </c>
      <c r="I18" s="246">
        <v>14</v>
      </c>
      <c r="J18" s="246">
        <f t="shared" si="0"/>
        <v>1.1365017153749677</v>
      </c>
      <c r="K18" s="246">
        <f t="shared" si="23"/>
        <v>13.693097968760206</v>
      </c>
      <c r="L18" s="246">
        <f t="shared" si="11"/>
        <v>86.036271967084758</v>
      </c>
      <c r="M18" s="246">
        <f t="shared" si="1"/>
        <v>8804.421490117762</v>
      </c>
      <c r="N18" s="246">
        <f>SQRT((ABS(AC18)-171.5+'Small Signal'!C$59)^2)</f>
        <v>100.93294059541179</v>
      </c>
      <c r="O18" s="246">
        <f t="shared" si="12"/>
        <v>92.400223470447557</v>
      </c>
      <c r="P18" s="246">
        <f t="shared" si="13"/>
        <v>49.55640221358631</v>
      </c>
      <c r="Q18" s="246">
        <f t="shared" si="14"/>
        <v>13.693097968760206</v>
      </c>
      <c r="R18" s="246" t="str">
        <f t="shared" si="2"/>
        <v>0.161233333333333+0.000404370478245298i</v>
      </c>
      <c r="S18" s="246" t="str">
        <f t="shared" si="3"/>
        <v>0.025-1236.48986980867i</v>
      </c>
      <c r="T18" s="246" t="str">
        <f t="shared" si="15"/>
        <v>23.9909522450761-0.465658993047025i</v>
      </c>
      <c r="U18" s="246" t="str">
        <f t="shared" si="4"/>
        <v>84.3175361412356-0.286435540677499i</v>
      </c>
      <c r="V18" s="246">
        <f t="shared" si="16"/>
        <v>38.518408267744235</v>
      </c>
      <c r="W18" s="246">
        <f t="shared" si="17"/>
        <v>-0.1946390419282594</v>
      </c>
      <c r="X18" s="246" t="str">
        <f t="shared" si="5"/>
        <v>0.99999999866666-0.0000064590190863567i</v>
      </c>
      <c r="Y18" s="246" t="str">
        <f t="shared" si="6"/>
        <v>39.9046257764486+0.270029884422516i</v>
      </c>
      <c r="Z18" s="246" t="str">
        <f t="shared" si="7"/>
        <v>24.9647372122603+0.168772169866608i</v>
      </c>
      <c r="AA18" s="246" t="str">
        <f t="shared" si="8"/>
        <v>15.2360026206565-0.150796459189081i</v>
      </c>
      <c r="AB18" s="246">
        <f t="shared" si="18"/>
        <v>23.657846179435886</v>
      </c>
      <c r="AC18" s="246">
        <f t="shared" si="19"/>
        <v>-0.56705940458819581</v>
      </c>
      <c r="AD18" s="248">
        <f t="shared" si="20"/>
        <v>25.898556034150428</v>
      </c>
      <c r="AE18" s="248">
        <f t="shared" si="21"/>
        <v>92.96728287503575</v>
      </c>
      <c r="AF18" s="246">
        <f t="shared" si="9"/>
        <v>49.55640221358631</v>
      </c>
      <c r="AG18" s="246">
        <f t="shared" si="10"/>
        <v>92.400223470447557</v>
      </c>
      <c r="AH18" s="249" t="str">
        <f t="shared" si="22"/>
        <v>1.02086888286037-19.694507898897i</v>
      </c>
    </row>
    <row r="19" spans="2:34" x14ac:dyDescent="0.2">
      <c r="B19" s="239" t="s">
        <v>183</v>
      </c>
      <c r="C19" s="111">
        <f>Rsense</f>
        <v>0.01</v>
      </c>
      <c r="D19" s="237" t="s">
        <v>29</v>
      </c>
      <c r="E19" s="239"/>
      <c r="F19" s="272">
        <f>C19</f>
        <v>0.01</v>
      </c>
      <c r="G19" s="237" t="s">
        <v>29</v>
      </c>
      <c r="I19" s="246">
        <v>15</v>
      </c>
      <c r="J19" s="246">
        <f t="shared" si="0"/>
        <v>1.146251837901751</v>
      </c>
      <c r="K19" s="246">
        <f t="shared" si="23"/>
        <v>14.003991481049821</v>
      </c>
      <c r="L19" s="246">
        <f t="shared" si="11"/>
        <v>87.98967351560033</v>
      </c>
      <c r="M19" s="246">
        <f>SQRT((Fco_target-K20)^2)</f>
        <v>8804.1035379562018</v>
      </c>
      <c r="N19" s="246">
        <f>SQRT((ABS(AC19)-171.5+'Small Signal'!C$59)^2)</f>
        <v>100.92006660851857</v>
      </c>
      <c r="O19" s="246">
        <f t="shared" si="12"/>
        <v>92.364169834117561</v>
      </c>
      <c r="P19" s="246">
        <f t="shared" si="13"/>
        <v>49.361674255454865</v>
      </c>
      <c r="Q19" s="246">
        <f t="shared" si="14"/>
        <v>14.003991481049821</v>
      </c>
      <c r="R19" s="246" t="str">
        <f t="shared" si="2"/>
        <v>0.161233333333333+0.000413551465523322i</v>
      </c>
      <c r="S19" s="246" t="str">
        <f t="shared" si="3"/>
        <v>0.025-1209.03936192629i</v>
      </c>
      <c r="T19" s="246" t="str">
        <f t="shared" si="15"/>
        <v>23.9905368974451-0.476223245572232i</v>
      </c>
      <c r="U19" s="246" t="str">
        <f t="shared" si="4"/>
        <v>84.3175225582067-0.292938933265981i</v>
      </c>
      <c r="V19" s="246">
        <f t="shared" si="16"/>
        <v>38.518409170186494</v>
      </c>
      <c r="W19" s="246">
        <f t="shared" si="17"/>
        <v>-0.19905823241035536</v>
      </c>
      <c r="X19" s="246" t="str">
        <f t="shared" si="5"/>
        <v>0.999999998605427-6.60566721041777E-06i</v>
      </c>
      <c r="Y19" s="246" t="str">
        <f t="shared" si="6"/>
        <v>39.904674428549+0.276160685378887i</v>
      </c>
      <c r="Z19" s="246" t="str">
        <f t="shared" si="7"/>
        <v>24.9647676980858+0.172603999499524i</v>
      </c>
      <c r="AA19" s="246" t="str">
        <f t="shared" si="8"/>
        <v>15.2359372673348-0.154219570833351i</v>
      </c>
      <c r="AB19" s="246">
        <f t="shared" si="18"/>
        <v>23.657828457718871</v>
      </c>
      <c r="AC19" s="246">
        <f t="shared" si="19"/>
        <v>-0.57993339148144585</v>
      </c>
      <c r="AD19" s="248">
        <f t="shared" si="20"/>
        <v>25.703845797735994</v>
      </c>
      <c r="AE19" s="248">
        <f t="shared" si="21"/>
        <v>92.944103225599008</v>
      </c>
      <c r="AF19" s="246">
        <f t="shared" si="9"/>
        <v>49.361674255454865</v>
      </c>
      <c r="AG19" s="246">
        <f t="shared" si="10"/>
        <v>92.364169834117561</v>
      </c>
      <c r="AH19" s="249" t="str">
        <f t="shared" si="22"/>
        <v>0.990447725820329-19.2583330751573i</v>
      </c>
    </row>
    <row r="20" spans="2:34" ht="15" x14ac:dyDescent="0.25">
      <c r="B20" s="241"/>
      <c r="C20" s="289"/>
      <c r="D20" s="289"/>
      <c r="E20" s="241"/>
      <c r="I20" s="246">
        <v>16</v>
      </c>
      <c r="J20" s="246">
        <f t="shared" si="0"/>
        <v>1.1560019604285343</v>
      </c>
      <c r="K20" s="246">
        <f t="shared" si="23"/>
        <v>14.321943642609622</v>
      </c>
      <c r="L20" s="246">
        <f t="shared" si="11"/>
        <v>89.987425865498864</v>
      </c>
      <c r="M20" s="246">
        <f>SQRT((Fco_target-K21)^2)</f>
        <v>8803.778366883007</v>
      </c>
      <c r="N20" s="246">
        <f>SQRT((ABS(AC20)-171.5+'Small Signal'!C$59)^2)</f>
        <v>100.90690037807113</v>
      </c>
      <c r="O20" s="246">
        <f t="shared" si="12"/>
        <v>92.329304388910472</v>
      </c>
      <c r="P20" s="246">
        <f t="shared" si="13"/>
        <v>49.166937689870949</v>
      </c>
      <c r="Q20" s="246">
        <f t="shared" si="14"/>
        <v>14.321943642609622</v>
      </c>
      <c r="R20" s="246" t="str">
        <f t="shared" si="2"/>
        <v>0.161233333333333+0.000422940901567845i</v>
      </c>
      <c r="S20" s="246" t="str">
        <f t="shared" si="3"/>
        <v>0.025-1182.19826492661i</v>
      </c>
      <c r="T20" s="246" t="str">
        <f t="shared" si="15"/>
        <v>23.990102490676-0.487026778350275i</v>
      </c>
      <c r="U20" s="246" t="str">
        <f t="shared" si="4"/>
        <v>84.3175083513651-0.29958998471123i</v>
      </c>
      <c r="V20" s="246">
        <f t="shared" si="16"/>
        <v>38.518410114072118</v>
      </c>
      <c r="W20" s="246">
        <f t="shared" si="17"/>
        <v>-0.20357775993986915</v>
      </c>
      <c r="X20" s="246" t="str">
        <f t="shared" si="5"/>
        <v>0.999999998541383-6.75564489149099E-06i</v>
      </c>
      <c r="Y20" s="246" t="str">
        <f t="shared" si="6"/>
        <v>39.904725314975+0.282430677982056i</v>
      </c>
      <c r="Z20" s="246" t="str">
        <f t="shared" si="7"/>
        <v>24.9647995839589+0.176522825688656i</v>
      </c>
      <c r="AA20" s="246" t="str">
        <f t="shared" si="8"/>
        <v>15.2358689132809-0.157720358214629i</v>
      </c>
      <c r="AB20" s="246">
        <f t="shared" si="18"/>
        <v>23.657809922222526</v>
      </c>
      <c r="AC20" s="246">
        <f t="shared" si="19"/>
        <v>-0.59309962192887689</v>
      </c>
      <c r="AD20" s="248">
        <f t="shared" si="20"/>
        <v>25.509127767648422</v>
      </c>
      <c r="AE20" s="248">
        <f t="shared" si="21"/>
        <v>92.922404010839344</v>
      </c>
      <c r="AF20" s="246">
        <f t="shared" si="9"/>
        <v>49.166937689870949</v>
      </c>
      <c r="AG20" s="246">
        <f t="shared" si="10"/>
        <v>92.329304388910472</v>
      </c>
      <c r="AH20" s="249" t="str">
        <f t="shared" si="22"/>
        <v>0.961359200725065-18.8317734060762i</v>
      </c>
    </row>
    <row r="21" spans="2:34" ht="15" x14ac:dyDescent="0.25">
      <c r="E21" s="292" t="s">
        <v>272</v>
      </c>
      <c r="F21" s="292"/>
      <c r="G21" s="292"/>
      <c r="I21" s="246">
        <v>17</v>
      </c>
      <c r="J21" s="246">
        <f t="shared" si="0"/>
        <v>1.1657520829553178</v>
      </c>
      <c r="K21" s="246">
        <f t="shared" si="23"/>
        <v>14.647114715804539</v>
      </c>
      <c r="L21" s="246">
        <f t="shared" si="11"/>
        <v>92.030535974916987</v>
      </c>
      <c r="M21" s="246">
        <f t="shared" si="1"/>
        <v>8803.4458129971517</v>
      </c>
      <c r="N21" s="246">
        <f>SQRT((ABS(AC21)-171.5+'Small Signal'!C$59)^2)</f>
        <v>100.89343527251606</v>
      </c>
      <c r="O21" s="246">
        <f t="shared" si="12"/>
        <v>92.295609743175618</v>
      </c>
      <c r="P21" s="246">
        <f t="shared" si="13"/>
        <v>48.972193051295903</v>
      </c>
      <c r="Q21" s="246">
        <f t="shared" si="14"/>
        <v>14.647114715804539</v>
      </c>
      <c r="R21" s="246" t="str">
        <f t="shared" si="2"/>
        <v>0.161233333333333+0.00043254351908211i</v>
      </c>
      <c r="S21" s="246" t="str">
        <f t="shared" si="3"/>
        <v>0.025-1155.95304967472i</v>
      </c>
      <c r="T21" s="246" t="str">
        <f t="shared" si="15"/>
        <v>23.9896481509382-0.498074984090664i</v>
      </c>
      <c r="U21" s="246" t="str">
        <f t="shared" si="4"/>
        <v>84.3174934920607-0.306392047745398i</v>
      </c>
      <c r="V21" s="246">
        <f t="shared" si="16"/>
        <v>38.518411101304324</v>
      </c>
      <c r="W21" s="246">
        <f t="shared" si="17"/>
        <v>-0.20819990274806952</v>
      </c>
      <c r="X21" s="246" t="str">
        <f t="shared" si="5"/>
        <v>0.999999998474397-6.90902772515572E-06i</v>
      </c>
      <c r="Y21" s="246" t="str">
        <f t="shared" si="6"/>
        <v>39.9047785383374+0.288843022181893i</v>
      </c>
      <c r="Z21" s="246" t="str">
        <f t="shared" si="7"/>
        <v>24.9648329341765+0.180530623441798i</v>
      </c>
      <c r="AA21" s="246" t="str">
        <f t="shared" si="8"/>
        <v>15.2357974207421-0.161300581852627i</v>
      </c>
      <c r="AB21" s="246">
        <f t="shared" si="18"/>
        <v>23.657790535581945</v>
      </c>
      <c r="AC21" s="246">
        <f t="shared" si="19"/>
        <v>-0.60656472748395018</v>
      </c>
      <c r="AD21" s="248">
        <f t="shared" si="20"/>
        <v>25.314402515713958</v>
      </c>
      <c r="AE21" s="248">
        <f t="shared" si="21"/>
        <v>92.902174470659574</v>
      </c>
      <c r="AF21" s="246">
        <f t="shared" si="9"/>
        <v>48.972193051295903</v>
      </c>
      <c r="AG21" s="246">
        <f t="shared" si="10"/>
        <v>92.295609743175618</v>
      </c>
      <c r="AH21" s="249" t="str">
        <f t="shared" si="22"/>
        <v>0.933545059996079-18.4146198599345i</v>
      </c>
    </row>
    <row r="22" spans="2:34" x14ac:dyDescent="0.2">
      <c r="E22" s="242" t="s">
        <v>28</v>
      </c>
      <c r="F22" s="273">
        <f>VLOOKUP(MIN('Small Signal'!P4:P504),'Small Signal'!P4:Q504,2,FALSE)</f>
        <v>7354.2099297925597</v>
      </c>
      <c r="I22" s="246">
        <v>18</v>
      </c>
      <c r="J22" s="246">
        <f t="shared" si="0"/>
        <v>1.1755022054821012</v>
      </c>
      <c r="K22" s="246">
        <f t="shared" si="23"/>
        <v>14.979668601659609</v>
      </c>
      <c r="L22" s="246">
        <f t="shared" si="11"/>
        <v>94.120033664367043</v>
      </c>
      <c r="M22" s="246">
        <f t="shared" si="1"/>
        <v>8803.1057086763376</v>
      </c>
      <c r="N22" s="246">
        <f>SQRT((ABS(AC22)-171.5+'Small Signal'!C$59)^2)</f>
        <v>100.87966450998942</v>
      </c>
      <c r="O22" s="246">
        <f t="shared" si="12"/>
        <v>92.263069080582525</v>
      </c>
      <c r="P22" s="246">
        <f t="shared" si="13"/>
        <v>48.777440858038688</v>
      </c>
      <c r="Q22" s="246">
        <f t="shared" si="14"/>
        <v>14.979668601659609</v>
      </c>
      <c r="R22" s="246" t="str">
        <f t="shared" si="2"/>
        <v>0.161233333333333+0.000442364158222525i</v>
      </c>
      <c r="S22" s="246" t="str">
        <f t="shared" si="3"/>
        <v>0.025-1130.29048738728i</v>
      </c>
      <c r="T22" s="246" t="str">
        <f t="shared" si="15"/>
        <v>23.9891729644063-0.509373375158372i</v>
      </c>
      <c r="U22" s="246" t="str">
        <f t="shared" si="4"/>
        <v>84.3174779503265-0.31334855123821i</v>
      </c>
      <c r="V22" s="246">
        <f t="shared" si="16"/>
        <v>38.518412133873625</v>
      </c>
      <c r="W22" s="246">
        <f t="shared" si="17"/>
        <v>-0.21292699080179142</v>
      </c>
      <c r="X22" s="246" t="str">
        <f t="shared" si="5"/>
        <v>0.999999998404334-0.0000070658930233432i</v>
      </c>
      <c r="Y22" s="246" t="str">
        <f t="shared" si="6"/>
        <v>39.9048342059604+0.295400949651221i</v>
      </c>
      <c r="Z22" s="246" t="str">
        <f t="shared" si="7"/>
        <v>24.9648678159888+0.184629412594395i</v>
      </c>
      <c r="AA22" s="246" t="str">
        <f t="shared" si="8"/>
        <v>15.2357226456441-0.164962042025397i</v>
      </c>
      <c r="AB22" s="246">
        <f t="shared" si="18"/>
        <v>23.657770258716688</v>
      </c>
      <c r="AC22" s="246">
        <f t="shared" si="19"/>
        <v>-0.62033549001057542</v>
      </c>
      <c r="AD22" s="248">
        <f t="shared" si="20"/>
        <v>25.119670599322003</v>
      </c>
      <c r="AE22" s="248">
        <f t="shared" si="21"/>
        <v>92.8834045705931</v>
      </c>
      <c r="AF22" s="246">
        <f t="shared" si="9"/>
        <v>48.777440858038688</v>
      </c>
      <c r="AG22" s="246">
        <f t="shared" si="10"/>
        <v>92.263069080582525</v>
      </c>
      <c r="AH22" s="249" t="str">
        <f t="shared" si="22"/>
        <v>0.906949590839714-18.0066677584568i</v>
      </c>
    </row>
    <row r="23" spans="2:34" x14ac:dyDescent="0.2">
      <c r="E23" s="242" t="s">
        <v>22</v>
      </c>
      <c r="F23" s="274">
        <f>VLOOKUP(MIN('Small Signal'!P4:P504),'Small Signal'!P4:AG504,18,FALSE)</f>
        <v>75.822617886777394</v>
      </c>
      <c r="I23" s="246">
        <v>19</v>
      </c>
      <c r="J23" s="246">
        <f t="shared" si="0"/>
        <v>1.1852523280088847</v>
      </c>
      <c r="K23" s="246">
        <f t="shared" si="23"/>
        <v>15.319772922473584</v>
      </c>
      <c r="L23" s="246">
        <f t="shared" si="11"/>
        <v>96.256972135813697</v>
      </c>
      <c r="M23" s="246">
        <f t="shared" si="1"/>
        <v>8802.757882492504</v>
      </c>
      <c r="N23" s="246">
        <f>SQRT((ABS(AC23)-171.5+'Small Signal'!C$59)^2)</f>
        <v>100.86558115492184</v>
      </c>
      <c r="O23" s="246">
        <f t="shared" si="12"/>
        <v>92.231666152398788</v>
      </c>
      <c r="P23" s="246">
        <f t="shared" si="13"/>
        <v>48.582681613289807</v>
      </c>
      <c r="Q23" s="246">
        <f t="shared" si="14"/>
        <v>15.319772922473584</v>
      </c>
      <c r="R23" s="246" t="str">
        <f t="shared" si="2"/>
        <v>0.161233333333333+0.000452407769038324i</v>
      </c>
      <c r="S23" s="246" t="str">
        <f t="shared" si="3"/>
        <v>0.025-1105.19764296454i</v>
      </c>
      <c r="T23" s="246" t="str">
        <f t="shared" si="15"/>
        <v>23.988675975437-0.520927586097236i</v>
      </c>
      <c r="U23" s="246" t="str">
        <f t="shared" si="4"/>
        <v>84.3174616948212-0.320463001926738i</v>
      </c>
      <c r="V23" s="246">
        <f t="shared" si="16"/>
        <v>38.518413213862132</v>
      </c>
      <c r="W23" s="246">
        <f t="shared" si="17"/>
        <v>-0.21776140697873911</v>
      </c>
      <c r="X23" s="246" t="str">
        <f t="shared" si="5"/>
        <v>0.999999998331055-7.22631985330538E-06i</v>
      </c>
      <c r="Y23" s="246" t="str">
        <f t="shared" si="6"/>
        <v>39.9048924300958+0.302107765412798i</v>
      </c>
      <c r="Z23" s="246" t="str">
        <f t="shared" si="7"/>
        <v>24.9649042997338+0.188821258826418i</v>
      </c>
      <c r="AA23" s="246" t="str">
        <f t="shared" si="8"/>
        <v>15.2356444373026-0.168706579657215i</v>
      </c>
      <c r="AB23" s="246">
        <f t="shared" si="18"/>
        <v>23.657749050752884</v>
      </c>
      <c r="AC23" s="246">
        <f t="shared" si="19"/>
        <v>-0.63441884507814983</v>
      </c>
      <c r="AD23" s="248">
        <f t="shared" si="20"/>
        <v>24.92493256253692</v>
      </c>
      <c r="AE23" s="248">
        <f t="shared" si="21"/>
        <v>92.866084997476932</v>
      </c>
      <c r="AF23" s="246">
        <f t="shared" si="9"/>
        <v>48.582681613289807</v>
      </c>
      <c r="AG23" s="246">
        <f t="shared" si="10"/>
        <v>92.231666152398788</v>
      </c>
      <c r="AH23" s="249" t="str">
        <f t="shared" si="22"/>
        <v>0.881519505896387-17.6077166987449i</v>
      </c>
    </row>
    <row r="24" spans="2:34" x14ac:dyDescent="0.2">
      <c r="E24" s="242" t="s">
        <v>26</v>
      </c>
      <c r="F24" s="274">
        <f>VLOOKUP(MIN('Small Signal'!O4:O505),'Small Signal'!O4:AF505,18,FALSE)</f>
        <v>-12.085634387355935</v>
      </c>
      <c r="I24" s="246">
        <v>20</v>
      </c>
      <c r="J24" s="246">
        <f t="shared" si="0"/>
        <v>1.195002450535668</v>
      </c>
      <c r="K24" s="246">
        <f t="shared" si="23"/>
        <v>15.667599106308181</v>
      </c>
      <c r="L24" s="246">
        <f t="shared" si="11"/>
        <v>98.442428503535581</v>
      </c>
      <c r="M24" s="246">
        <f t="shared" si="1"/>
        <v>8802.4021591254168</v>
      </c>
      <c r="N24" s="246">
        <f>SQRT((ABS(AC24)-171.5+'Small Signal'!C$59)^2)</f>
        <v>100.85117811456769</v>
      </c>
      <c r="O24" s="246">
        <f t="shared" si="12"/>
        <v>92.201385269991235</v>
      </c>
      <c r="P24" s="246">
        <f t="shared" si="13"/>
        <v>48.387915806123061</v>
      </c>
      <c r="Q24" s="246">
        <f t="shared" si="14"/>
        <v>15.667599106308181</v>
      </c>
      <c r="R24" s="246" t="str">
        <f t="shared" si="2"/>
        <v>0.161233333333333+0.000462679413966617i</v>
      </c>
      <c r="S24" s="246" t="str">
        <f t="shared" si="3"/>
        <v>0.025-1080.6618684705i</v>
      </c>
      <c r="T24" s="246" t="str">
        <f t="shared" si="15"/>
        <v>23.9881561846619-0.532743376197156i</v>
      </c>
      <c r="U24" s="246" t="str">
        <f t="shared" si="4"/>
        <v>84.3174446927615-0.327738986184489i</v>
      </c>
      <c r="V24" s="246">
        <f t="shared" si="16"/>
        <v>38.518414343447354</v>
      </c>
      <c r="W24" s="246">
        <f t="shared" si="17"/>
        <v>-0.22270558826951478</v>
      </c>
      <c r="X24" s="246" t="str">
        <f t="shared" si="5"/>
        <v>0.99999999825441-7.39038907746837E-06i</v>
      </c>
      <c r="Y24" s="246" t="str">
        <f t="shared" si="6"/>
        <v>39.904953328151+0.308966849503008i</v>
      </c>
      <c r="Z24" s="246" t="str">
        <f t="shared" si="7"/>
        <v>24.9649424589798+0.193108274702181i</v>
      </c>
      <c r="AA24" s="246" t="str">
        <f t="shared" si="8"/>
        <v>15.2355626381185-0.172536077225521i</v>
      </c>
      <c r="AB24" s="246">
        <f t="shared" si="18"/>
        <v>23.657726868939946</v>
      </c>
      <c r="AC24" s="246">
        <f t="shared" si="19"/>
        <v>-0.64882188543230745</v>
      </c>
      <c r="AD24" s="248">
        <f t="shared" si="20"/>
        <v>24.730188937183112</v>
      </c>
      <c r="AE24" s="248">
        <f t="shared" si="21"/>
        <v>92.850207155423547</v>
      </c>
      <c r="AF24" s="246">
        <f t="shared" si="9"/>
        <v>48.387915806123061</v>
      </c>
      <c r="AG24" s="246">
        <f t="shared" si="10"/>
        <v>92.201385269991235</v>
      </c>
      <c r="AH24" s="249" t="str">
        <f t="shared" si="22"/>
        <v>0.857203838524889-17.2175704757456i</v>
      </c>
    </row>
    <row r="25" spans="2:34" x14ac:dyDescent="0.2">
      <c r="I25" s="246">
        <v>21</v>
      </c>
      <c r="J25" s="246">
        <f t="shared" si="0"/>
        <v>1.2047525730624513</v>
      </c>
      <c r="K25" s="246">
        <f t="shared" si="23"/>
        <v>16.023322473395638</v>
      </c>
      <c r="L25" s="246">
        <f t="shared" si="11"/>
        <v>100.67750433703993</v>
      </c>
      <c r="M25" s="246">
        <f t="shared" si="1"/>
        <v>8802.0383592743037</v>
      </c>
      <c r="N25" s="246">
        <f>SQRT((ABS(AC25)-171.5+'Small Signal'!C$59)^2)</f>
        <v>100.83644813545683</v>
      </c>
      <c r="O25" s="246">
        <f t="shared" si="12"/>
        <v>92.172211297549012</v>
      </c>
      <c r="P25" s="246">
        <f t="shared" si="13"/>
        <v>48.193143912471953</v>
      </c>
      <c r="Q25" s="246">
        <f t="shared" si="14"/>
        <v>16.023322473395638</v>
      </c>
      <c r="R25" s="246" t="str">
        <f t="shared" si="2"/>
        <v>0.161233333333333+0.000473184270384088i</v>
      </c>
      <c r="S25" s="246" t="str">
        <f t="shared" si="3"/>
        <v>0.025-1056.67079675777i</v>
      </c>
      <c r="T25" s="246" t="str">
        <f t="shared" si="15"/>
        <v>23.9876125469953-0.544826632105301i</v>
      </c>
      <c r="U25" s="246" t="str">
        <f t="shared" si="4"/>
        <v>84.3174269098603-0.335180171830782i</v>
      </c>
      <c r="V25" s="246">
        <f t="shared" si="16"/>
        <v>38.518415524906978</v>
      </c>
      <c r="W25" s="246">
        <f t="shared" si="17"/>
        <v>-0.22776202700699427</v>
      </c>
      <c r="X25" s="246" t="str">
        <f t="shared" si="5"/>
        <v>0.999999998174245-7.55818339419077E-06i</v>
      </c>
      <c r="Y25" s="246" t="str">
        <f t="shared" si="6"/>
        <v>39.9050170229258+0.315981658673282i</v>
      </c>
      <c r="Z25" s="246" t="str">
        <f t="shared" si="7"/>
        <v>24.9649823706744+0.197492620733743i</v>
      </c>
      <c r="AA25" s="246" t="str">
        <f t="shared" si="8"/>
        <v>15.235477083262-0.176452459687382i</v>
      </c>
      <c r="AB25" s="246">
        <f t="shared" si="18"/>
        <v>23.657703668565073</v>
      </c>
      <c r="AC25" s="246">
        <f t="shared" si="19"/>
        <v>-0.66355186454317283</v>
      </c>
      <c r="AD25" s="248">
        <f t="shared" si="20"/>
        <v>24.535440243906883</v>
      </c>
      <c r="AE25" s="248">
        <f t="shared" si="21"/>
        <v>92.835763162092178</v>
      </c>
      <c r="AF25" s="246">
        <f t="shared" si="9"/>
        <v>48.193143912471953</v>
      </c>
      <c r="AG25" s="246">
        <f t="shared" si="10"/>
        <v>92.172211297549012</v>
      </c>
      <c r="AH25" s="249" t="str">
        <f t="shared" si="22"/>
        <v>0.833953842532411-16.8360370053207i</v>
      </c>
    </row>
    <row r="26" spans="2:34" ht="15" x14ac:dyDescent="0.25">
      <c r="E26" s="291" t="s">
        <v>131</v>
      </c>
      <c r="F26" s="291"/>
      <c r="G26" s="291"/>
      <c r="I26" s="246">
        <v>22</v>
      </c>
      <c r="J26" s="246">
        <f t="shared" si="0"/>
        <v>1.2145026955892348</v>
      </c>
      <c r="K26" s="246">
        <f t="shared" si="23"/>
        <v>16.387122324508088</v>
      </c>
      <c r="L26" s="246">
        <f t="shared" si="11"/>
        <v>102.9633262163038</v>
      </c>
      <c r="M26" s="246">
        <f t="shared" si="1"/>
        <v>8801.6662995674778</v>
      </c>
      <c r="N26" s="246">
        <f>SQRT((ABS(AC26)-171.5+'Small Signal'!C$59)^2)</f>
        <v>100.82138379976718</v>
      </c>
      <c r="O26" s="246">
        <f t="shared" si="12"/>
        <v>92.14412964502786</v>
      </c>
      <c r="P26" s="246">
        <f t="shared" si="13"/>
        <v>47.998366396078538</v>
      </c>
      <c r="Q26" s="246">
        <f t="shared" si="14"/>
        <v>16.387122324508088</v>
      </c>
      <c r="R26" s="246" t="str">
        <f t="shared" si="2"/>
        <v>0.161233333333333+0.000483927633216628i</v>
      </c>
      <c r="S26" s="246" t="str">
        <f t="shared" si="3"/>
        <v>0.025-1033.21233523397i</v>
      </c>
      <c r="T26" s="246" t="str">
        <f t="shared" si="15"/>
        <v>23.9870439695508-0.557183370481241i</v>
      </c>
      <c r="U26" s="246" t="str">
        <f t="shared" si="4"/>
        <v>84.3174083102539-0.342790309981256i</v>
      </c>
      <c r="V26" s="246">
        <f t="shared" si="16"/>
        <v>38.518416760623097</v>
      </c>
      <c r="W26" s="246">
        <f t="shared" si="17"/>
        <v>-0.23293327212366424</v>
      </c>
      <c r="X26" s="246" t="str">
        <f t="shared" si="5"/>
        <v>0.999999998090398-7.72978737944742E-06i</v>
      </c>
      <c r="Y26" s="246" t="str">
        <f t="shared" si="6"/>
        <v>39.9050836428596+0.323155728130006i</v>
      </c>
      <c r="Z26" s="246" t="str">
        <f t="shared" si="7"/>
        <v>24.9650241152988+0.201976506468362i</v>
      </c>
      <c r="AA26" s="246" t="str">
        <f t="shared" si="8"/>
        <v>15.2353876003404-0.180457695425805i</v>
      </c>
      <c r="AB26" s="246">
        <f t="shared" si="18"/>
        <v>23.657679402862794</v>
      </c>
      <c r="AC26" s="246">
        <f t="shared" si="19"/>
        <v>-0.67861620023282265</v>
      </c>
      <c r="AD26" s="248">
        <f t="shared" si="20"/>
        <v>24.340686993215741</v>
      </c>
      <c r="AE26" s="248">
        <f t="shared" si="21"/>
        <v>92.822745845260684</v>
      </c>
      <c r="AF26" s="246">
        <f t="shared" si="9"/>
        <v>47.998366396078538</v>
      </c>
      <c r="AG26" s="246">
        <f t="shared" si="10"/>
        <v>92.14412964502786</v>
      </c>
      <c r="AH26" s="249" t="str">
        <f t="shared" si="22"/>
        <v>0.811722896168069-16.4629282479746i</v>
      </c>
    </row>
    <row r="27" spans="2:34" ht="15" x14ac:dyDescent="0.25">
      <c r="E27" s="239" t="s">
        <v>122</v>
      </c>
      <c r="F27" s="111">
        <f>(Voutss-Vinss)/(Voutss)</f>
        <v>0.79166666666666663</v>
      </c>
      <c r="G27" s="243"/>
      <c r="I27" s="246">
        <v>23</v>
      </c>
      <c r="J27" s="246">
        <f t="shared" si="0"/>
        <v>1.2242528181160182</v>
      </c>
      <c r="K27" s="246">
        <f t="shared" si="23"/>
        <v>16.759182031333303</v>
      </c>
      <c r="L27" s="246">
        <f t="shared" si="11"/>
        <v>105.30104629962155</v>
      </c>
      <c r="M27" s="246">
        <f t="shared" si="1"/>
        <v>8801.2857924699092</v>
      </c>
      <c r="N27" s="246">
        <f>SQRT((ABS(AC27)-171.5+'Small Signal'!C$59)^2)</f>
        <v>100.80597752161643</v>
      </c>
      <c r="O27" s="246">
        <f t="shared" si="12"/>
        <v>92.117126261314965</v>
      </c>
      <c r="P27" s="246">
        <f t="shared" si="13"/>
        <v>47.803583709420167</v>
      </c>
      <c r="Q27" s="246">
        <f t="shared" si="14"/>
        <v>16.759182031333303</v>
      </c>
      <c r="R27" s="246" t="str">
        <f t="shared" si="2"/>
        <v>0.161233333333333+0.000494914917608221i</v>
      </c>
      <c r="S27" s="246" t="str">
        <f t="shared" si="3"/>
        <v>0.025-1010.27465976648i</v>
      </c>
      <c r="T27" s="246" t="str">
        <f t="shared" si="15"/>
        <v>23.9864493094646-0.569819740696012i</v>
      </c>
      <c r="U27" s="246" t="str">
        <f t="shared" si="4"/>
        <v>84.3173888564334-0.350573236940532i</v>
      </c>
      <c r="V27" s="246">
        <f t="shared" si="16"/>
        <v>38.518418053087451</v>
      </c>
      <c r="W27" s="246">
        <f t="shared" si="17"/>
        <v>-0.23822193043757489</v>
      </c>
      <c r="X27" s="246" t="str">
        <f t="shared" si="5"/>
        <v>0.999999998002701-7.90528752945956E-06i</v>
      </c>
      <c r="Y27" s="246" t="str">
        <f t="shared" si="6"/>
        <v>39.9051533222906+0.330492673313826i</v>
      </c>
      <c r="Z27" s="246" t="str">
        <f t="shared" si="7"/>
        <v>24.9650677770304+0.206562191600571i</v>
      </c>
      <c r="AA27" s="246" t="str">
        <f t="shared" si="8"/>
        <v>15.2352940090525-0.184553797216286i</v>
      </c>
      <c r="AB27" s="246">
        <f t="shared" si="18"/>
        <v>23.657654022921385</v>
      </c>
      <c r="AC27" s="246">
        <f t="shared" si="19"/>
        <v>-0.69402247838357423</v>
      </c>
      <c r="AD27" s="248">
        <f t="shared" si="20"/>
        <v>24.145929686498778</v>
      </c>
      <c r="AE27" s="248">
        <f t="shared" si="21"/>
        <v>92.811148739698538</v>
      </c>
      <c r="AF27" s="246">
        <f t="shared" si="9"/>
        <v>47.803583709420167</v>
      </c>
      <c r="AG27" s="246">
        <f t="shared" si="10"/>
        <v>92.117126261314965</v>
      </c>
      <c r="AH27" s="249" t="str">
        <f t="shared" si="22"/>
        <v>0.790466410204637-16.0980601332955i</v>
      </c>
    </row>
    <row r="28" spans="2:34" x14ac:dyDescent="0.2">
      <c r="E28" s="239" t="s">
        <v>143</v>
      </c>
      <c r="F28" s="111">
        <f>Voutss/Vinss</f>
        <v>4.8</v>
      </c>
      <c r="I28" s="246">
        <v>24</v>
      </c>
      <c r="J28" s="246">
        <f t="shared" si="0"/>
        <v>1.2340029406428017</v>
      </c>
      <c r="K28" s="246">
        <f t="shared" si="23"/>
        <v>17.139689128902397</v>
      </c>
      <c r="L28" s="246">
        <f t="shared" si="11"/>
        <v>107.69184290434522</v>
      </c>
      <c r="M28" s="246">
        <f t="shared" si="1"/>
        <v>8800.8966461886957</v>
      </c>
      <c r="N28" s="246">
        <f>SQRT((ABS(AC28)-171.5+'Small Signal'!C$59)^2)</f>
        <v>100.7902215432712</v>
      </c>
      <c r="O28" s="246">
        <f t="shared" si="12"/>
        <v>92.091187627612783</v>
      </c>
      <c r="P28" s="246">
        <f t="shared" si="13"/>
        <v>47.608796294612318</v>
      </c>
      <c r="Q28" s="246">
        <f t="shared" si="14"/>
        <v>17.139689128902397</v>
      </c>
      <c r="R28" s="246" t="str">
        <f t="shared" si="2"/>
        <v>0.161233333333333+0.000506151661650423i</v>
      </c>
      <c r="S28" s="246" t="str">
        <f t="shared" si="3"/>
        <v>0.025-987.846208722567i</v>
      </c>
      <c r="T28" s="246" t="str">
        <f t="shared" si="15"/>
        <v>23.9858273716203-0.582742027574912i</v>
      </c>
      <c r="U28" s="246" t="str">
        <f t="shared" si="4"/>
        <v>84.3173685091644-0.358532876137891i</v>
      </c>
      <c r="V28" s="246">
        <f t="shared" si="16"/>
        <v>38.518419404905885</v>
      </c>
      <c r="W28" s="246">
        <f t="shared" si="17"/>
        <v>-0.24363066796753599</v>
      </c>
      <c r="X28" s="246" t="str">
        <f t="shared" si="5"/>
        <v>0.999999997910976-8.08477230429284E-06i</v>
      </c>
      <c r="Y28" s="246" t="str">
        <f t="shared" si="6"/>
        <v>39.9052262017257+0.337996191719173i</v>
      </c>
      <c r="Z28" s="246" t="str">
        <f t="shared" si="7"/>
        <v>24.965113443912+0.211251987109394i</v>
      </c>
      <c r="AA28" s="246" t="str">
        <f t="shared" si="8"/>
        <v>15.2351961208251-0.188742823213916i</v>
      </c>
      <c r="AB28" s="246">
        <f t="shared" si="18"/>
        <v>23.657627477583809</v>
      </c>
      <c r="AC28" s="246">
        <f t="shared" si="19"/>
        <v>-0.70977845672880158</v>
      </c>
      <c r="AD28" s="248">
        <f t="shared" si="20"/>
        <v>23.95116881702851</v>
      </c>
      <c r="AE28" s="248">
        <f t="shared" si="21"/>
        <v>92.800966084341582</v>
      </c>
      <c r="AF28" s="246">
        <f t="shared" si="9"/>
        <v>47.608796294612318</v>
      </c>
      <c r="AG28" s="246">
        <f t="shared" si="10"/>
        <v>92.091187627612783</v>
      </c>
      <c r="AH28" s="249" t="str">
        <f t="shared" si="22"/>
        <v>0.770141739939751-15.7412524851539i</v>
      </c>
    </row>
    <row r="29" spans="2:34" x14ac:dyDescent="0.2">
      <c r="E29" s="238" t="s">
        <v>10</v>
      </c>
      <c r="F29" s="112">
        <f>Voutss/(Ioutss)</f>
        <v>24</v>
      </c>
      <c r="G29" s="237" t="s">
        <v>29</v>
      </c>
      <c r="I29" s="246">
        <v>25</v>
      </c>
      <c r="J29" s="246">
        <f t="shared" si="0"/>
        <v>1.243753063169585</v>
      </c>
      <c r="K29" s="246">
        <f t="shared" si="23"/>
        <v>17.528835410116002</v>
      </c>
      <c r="L29" s="246">
        <f t="shared" si="11"/>
        <v>110.13692110081013</v>
      </c>
      <c r="M29" s="246">
        <f t="shared" si="1"/>
        <v>8800.4986645763947</v>
      </c>
      <c r="N29" s="246">
        <f>SQRT((ABS(AC29)-171.5+'Small Signal'!C$59)^2)</f>
        <v>100.77410793127189</v>
      </c>
      <c r="O29" s="246">
        <f t="shared" si="12"/>
        <v>92.066300751040856</v>
      </c>
      <c r="P29" s="246">
        <f t="shared" si="13"/>
        <v>47.414004584292314</v>
      </c>
      <c r="Q29" s="246">
        <f t="shared" si="14"/>
        <v>17.528835410116002</v>
      </c>
      <c r="R29" s="246" t="str">
        <f t="shared" si="2"/>
        <v>0.161233333333333+0.000517643529173808i</v>
      </c>
      <c r="S29" s="246" t="str">
        <f t="shared" si="3"/>
        <v>0.025-965.915677141816i</v>
      </c>
      <c r="T29" s="246" t="str">
        <f t="shared" si="15"/>
        <v>23.9851769062708-0.595956654183842i</v>
      </c>
      <c r="U29" s="246" t="str">
        <f t="shared" si="4"/>
        <v>84.3173472274121-0.366673240107052i</v>
      </c>
      <c r="V29" s="246">
        <f t="shared" si="16"/>
        <v>38.518420818804124</v>
      </c>
      <c r="W29" s="246">
        <f t="shared" si="17"/>
        <v>-0.24916221127824498</v>
      </c>
      <c r="X29" s="246" t="str">
        <f t="shared" si="5"/>
        <v>0.999999997815039-8.26833217244523E-06i</v>
      </c>
      <c r="Y29" s="246" t="str">
        <f t="shared" si="6"/>
        <v>39.905302428125+0.345670064754971i</v>
      </c>
      <c r="Z29" s="246" t="str">
        <f t="shared" si="7"/>
        <v>24.9651612080301+0.2160482564213i</v>
      </c>
      <c r="AA29" s="246" t="str">
        <f t="shared" si="8"/>
        <v>15.2350937384349-0.19302687796148i</v>
      </c>
      <c r="AB29" s="246">
        <f t="shared" si="18"/>
        <v>23.65759971334526</v>
      </c>
      <c r="AC29" s="246">
        <f t="shared" si="19"/>
        <v>-0.72589206872810419</v>
      </c>
      <c r="AD29" s="248">
        <f t="shared" si="20"/>
        <v>23.756404870947058</v>
      </c>
      <c r="AE29" s="248">
        <f t="shared" si="21"/>
        <v>92.792192819768957</v>
      </c>
      <c r="AF29" s="246">
        <f t="shared" si="9"/>
        <v>47.414004584292314</v>
      </c>
      <c r="AG29" s="246">
        <f t="shared" si="10"/>
        <v>92.066300751040856</v>
      </c>
      <c r="AH29" s="249" t="str">
        <f t="shared" si="22"/>
        <v>0.7507081009545-15.3923289477027i</v>
      </c>
    </row>
    <row r="30" spans="2:34" x14ac:dyDescent="0.2">
      <c r="E30" s="239" t="s">
        <v>33</v>
      </c>
      <c r="F30" s="111">
        <f>1/((sess+snss)/fswss)</f>
        <v>4.6920756056438009</v>
      </c>
      <c r="G30" s="244"/>
      <c r="I30" s="246">
        <v>26</v>
      </c>
      <c r="J30" s="246">
        <f t="shared" si="0"/>
        <v>1.2535031856963683</v>
      </c>
      <c r="K30" s="246">
        <f t="shared" si="23"/>
        <v>17.926817022416621</v>
      </c>
      <c r="L30" s="246">
        <f t="shared" si="11"/>
        <v>112.63751331974501</v>
      </c>
      <c r="M30" s="246">
        <f t="shared" si="1"/>
        <v>8800.0916470321554</v>
      </c>
      <c r="N30" s="246">
        <f>SQRT((ABS(AC30)-171.5+'Small Signal'!C$59)^2)</f>
        <v>100.7576285724713</v>
      </c>
      <c r="O30" s="246">
        <f t="shared" si="12"/>
        <v>92.042453158454194</v>
      </c>
      <c r="P30" s="246">
        <f t="shared" si="13"/>
        <v>47.219209002483623</v>
      </c>
      <c r="Q30" s="246">
        <f t="shared" si="14"/>
        <v>17.926817022416621</v>
      </c>
      <c r="R30" s="246" t="str">
        <f t="shared" si="2"/>
        <v>0.161233333333333+0.000529396312602802i</v>
      </c>
      <c r="S30" s="246" t="str">
        <f t="shared" si="3"/>
        <v>0.025-944.472011037871i</v>
      </c>
      <c r="T30" s="246" t="str">
        <f t="shared" si="15"/>
        <v>23.9844966065534-0.609470184658933i</v>
      </c>
      <c r="U30" s="246" t="str">
        <f t="shared" si="4"/>
        <v>84.3173249682571-0.374998432511012i</v>
      </c>
      <c r="V30" s="246">
        <f t="shared" si="16"/>
        <v>38.518422297633066</v>
      </c>
      <c r="W30" s="246">
        <f t="shared" si="17"/>
        <v>-0.25481934885603919</v>
      </c>
      <c r="X30" s="246" t="str">
        <f t="shared" si="5"/>
        <v>0.999999997714697-8.45605965644727E-06i</v>
      </c>
      <c r="Y30" s="246" t="str">
        <f t="shared" si="6"/>
        <v>39.905382155199+0.353518159647468i</v>
      </c>
      <c r="Z30" s="246" t="str">
        <f t="shared" si="7"/>
        <v>24.965211165701+0.220953416599481i</v>
      </c>
      <c r="AA30" s="246" t="str">
        <f t="shared" si="8"/>
        <v>15.234986655611-0.197408113418897i</v>
      </c>
      <c r="AB30" s="246">
        <f t="shared" si="18"/>
        <v>23.657570674244827</v>
      </c>
      <c r="AC30" s="246">
        <f t="shared" si="19"/>
        <v>-0.74237142752869967</v>
      </c>
      <c r="AD30" s="248">
        <f t="shared" si="20"/>
        <v>23.561638328238793</v>
      </c>
      <c r="AE30" s="248">
        <f t="shared" si="21"/>
        <v>92.784824585982889</v>
      </c>
      <c r="AF30" s="246">
        <f t="shared" si="9"/>
        <v>47.219209002483623</v>
      </c>
      <c r="AG30" s="246">
        <f t="shared" si="10"/>
        <v>92.042453158454194</v>
      </c>
      <c r="AH30" s="249" t="str">
        <f t="shared" si="22"/>
        <v>0.732126488473495-15.0511169122163i</v>
      </c>
    </row>
    <row r="31" spans="2:34" x14ac:dyDescent="0.2">
      <c r="E31" s="238" t="s">
        <v>13</v>
      </c>
      <c r="F31" s="110">
        <f>(Vinss*40/3*Risense)/Lss</f>
        <v>141843.9716312057</v>
      </c>
      <c r="G31" s="240"/>
      <c r="I31" s="246">
        <v>27</v>
      </c>
      <c r="J31" s="246">
        <f t="shared" si="0"/>
        <v>1.2632533082231518</v>
      </c>
      <c r="K31" s="246">
        <f t="shared" si="23"/>
        <v>18.333834566655888</v>
      </c>
      <c r="L31" s="246">
        <f t="shared" si="11"/>
        <v>115.19487997347349</v>
      </c>
      <c r="M31" s="246">
        <f t="shared" si="1"/>
        <v>8799.6753884006048</v>
      </c>
      <c r="N31" s="246">
        <f>SQRT((ABS(AC31)-171.5+'Small Signal'!C$59)^2)</f>
        <v>100.74077516998537</v>
      </c>
      <c r="O31" s="246">
        <f t="shared" si="12"/>
        <v>92.019632890476728</v>
      </c>
      <c r="P31" s="246">
        <f t="shared" si="13"/>
        <v>47.02440996544351</v>
      </c>
      <c r="Q31" s="246">
        <f t="shared" si="14"/>
        <v>18.333834566655888</v>
      </c>
      <c r="R31" s="246" t="str">
        <f t="shared" si="2"/>
        <v>0.161233333333333+0.000541415935875325i</v>
      </c>
      <c r="S31" s="246" t="str">
        <f t="shared" si="3"/>
        <v>0.025-923.504401826728i</v>
      </c>
      <c r="T31" s="246" t="str">
        <f t="shared" si="15"/>
        <v>23.9837851058929-0.623289327079002i</v>
      </c>
      <c r="U31" s="246" t="str">
        <f t="shared" si="4"/>
        <v>84.3173016868071-0.383512650212951i</v>
      </c>
      <c r="V31" s="246">
        <f t="shared" si="16"/>
        <v>38.518423844374389</v>
      </c>
      <c r="W31" s="246">
        <f t="shared" si="17"/>
        <v>-0.26060493251594075</v>
      </c>
      <c r="X31" s="246" t="str">
        <f t="shared" si="5"/>
        <v>0.999999997609746-8.64804937949761E-06i</v>
      </c>
      <c r="Y31" s="246" t="str">
        <f t="shared" si="6"/>
        <v>39.9054655437161+0.361544431386024i</v>
      </c>
      <c r="Z31" s="246" t="str">
        <f t="shared" si="7"/>
        <v>24.9652634176636+0.22596993955998i</v>
      </c>
      <c r="AA31" s="246" t="str">
        <f t="shared" si="8"/>
        <v>15.2348746566212-0.201888730014365i</v>
      </c>
      <c r="AB31" s="246">
        <f t="shared" si="18"/>
        <v>23.657540301753293</v>
      </c>
      <c r="AC31" s="246">
        <f t="shared" si="19"/>
        <v>-0.75922483001463337</v>
      </c>
      <c r="AD31" s="248">
        <f t="shared" si="20"/>
        <v>23.366869663690217</v>
      </c>
      <c r="AE31" s="248">
        <f t="shared" si="21"/>
        <v>92.778857720491359</v>
      </c>
      <c r="AF31" s="246">
        <f t="shared" si="9"/>
        <v>47.02440996544351</v>
      </c>
      <c r="AG31" s="246">
        <f t="shared" si="10"/>
        <v>92.019632890476728</v>
      </c>
      <c r="AH31" s="249" t="str">
        <f t="shared" si="22"/>
        <v>0.714359600176565-14.7174474447999i</v>
      </c>
    </row>
    <row r="32" spans="2:34" x14ac:dyDescent="0.2">
      <c r="E32" s="238" t="s">
        <v>14</v>
      </c>
      <c r="F32" s="110">
        <f>0.024*fswss</f>
        <v>18000</v>
      </c>
      <c r="G32" s="240"/>
      <c r="I32" s="246">
        <v>28</v>
      </c>
      <c r="J32" s="246">
        <f t="shared" si="0"/>
        <v>1.2730034307499352</v>
      </c>
      <c r="K32" s="246">
        <f t="shared" si="23"/>
        <v>18.750093198206486</v>
      </c>
      <c r="L32" s="246">
        <f t="shared" si="11"/>
        <v>117.81031009121888</v>
      </c>
      <c r="M32" s="246">
        <f t="shared" si="1"/>
        <v>8799.2496788684421</v>
      </c>
      <c r="N32" s="246">
        <f>SQRT((ABS(AC32)-171.5+'Small Signal'!C$59)^2)</f>
        <v>100.72353923905411</v>
      </c>
      <c r="O32" s="246">
        <f t="shared" si="12"/>
        <v>91.997828495748308</v>
      </c>
      <c r="P32" s="246">
        <f t="shared" si="13"/>
        <v>46.829607882495665</v>
      </c>
      <c r="Q32" s="246">
        <f t="shared" si="14"/>
        <v>18.750093198206486</v>
      </c>
      <c r="R32" s="246" t="str">
        <f t="shared" si="2"/>
        <v>0.161233333333333+0.000553708457428729i</v>
      </c>
      <c r="S32" s="246" t="str">
        <f t="shared" si="3"/>
        <v>0.025-903.002280878755i</v>
      </c>
      <c r="T32" s="246" t="str">
        <f t="shared" si="15"/>
        <v>23.9830409752878-0.637420936380309i</v>
      </c>
      <c r="U32" s="246" t="str">
        <f t="shared" si="4"/>
        <v>84.3172773361087-0.392220185394311i</v>
      </c>
      <c r="V32" s="246">
        <f t="shared" si="16"/>
        <v>38.51842546214678</v>
      </c>
      <c r="W32" s="246">
        <f t="shared" si="17"/>
        <v>-0.26652187884073103</v>
      </c>
      <c r="X32" s="246" t="str">
        <f t="shared" si="5"/>
        <v>0.999999997499975-8.84439811315744E-06i</v>
      </c>
      <c r="Y32" s="246" t="str">
        <f t="shared" si="6"/>
        <v>39.9055527618289+0.369752924712973i</v>
      </c>
      <c r="Z32" s="246" t="str">
        <f t="shared" si="7"/>
        <v>24.9653180692837+0.231100353315366i</v>
      </c>
      <c r="AA32" s="246" t="str">
        <f t="shared" si="8"/>
        <v>15.2347575158386-0.206470977717619i</v>
      </c>
      <c r="AB32" s="246">
        <f t="shared" si="18"/>
        <v>23.657508534655371</v>
      </c>
      <c r="AC32" s="246">
        <f t="shared" si="19"/>
        <v>-0.77646076094590177</v>
      </c>
      <c r="AD32" s="248">
        <f t="shared" si="20"/>
        <v>23.172099347840298</v>
      </c>
      <c r="AE32" s="248">
        <f t="shared" si="21"/>
        <v>92.774289256694203</v>
      </c>
      <c r="AF32" s="246">
        <f t="shared" si="9"/>
        <v>46.829607882495665</v>
      </c>
      <c r="AG32" s="246">
        <f t="shared" si="10"/>
        <v>91.997828495748308</v>
      </c>
      <c r="AH32" s="249" t="str">
        <f t="shared" si="22"/>
        <v>0.697371762318171-14.3911552150005i</v>
      </c>
    </row>
    <row r="33" spans="1:34" x14ac:dyDescent="0.2">
      <c r="E33" s="239" t="s">
        <v>149</v>
      </c>
      <c r="F33" s="109">
        <f>-(snss/sess+1)*2/PI()</f>
        <v>-5.653324046343795</v>
      </c>
      <c r="I33" s="246">
        <v>29</v>
      </c>
      <c r="J33" s="246">
        <f t="shared" si="0"/>
        <v>1.2827535532767187</v>
      </c>
      <c r="K33" s="246">
        <f t="shared" si="23"/>
        <v>19.175802730369849</v>
      </c>
      <c r="L33" s="246">
        <f t="shared" si="11"/>
        <v>120.48512196883402</v>
      </c>
      <c r="M33" s="246">
        <f>SQRT((Fco_target-K34)^2)</f>
        <v>8798.8143038586804</v>
      </c>
      <c r="N33" s="246">
        <f>SQRT((ABS(AC33)-171.5+'Small Signal'!C$59)^2)</f>
        <v>100.70591210281074</v>
      </c>
      <c r="O33" s="246">
        <f t="shared" si="12"/>
        <v>91.977029025383487</v>
      </c>
      <c r="P33" s="246">
        <f t="shared" si="13"/>
        <v>46.634803156848001</v>
      </c>
      <c r="Q33" s="246">
        <f t="shared" si="14"/>
        <v>19.175802730369849</v>
      </c>
      <c r="R33" s="246" t="str">
        <f t="shared" si="2"/>
        <v>0.161233333333333+0.00056628007325352i</v>
      </c>
      <c r="S33" s="246" t="str">
        <f t="shared" si="3"/>
        <v>0.025-882.955314191593i</v>
      </c>
      <c r="T33" s="246" t="str">
        <f t="shared" si="15"/>
        <v>23.9822627204749-0.651872017313116i</v>
      </c>
      <c r="U33" s="246" t="str">
        <f t="shared" si="4"/>
        <v>84.3172518670516-0.401125427721103i</v>
      </c>
      <c r="V33" s="246">
        <f t="shared" si="16"/>
        <v>38.518427154212141</v>
      </c>
      <c r="W33" s="246">
        <f t="shared" si="17"/>
        <v>-0.27257317065279407</v>
      </c>
      <c r="X33" s="246" t="str">
        <f t="shared" si="5"/>
        <v>0.999999997385163-9.04520482612774E-06i</v>
      </c>
      <c r="Y33" s="246" t="str">
        <f t="shared" si="6"/>
        <v>39.9056439854128+0.37814777615841i</v>
      </c>
      <c r="Z33" s="246" t="str">
        <f t="shared" si="7"/>
        <v>24.9653752307663+0.236347243246485i</v>
      </c>
      <c r="AA33" s="246" t="str">
        <f t="shared" si="8"/>
        <v>15.2346349972876-0.211157157135647i</v>
      </c>
      <c r="AB33" s="246">
        <f t="shared" si="18"/>
        <v>23.657475308926049</v>
      </c>
      <c r="AC33" s="246">
        <f t="shared" si="19"/>
        <v>-0.7940878971892581</v>
      </c>
      <c r="AD33" s="248">
        <f t="shared" si="20"/>
        <v>22.977327847921952</v>
      </c>
      <c r="AE33" s="248">
        <f t="shared" si="21"/>
        <v>92.771116922572745</v>
      </c>
      <c r="AF33" s="246">
        <f t="shared" si="9"/>
        <v>46.634803156848001</v>
      </c>
      <c r="AG33" s="246">
        <f t="shared" si="10"/>
        <v>91.977029025383487</v>
      </c>
      <c r="AH33" s="249" t="str">
        <f t="shared" si="22"/>
        <v>0.681128859016249-14.0720784253427i</v>
      </c>
    </row>
    <row r="34" spans="1:34" x14ac:dyDescent="0.2">
      <c r="E34" s="239" t="s">
        <v>150</v>
      </c>
      <c r="F34" s="109">
        <f>PI()*fswss</f>
        <v>2356194.4901923449</v>
      </c>
      <c r="I34" s="246">
        <v>30</v>
      </c>
      <c r="J34" s="246">
        <f t="shared" si="0"/>
        <v>1.292503675803502</v>
      </c>
      <c r="K34" s="246">
        <f t="shared" si="23"/>
        <v>19.611177740131591</v>
      </c>
      <c r="L34" s="246">
        <f t="shared" si="11"/>
        <v>123.22066383328217</v>
      </c>
      <c r="M34" s="246">
        <f t="shared" si="1"/>
        <v>8798.3690439224938</v>
      </c>
      <c r="N34" s="246">
        <f>SQRT((ABS(AC34)-171.5+'Small Signal'!C$59)^2)</f>
        <v>100.6878848879573</v>
      </c>
      <c r="O34" s="246">
        <f t="shared" si="12"/>
        <v>91.957224027640422</v>
      </c>
      <c r="P34" s="246">
        <f t="shared" si="13"/>
        <v>46.439996186400158</v>
      </c>
      <c r="Q34" s="246">
        <f t="shared" si="14"/>
        <v>19.611177740131591</v>
      </c>
      <c r="R34" s="246" t="str">
        <f t="shared" si="2"/>
        <v>0.161233333333333+0.000579137120016426i</v>
      </c>
      <c r="S34" s="246" t="str">
        <f t="shared" si="3"/>
        <v>0.025-863.353397181343i</v>
      </c>
      <c r="T34" s="246" t="str">
        <f t="shared" si="15"/>
        <v>23.9814487789658-0.666649727439204i</v>
      </c>
      <c r="U34" s="246" t="str">
        <f t="shared" si="4"/>
        <v>84.3172252282685-0.410232866559543i</v>
      </c>
      <c r="V34" s="246">
        <f t="shared" si="16"/>
        <v>38.518428923982036</v>
      </c>
      <c r="W34" s="246">
        <f t="shared" si="17"/>
        <v>-0.27876185851946533</v>
      </c>
      <c r="X34" s="246" t="str">
        <f t="shared" si="5"/>
        <v>0.999999997265079-9.25057073413406E-06i</v>
      </c>
      <c r="Y34" s="246" t="str">
        <f t="shared" si="6"/>
        <v>39.9057393984188+0.386733216121014i</v>
      </c>
      <c r="Z34" s="246" t="str">
        <f t="shared" si="7"/>
        <v>24.9654350173767+0.241713253402982i</v>
      </c>
      <c r="AA34" s="246" t="str">
        <f t="shared" si="8"/>
        <v>15.2345068541711-0.215949620631297i</v>
      </c>
      <c r="AB34" s="246">
        <f t="shared" si="18"/>
        <v>23.657440557602428</v>
      </c>
      <c r="AC34" s="246">
        <f t="shared" si="19"/>
        <v>-0.81211511204269382</v>
      </c>
      <c r="AD34" s="248">
        <f t="shared" si="20"/>
        <v>22.782555628797731</v>
      </c>
      <c r="AE34" s="248">
        <f t="shared" si="21"/>
        <v>92.769339139683112</v>
      </c>
      <c r="AF34" s="246">
        <f t="shared" si="9"/>
        <v>46.439996186400158</v>
      </c>
      <c r="AG34" s="246">
        <f t="shared" si="10"/>
        <v>91.957224027640422</v>
      </c>
      <c r="AH34" s="249" t="str">
        <f t="shared" si="22"/>
        <v>0.665598264577678-13.7600587418135i</v>
      </c>
    </row>
    <row r="35" spans="1:34" x14ac:dyDescent="0.2">
      <c r="B35" s="238"/>
      <c r="E35" s="239" t="s">
        <v>148</v>
      </c>
      <c r="F35" s="275">
        <f>(1+sess/snss)</f>
        <v>1.1269</v>
      </c>
      <c r="I35" s="246">
        <v>31</v>
      </c>
      <c r="J35" s="246">
        <f t="shared" si="0"/>
        <v>1.3022537983302853</v>
      </c>
      <c r="K35" s="246">
        <f t="shared" si="23"/>
        <v>20.056437676318073</v>
      </c>
      <c r="L35" s="246">
        <f t="shared" si="11"/>
        <v>126.01831452220479</v>
      </c>
      <c r="M35" s="246">
        <f t="shared" si="1"/>
        <v>8797.9136746286022</v>
      </c>
      <c r="N35" s="246">
        <f>SQRT((ABS(AC35)-171.5+'Small Signal'!C$59)^2)</f>
        <v>100.66944852034459</v>
      </c>
      <c r="O35" s="246">
        <f t="shared" si="12"/>
        <v>91.938403542798028</v>
      </c>
      <c r="P35" s="246">
        <f t="shared" si="13"/>
        <v>46.245187364538104</v>
      </c>
      <c r="Q35" s="246">
        <f t="shared" si="14"/>
        <v>20.056437676318073</v>
      </c>
      <c r="R35" s="246" t="str">
        <f t="shared" si="2"/>
        <v>0.161233333333333+0.000592286078254363i</v>
      </c>
      <c r="S35" s="246" t="str">
        <f t="shared" si="3"/>
        <v>0.025-844.186649589404i</v>
      </c>
      <c r="T35" s="246" t="str">
        <f t="shared" si="15"/>
        <v>23.9805975169513-0.681761380169521i</v>
      </c>
      <c r="U35" s="246" t="str">
        <f t="shared" si="4"/>
        <v>84.317197366034-0.419547093242176i</v>
      </c>
      <c r="V35" s="246">
        <f t="shared" si="16"/>
        <v>38.518430775024854</v>
      </c>
      <c r="W35" s="246">
        <f t="shared" si="17"/>
        <v>-0.28509106229266057</v>
      </c>
      <c r="X35" s="246" t="str">
        <f t="shared" si="5"/>
        <v>0.99999999713948-9.46059935094376E-06i</v>
      </c>
      <c r="Y35" s="246" t="str">
        <f t="shared" si="6"/>
        <v>39.9058391932491+0.395513570995869i</v>
      </c>
      <c r="Z35" s="246" t="str">
        <f t="shared" si="7"/>
        <v>24.9654975496758+0.247201087833195i</v>
      </c>
      <c r="AA35" s="246" t="str">
        <f t="shared" si="8"/>
        <v>15.2343728283732-0.220850773465048i</v>
      </c>
      <c r="AB35" s="246">
        <f t="shared" si="18"/>
        <v>23.657404210648</v>
      </c>
      <c r="AC35" s="246">
        <f t="shared" si="19"/>
        <v>-0.83055147965540044</v>
      </c>
      <c r="AD35" s="248">
        <f t="shared" si="20"/>
        <v>22.587783153890104</v>
      </c>
      <c r="AE35" s="248">
        <f t="shared" si="21"/>
        <v>92.768955022453426</v>
      </c>
      <c r="AF35" s="246">
        <f t="shared" si="9"/>
        <v>46.245187364538104</v>
      </c>
      <c r="AG35" s="246">
        <f t="shared" si="10"/>
        <v>91.938403542798028</v>
      </c>
      <c r="AH35" s="249" t="str">
        <f t="shared" si="22"/>
        <v>0.650748778732896-13.454941225312i</v>
      </c>
    </row>
    <row r="36" spans="1:34" x14ac:dyDescent="0.2">
      <c r="B36" s="238"/>
      <c r="E36" s="238" t="s">
        <v>182</v>
      </c>
      <c r="F36" s="245">
        <v>2000000</v>
      </c>
      <c r="I36" s="246">
        <v>32</v>
      </c>
      <c r="J36" s="246">
        <f t="shared" si="0"/>
        <v>1.3120039208570689</v>
      </c>
      <c r="K36" s="246">
        <f t="shared" si="23"/>
        <v>20.511806970208617</v>
      </c>
      <c r="L36" s="246">
        <f t="shared" si="11"/>
        <v>128.8794841789186</v>
      </c>
      <c r="M36" s="246">
        <f>SQRT((Fco_target-K37)^2)</f>
        <v>8797.4479664501523</v>
      </c>
      <c r="N36" s="246">
        <f>SQRT((ABS(AC36)-171.5+'Small Signal'!C$59)^2)</f>
        <v>100.65059372045454</v>
      </c>
      <c r="O36" s="246">
        <f t="shared" si="12"/>
        <v>91.920558098239482</v>
      </c>
      <c r="P36" s="246">
        <f t="shared" si="13"/>
        <v>46.050377080922523</v>
      </c>
      <c r="Q36" s="246">
        <f t="shared" si="14"/>
        <v>20.511806970208617</v>
      </c>
      <c r="R36" s="246" t="str">
        <f t="shared" si="2"/>
        <v>0.161233333333333+0.000605733575640917i</v>
      </c>
      <c r="S36" s="246" t="str">
        <f t="shared" si="3"/>
        <v>0.025-825.445410502397i</v>
      </c>
      <c r="T36" s="246" t="str">
        <f t="shared" ref="T36:T67" si="24">IMDIV(IMPRODUCT(S36,COMPLEX(Ross,0)),IMSUM(S36,COMPLEX(Ross,0)))</f>
        <v>23.9797072260669-0.69721444784093i</v>
      </c>
      <c r="U36" s="246" t="str">
        <f t="shared" si="4"/>
        <v>84.3171682241533-0.429072803385563i</v>
      </c>
      <c r="V36" s="246">
        <f t="shared" si="16"/>
        <v>38.518432711072663</v>
      </c>
      <c r="W36" s="246">
        <f t="shared" si="17"/>
        <v>-0.29156397268354461</v>
      </c>
      <c r="X36" s="246" t="str">
        <f t="shared" si="5"/>
        <v>0.999999997008112-9.67539654054176E-06i</v>
      </c>
      <c r="Y36" s="246" t="str">
        <f t="shared" si="6"/>
        <v>39.905943571139+0.404493265350352i</v>
      </c>
      <c r="Z36" s="246" t="str">
        <f t="shared" si="7"/>
        <v>24.9655629537592+0.252813511944098i</v>
      </c>
      <c r="AA36" s="246" t="str">
        <f t="shared" si="8"/>
        <v>15.2342326499432-0.225863074960488i</v>
      </c>
      <c r="AB36" s="246">
        <f t="shared" si="18"/>
        <v>23.657366194813008</v>
      </c>
      <c r="AC36" s="246">
        <f t="shared" si="19"/>
        <v>-0.84940627954546999</v>
      </c>
      <c r="AD36" s="248">
        <f t="shared" si="20"/>
        <v>22.393010886109515</v>
      </c>
      <c r="AE36" s="248">
        <f t="shared" si="21"/>
        <v>92.769964377784959</v>
      </c>
      <c r="AF36" s="246">
        <f t="shared" si="9"/>
        <v>46.050377080922523</v>
      </c>
      <c r="AG36" s="246">
        <f t="shared" si="10"/>
        <v>91.920558098239482</v>
      </c>
      <c r="AH36" s="249" t="str">
        <f t="shared" si="22"/>
        <v>0.6365505646572-13.1565742640824i</v>
      </c>
    </row>
    <row r="37" spans="1:34" x14ac:dyDescent="0.2">
      <c r="F37" s="237"/>
      <c r="I37" s="246">
        <v>33</v>
      </c>
      <c r="J37" s="246">
        <f t="shared" si="0"/>
        <v>1.3217540433838522</v>
      </c>
      <c r="K37" s="246">
        <f t="shared" si="23"/>
        <v>20.977515148659059</v>
      </c>
      <c r="L37" s="246">
        <f t="shared" si="11"/>
        <v>131.8056149631918</v>
      </c>
      <c r="M37" s="246">
        <f>SQRT((Fco_target-K38)^2)</f>
        <v>8796.9716846490173</v>
      </c>
      <c r="N37" s="246">
        <f>SQRT((ABS(AC37)-171.5+'Small Signal'!C$59)^2)</f>
        <v>100.63131099878291</v>
      </c>
      <c r="O37" s="246">
        <f t="shared" si="12"/>
        <v>91.903678703739956</v>
      </c>
      <c r="P37" s="246">
        <f t="shared" si="13"/>
        <v>45.855565722266746</v>
      </c>
      <c r="Q37" s="246">
        <f t="shared" si="14"/>
        <v>20.977515148659059</v>
      </c>
      <c r="R37" s="246" t="str">
        <f t="shared" si="2"/>
        <v>0.161233333333333+0.000619486390327001i</v>
      </c>
      <c r="S37" s="246" t="str">
        <f t="shared" si="3"/>
        <v>0.025-807.120233482566i</v>
      </c>
      <c r="T37" s="246" t="str">
        <f t="shared" si="24"/>
        <v>23.9787761200136-0.71301656483099i</v>
      </c>
      <c r="U37" s="246" t="str">
        <f t="shared" si="4"/>
        <v>84.3171377438522-0.438814799260879i</v>
      </c>
      <c r="V37" s="246">
        <f t="shared" si="16"/>
        <v>38.518434736029164</v>
      </c>
      <c r="W37" s="246">
        <f t="shared" si="17"/>
        <v>-0.29818385287311394</v>
      </c>
      <c r="X37" s="246" t="str">
        <f t="shared" si="5"/>
        <v>0.999999996870712-9.89507057049075E-06i</v>
      </c>
      <c r="Y37" s="246" t="str">
        <f t="shared" si="6"/>
        <v>39.9060527425682+0.41367682414921i</v>
      </c>
      <c r="Z37" s="246" t="str">
        <f t="shared" si="7"/>
        <v>24.9656313615154+0.258553353891975i</v>
      </c>
      <c r="AA37" s="246" t="str">
        <f t="shared" si="8"/>
        <v>15.2340860365517-0.23098903969369i</v>
      </c>
      <c r="AB37" s="246">
        <f t="shared" si="18"/>
        <v>23.657326433485917</v>
      </c>
      <c r="AC37" s="246">
        <f t="shared" si="19"/>
        <v>-0.86868900121709691</v>
      </c>
      <c r="AD37" s="248">
        <f t="shared" si="20"/>
        <v>22.198239288780833</v>
      </c>
      <c r="AE37" s="248">
        <f t="shared" si="21"/>
        <v>92.772367704957048</v>
      </c>
      <c r="AF37" s="246">
        <f t="shared" si="9"/>
        <v>45.855565722266746</v>
      </c>
      <c r="AG37" s="246">
        <f t="shared" si="10"/>
        <v>91.903678703739956</v>
      </c>
      <c r="AH37" s="249" t="str">
        <f t="shared" si="22"/>
        <v>0.622975089661291-12.8648095071409i</v>
      </c>
    </row>
    <row r="38" spans="1:34" x14ac:dyDescent="0.2">
      <c r="F38" s="237"/>
      <c r="I38" s="246">
        <v>34</v>
      </c>
      <c r="J38" s="246">
        <f t="shared" si="0"/>
        <v>1.3315041659106357</v>
      </c>
      <c r="K38" s="246">
        <f t="shared" si="23"/>
        <v>21.453796949793784</v>
      </c>
      <c r="L38" s="246">
        <f t="shared" si="11"/>
        <v>134.79818177815852</v>
      </c>
      <c r="M38" s="246">
        <f t="shared" si="1"/>
        <v>8796.4845891574878</v>
      </c>
      <c r="N38" s="246">
        <f>SQRT((ABS(AC38)-171.5+'Small Signal'!C$59)^2)</f>
        <v>100.61159065112057</v>
      </c>
      <c r="O38" s="246">
        <f t="shared" si="12"/>
        <v>91.887756846956492</v>
      </c>
      <c r="P38" s="246">
        <f t="shared" si="13"/>
        <v>45.660753673111415</v>
      </c>
      <c r="Q38" s="246">
        <f t="shared" si="14"/>
        <v>21.453796949793784</v>
      </c>
      <c r="R38" s="246" t="str">
        <f t="shared" si="2"/>
        <v>0.161233333333333+0.000633551454357345i</v>
      </c>
      <c r="S38" s="246" t="str">
        <f t="shared" si="3"/>
        <v>0.025-789.201881806403i</v>
      </c>
      <c r="T38" s="246" t="str">
        <f t="shared" si="24"/>
        <v>23.9778023310269-0.729175530709249i</v>
      </c>
      <c r="U38" s="246" t="str">
        <f t="shared" si="4"/>
        <v>84.3171058636535-0.448777992218402i</v>
      </c>
      <c r="V38" s="246">
        <f t="shared" si="16"/>
        <v>38.518436853976944</v>
      </c>
      <c r="W38" s="246">
        <f t="shared" si="17"/>
        <v>-0.3049540401594098</v>
      </c>
      <c r="X38" s="246" t="str">
        <f t="shared" si="5"/>
        <v>0.999999996727002-0.000010119732166503i</v>
      </c>
      <c r="Y38" s="246" t="str">
        <f t="shared" si="6"/>
        <v>39.9061669276818+0.423068875029819i</v>
      </c>
      <c r="Z38" s="246" t="str">
        <f t="shared" si="7"/>
        <v>24.9657029108891+0.264423506004464i</v>
      </c>
      <c r="AA38" s="246" t="str">
        <f t="shared" si="8"/>
        <v>15.2339326929248-0.236231238706988i</v>
      </c>
      <c r="AB38" s="246">
        <f t="shared" si="18"/>
        <v>23.657284846539788</v>
      </c>
      <c r="AC38" s="246">
        <f t="shared" si="19"/>
        <v>-0.88840934887944667</v>
      </c>
      <c r="AD38" s="248">
        <f t="shared" si="20"/>
        <v>22.003468826571631</v>
      </c>
      <c r="AE38" s="248">
        <f t="shared" si="21"/>
        <v>92.776166195835941</v>
      </c>
      <c r="AF38" s="246">
        <f t="shared" si="9"/>
        <v>45.660753673111415</v>
      </c>
      <c r="AG38" s="246">
        <f t="shared" si="10"/>
        <v>91.887756846956492</v>
      </c>
      <c r="AH38" s="249" t="str">
        <f t="shared" si="22"/>
        <v>0.609995068438346-12.5795017987099i</v>
      </c>
    </row>
    <row r="39" spans="1:34" x14ac:dyDescent="0.2">
      <c r="F39" s="237"/>
      <c r="I39" s="246">
        <v>35</v>
      </c>
      <c r="J39" s="246">
        <f t="shared" si="0"/>
        <v>1.341254288437419</v>
      </c>
      <c r="K39" s="246">
        <f t="shared" si="23"/>
        <v>21.940892441324351</v>
      </c>
      <c r="L39" s="246">
        <f t="shared" si="11"/>
        <v>137.8586930137368</v>
      </c>
      <c r="M39" s="246">
        <f t="shared" si="1"/>
        <v>8795.9864344572561</v>
      </c>
      <c r="N39" s="246">
        <f>SQRT((ABS(AC39)-171.5+'Small Signal'!C$59)^2)</f>
        <v>100.59142275373068</v>
      </c>
      <c r="O39" s="246">
        <f t="shared" si="12"/>
        <v>91.872784489118146</v>
      </c>
      <c r="P39" s="246">
        <f t="shared" si="13"/>
        <v>45.465941316593124</v>
      </c>
      <c r="Q39" s="246">
        <f t="shared" si="14"/>
        <v>21.940892441324351</v>
      </c>
      <c r="R39" s="246" t="str">
        <f t="shared" si="2"/>
        <v>0.161233333333333+0.000647935857164563i</v>
      </c>
      <c r="S39" s="246" t="str">
        <f t="shared" si="3"/>
        <v>0.025-771.681323808891i</v>
      </c>
      <c r="T39" s="246" t="str">
        <f t="shared" si="24"/>
        <v>23.97678390619-0.745699313423742i</v>
      </c>
      <c r="U39" s="246" t="str">
        <f t="shared" si="4"/>
        <v>84.3170725192587-0.458967405167371i</v>
      </c>
      <c r="V39" s="246">
        <f t="shared" si="16"/>
        <v>38.518439069186392</v>
      </c>
      <c r="W39" s="246">
        <f t="shared" si="17"/>
        <v>-0.31187794764229748</v>
      </c>
      <c r="X39" s="246" t="str">
        <f t="shared" si="5"/>
        <v>0.999999996576691-0.0000103494945682511i</v>
      </c>
      <c r="Y39" s="246" t="str">
        <f t="shared" si="6"/>
        <v>39.9062863567361+0.432674150628884i</v>
      </c>
      <c r="Z39" s="246" t="str">
        <f t="shared" si="7"/>
        <v>24.9657777461609+0.270426926234752i</v>
      </c>
      <c r="AA39" s="246" t="str">
        <f t="shared" si="8"/>
        <v>15.2337723102519-0.241592300747488i</v>
      </c>
      <c r="AB39" s="246">
        <f t="shared" si="18"/>
        <v>23.657241350171255</v>
      </c>
      <c r="AC39" s="246">
        <f t="shared" si="19"/>
        <v>-0.9085772462693279</v>
      </c>
      <c r="AD39" s="248">
        <f t="shared" si="20"/>
        <v>21.808699966421869</v>
      </c>
      <c r="AE39" s="248">
        <f t="shared" si="21"/>
        <v>92.781361735387478</v>
      </c>
      <c r="AF39" s="246">
        <f t="shared" si="9"/>
        <v>45.465941316593124</v>
      </c>
      <c r="AG39" s="246">
        <f t="shared" si="10"/>
        <v>91.872784489118146</v>
      </c>
      <c r="AH39" s="249" t="str">
        <f t="shared" si="22"/>
        <v>0.597584408759325-12.3005091136639i</v>
      </c>
    </row>
    <row r="40" spans="1:34" x14ac:dyDescent="0.2">
      <c r="F40" s="237"/>
      <c r="I40" s="246">
        <v>36</v>
      </c>
      <c r="J40" s="246">
        <f t="shared" si="0"/>
        <v>1.3510044109642023</v>
      </c>
      <c r="K40" s="246">
        <f t="shared" si="23"/>
        <v>22.43904714155466</v>
      </c>
      <c r="L40" s="246">
        <f t="shared" si="11"/>
        <v>140.98869130692634</v>
      </c>
      <c r="M40" s="246">
        <f t="shared" si="1"/>
        <v>8795.476969455678</v>
      </c>
      <c r="N40" s="246">
        <f>SQRT((ABS(AC40)-171.5+'Small Signal'!C$59)^2)</f>
        <v>100.57079715842031</v>
      </c>
      <c r="O40" s="246">
        <f t="shared" si="12"/>
        <v>91.858754060913753</v>
      </c>
      <c r="P40" s="246">
        <f t="shared" si="13"/>
        <v>45.271129035210208</v>
      </c>
      <c r="Q40" s="246">
        <f t="shared" si="14"/>
        <v>22.43904714155466</v>
      </c>
      <c r="R40" s="246" t="str">
        <f t="shared" si="2"/>
        <v>0.161233333333333+0.000662646849142554i</v>
      </c>
      <c r="S40" s="246" t="str">
        <f t="shared" si="3"/>
        <v>0.025-754.549728331139i</v>
      </c>
      <c r="T40" s="246" t="str">
        <f t="shared" si="24"/>
        <v>23.9757188035805-0.762596052520871i</v>
      </c>
      <c r="U40" s="246" t="str">
        <f t="shared" si="4"/>
        <v>84.3170376434142-0.469388175112308i</v>
      </c>
      <c r="V40" s="246">
        <f t="shared" si="16"/>
        <v>38.518441386123826</v>
      </c>
      <c r="W40" s="246">
        <f t="shared" si="17"/>
        <v>-0.31895906594662599</v>
      </c>
      <c r="X40" s="246" t="str">
        <f t="shared" si="5"/>
        <v>0.999999996419478-0.000010584473586446i</v>
      </c>
      <c r="Y40" s="246" t="str">
        <f t="shared" si="6"/>
        <v>39.9064112705619+0.442497490961581i</v>
      </c>
      <c r="Z40" s="246" t="str">
        <f t="shared" si="7"/>
        <v>24.9658560182375+0.276566639648537i</v>
      </c>
      <c r="AA40" s="246" t="str">
        <f t="shared" si="8"/>
        <v>15.2336045655654-0.247074913530643i</v>
      </c>
      <c r="AB40" s="246">
        <f t="shared" si="18"/>
        <v>23.657195856731498</v>
      </c>
      <c r="AC40" s="246">
        <f t="shared" si="19"/>
        <v>-0.92920284157968769</v>
      </c>
      <c r="AD40" s="248">
        <f t="shared" si="20"/>
        <v>21.613933178478714</v>
      </c>
      <c r="AE40" s="248">
        <f t="shared" si="21"/>
        <v>92.787956902493434</v>
      </c>
      <c r="AF40" s="246">
        <f t="shared" si="9"/>
        <v>45.271129035210208</v>
      </c>
      <c r="AG40" s="246">
        <f t="shared" si="10"/>
        <v>91.858754060913753</v>
      </c>
      <c r="AH40" s="249" t="str">
        <f t="shared" si="22"/>
        <v>0.585718159512908-12.0276924939963i</v>
      </c>
    </row>
    <row r="41" spans="1:34" x14ac:dyDescent="0.2">
      <c r="F41" s="237"/>
      <c r="I41" s="246">
        <v>37</v>
      </c>
      <c r="J41" s="246">
        <f t="shared" si="0"/>
        <v>1.3607545334909859</v>
      </c>
      <c r="K41" s="246">
        <f t="shared" si="23"/>
        <v>22.948512143133257</v>
      </c>
      <c r="L41" s="246">
        <f t="shared" si="11"/>
        <v>144.18975431936721</v>
      </c>
      <c r="M41" s="246">
        <f t="shared" si="1"/>
        <v>8794.9559373591965</v>
      </c>
      <c r="N41" s="246">
        <f>SQRT((ABS(AC41)-171.5+'Small Signal'!C$59)^2)</f>
        <v>100.54970348750385</v>
      </c>
      <c r="O41" s="246">
        <f t="shared" si="12"/>
        <v>91.845658458574931</v>
      </c>
      <c r="P41" s="246">
        <f t="shared" si="13"/>
        <v>45.076317211588531</v>
      </c>
      <c r="Q41" s="246">
        <f t="shared" si="14"/>
        <v>22.948512143133257</v>
      </c>
      <c r="R41" s="246" t="str">
        <f t="shared" si="2"/>
        <v>0.161233333333333+0.000677691845301026i</v>
      </c>
      <c r="S41" s="246" t="str">
        <f t="shared" si="3"/>
        <v>0.025-737.798460269068i</v>
      </c>
      <c r="T41" s="246" t="str">
        <f t="shared" si="24"/>
        <v>23.9746048882478-0.779874062396816i</v>
      </c>
      <c r="U41" s="246" t="str">
        <f t="shared" si="4"/>
        <v>84.3170011657761-0.480045555747178i</v>
      </c>
      <c r="V41" s="246">
        <f t="shared" si="16"/>
        <v>38.518443809460585</v>
      </c>
      <c r="W41" s="246">
        <f t="shared" si="17"/>
        <v>-0.32620096498465079</v>
      </c>
      <c r="X41" s="246" t="str">
        <f t="shared" si="5"/>
        <v>0.999999996255046-0.0000108247876612108i</v>
      </c>
      <c r="Y41" s="246" t="str">
        <f t="shared" si="6"/>
        <v>39.90654192105+0.452543845854471i</v>
      </c>
      <c r="Z41" s="246" t="str">
        <f t="shared" si="7"/>
        <v>24.9659378849556+0.282845739944604i</v>
      </c>
      <c r="AA41" s="246" t="str">
        <f t="shared" si="8"/>
        <v>15.2334291210942-0.252681825029323i</v>
      </c>
      <c r="AB41" s="246">
        <f t="shared" si="18"/>
        <v>23.657148274550721</v>
      </c>
      <c r="AC41" s="246">
        <f t="shared" si="19"/>
        <v>-0.95029651249616565</v>
      </c>
      <c r="AD41" s="248">
        <f t="shared" si="20"/>
        <v>21.41916893703781</v>
      </c>
      <c r="AE41" s="248">
        <f t="shared" si="21"/>
        <v>92.795954971071097</v>
      </c>
      <c r="AF41" s="246">
        <f t="shared" si="9"/>
        <v>45.076317211588531</v>
      </c>
      <c r="AG41" s="246">
        <f t="shared" si="10"/>
        <v>91.845658458574931</v>
      </c>
      <c r="AH41" s="249" t="str">
        <f t="shared" si="22"/>
        <v>0.574372460990381-11.7609159863101i</v>
      </c>
    </row>
    <row r="42" spans="1:34" x14ac:dyDescent="0.2">
      <c r="F42" s="237"/>
      <c r="I42" s="246">
        <v>38</v>
      </c>
      <c r="J42" s="246">
        <f t="shared" si="0"/>
        <v>1.3705046560177692</v>
      </c>
      <c r="K42" s="246">
        <f t="shared" si="23"/>
        <v>23.469544239615477</v>
      </c>
      <c r="L42" s="246">
        <f t="shared" si="11"/>
        <v>147.46349553255325</v>
      </c>
      <c r="M42" s="246">
        <f t="shared" si="1"/>
        <v>8794.423075543913</v>
      </c>
      <c r="N42" s="246">
        <f>SQRT((ABS(AC42)-171.5+'Small Signal'!C$59)^2)</f>
        <v>100.52813112865621</v>
      </c>
      <c r="O42" s="246">
        <f t="shared" si="12"/>
        <v>91.833491040152694</v>
      </c>
      <c r="P42" s="246">
        <f t="shared" si="13"/>
        <v>44.881506229245055</v>
      </c>
      <c r="Q42" s="246">
        <f t="shared" si="14"/>
        <v>23.469544239615477</v>
      </c>
      <c r="R42" s="246" t="str">
        <f t="shared" si="2"/>
        <v>0.161233333333333+0.000693078429003i</v>
      </c>
      <c r="S42" s="246" t="str">
        <f t="shared" si="3"/>
        <v>0.025-721.419076220933i</v>
      </c>
      <c r="T42" s="246" t="str">
        <f t="shared" si="24"/>
        <v>23.9734399280095-0.797541835578277i</v>
      </c>
      <c r="U42" s="246" t="str">
        <f t="shared" si="4"/>
        <v>84.3169630127698-0.490944920108741i</v>
      </c>
      <c r="V42" s="246">
        <f t="shared" si="16"/>
        <v>38.518446344082612</v>
      </c>
      <c r="W42" s="246">
        <f t="shared" si="17"/>
        <v>-0.33360729575864928</v>
      </c>
      <c r="X42" s="246" t="str">
        <f t="shared" si="5"/>
        <v>0.999999996083061-0.0000110705579217801i</v>
      </c>
      <c r="Y42" s="246" t="str">
        <f t="shared" si="6"/>
        <v>39.9066785716614+0.462818277433203i</v>
      </c>
      <c r="Z42" s="246" t="str">
        <f t="shared" si="7"/>
        <v>24.9660235114022+0.289267391009641i</v>
      </c>
      <c r="AA42" s="246" t="str">
        <f t="shared" si="8"/>
        <v>15.2332456235849-0.258415844788629i</v>
      </c>
      <c r="AB42" s="246">
        <f t="shared" si="18"/>
        <v>23.657098507752934</v>
      </c>
      <c r="AC42" s="246">
        <f t="shared" si="19"/>
        <v>-0.97186887134378763</v>
      </c>
      <c r="AD42" s="248">
        <f t="shared" si="20"/>
        <v>21.224407721492121</v>
      </c>
      <c r="AE42" s="248">
        <f t="shared" si="21"/>
        <v>92.805359911496481</v>
      </c>
      <c r="AF42" s="246">
        <f t="shared" si="9"/>
        <v>44.881506229245055</v>
      </c>
      <c r="AG42" s="246">
        <f t="shared" si="10"/>
        <v>91.833491040152694</v>
      </c>
      <c r="AH42" s="249" t="str">
        <f t="shared" si="22"/>
        <v>0.563524497320112-11.5000465803339i</v>
      </c>
    </row>
    <row r="43" spans="1:34" x14ac:dyDescent="0.2">
      <c r="F43" s="237"/>
      <c r="I43" s="246">
        <v>39</v>
      </c>
      <c r="J43" s="246">
        <f t="shared" si="0"/>
        <v>1.3802547785445527</v>
      </c>
      <c r="K43" s="246">
        <f t="shared" si="23"/>
        <v>24.002406054899147</v>
      </c>
      <c r="L43" s="246">
        <f t="shared" si="11"/>
        <v>150.81156506110065</v>
      </c>
      <c r="M43" s="246">
        <f t="shared" si="1"/>
        <v>8793.8781154232129</v>
      </c>
      <c r="N43" s="246">
        <f>SQRT((ABS(AC43)-171.5+'Small Signal'!C$59)^2)</f>
        <v>100.50606922965383</v>
      </c>
      <c r="O43" s="246">
        <f t="shared" si="12"/>
        <v>91.822245621983782</v>
      </c>
      <c r="P43" s="246">
        <f t="shared" si="13"/>
        <v>44.686696473354843</v>
      </c>
      <c r="Q43" s="246">
        <f t="shared" si="14"/>
        <v>24.002406054899147</v>
      </c>
      <c r="R43" s="246" t="str">
        <f t="shared" si="2"/>
        <v>0.161233333333333+0.000708814355787173i</v>
      </c>
      <c r="S43" s="246" t="str">
        <f t="shared" si="3"/>
        <v>0.025-705.403320231465i</v>
      </c>
      <c r="T43" s="246" t="str">
        <f t="shared" si="24"/>
        <v>23.9722215890628-0.815608046030248i</v>
      </c>
      <c r="U43" s="246" t="str">
        <f t="shared" si="4"/>
        <v>84.3169231074406-0.502091763290384i</v>
      </c>
      <c r="V43" s="246">
        <f t="shared" si="16"/>
        <v>38.518448995100186</v>
      </c>
      <c r="W43" s="246">
        <f t="shared" si="17"/>
        <v>-0.3411817922046157</v>
      </c>
      <c r="X43" s="246" t="str">
        <f t="shared" si="5"/>
        <v>0.999999995903179-0.0000113219082475545i</v>
      </c>
      <c r="Y43" s="246" t="str">
        <f t="shared" si="6"/>
        <v>39.906821497956+0.473325962666384i</v>
      </c>
      <c r="Z43" s="246" t="str">
        <f t="shared" si="7"/>
        <v>24.9661130702456+0.295834828508155i</v>
      </c>
      <c r="AA43" s="246" t="str">
        <f t="shared" si="8"/>
        <v>15.2330537035947-0.264279845266923i</v>
      </c>
      <c r="AB43" s="246">
        <f t="shared" si="18"/>
        <v>23.657046456063785</v>
      </c>
      <c r="AC43" s="246">
        <f t="shared" si="19"/>
        <v>-0.99393077034616339</v>
      </c>
      <c r="AD43" s="248">
        <f t="shared" si="20"/>
        <v>21.029650017291061</v>
      </c>
      <c r="AE43" s="248">
        <f t="shared" si="21"/>
        <v>92.81617639232995</v>
      </c>
      <c r="AF43" s="246">
        <f t="shared" si="9"/>
        <v>44.686696473354843</v>
      </c>
      <c r="AG43" s="246">
        <f t="shared" si="10"/>
        <v>91.822245621983782</v>
      </c>
      <c r="AH43" s="249" t="str">
        <f t="shared" si="22"/>
        <v>0.553152450960028-11.244954148465i</v>
      </c>
    </row>
    <row r="44" spans="1:34" x14ac:dyDescent="0.2">
      <c r="F44" s="237"/>
      <c r="I44" s="246">
        <v>40</v>
      </c>
      <c r="J44" s="246">
        <f t="shared" si="0"/>
        <v>1.390004901071336</v>
      </c>
      <c r="K44" s="246">
        <f t="shared" si="23"/>
        <v>24.547366175598889</v>
      </c>
      <c r="L44" s="246">
        <f t="shared" si="11"/>
        <v>154.23565048448009</v>
      </c>
      <c r="M44" s="246">
        <f t="shared" si="1"/>
        <v>8793.3207823123848</v>
      </c>
      <c r="N44" s="246">
        <f>SQRT((ABS(AC44)-171.5+'Small Signal'!C$59)^2)</f>
        <v>100.48350669300072</v>
      </c>
      <c r="O44" s="246">
        <f t="shared" si="12"/>
        <v>91.811916475345626</v>
      </c>
      <c r="P44" s="246">
        <f t="shared" si="13"/>
        <v>44.491888331520656</v>
      </c>
      <c r="Q44" s="246">
        <f t="shared" si="14"/>
        <v>24.547366175598889</v>
      </c>
      <c r="R44" s="246" t="str">
        <f t="shared" si="2"/>
        <v>0.161233333333333+0.000724907557277056i</v>
      </c>
      <c r="S44" s="246" t="str">
        <f t="shared" si="3"/>
        <v>0.025-689.743119630498i</v>
      </c>
      <c r="T44" s="246" t="str">
        <f t="shared" si="24"/>
        <v>23.9709474314014-0.83408155248814i</v>
      </c>
      <c r="U44" s="246" t="str">
        <f t="shared" si="4"/>
        <v>84.3168813692987-0.513491705217863i</v>
      </c>
      <c r="V44" s="246">
        <f t="shared" si="16"/>
        <v>38.518451767858274</v>
      </c>
      <c r="W44" s="246">
        <f t="shared" si="17"/>
        <v>-0.34892827307799151</v>
      </c>
      <c r="X44" s="246" t="str">
        <f t="shared" si="5"/>
        <v>0.999999995715035-0.0000115789653305413i</v>
      </c>
      <c r="Y44" s="246" t="str">
        <f t="shared" si="6"/>
        <v>39.9069709881497+0.484072195966765i</v>
      </c>
      <c r="Z44" s="246" t="str">
        <f t="shared" si="7"/>
        <v>24.966206742084+0.302551361508213i</v>
      </c>
      <c r="AA44" s="246" t="str">
        <f t="shared" si="8"/>
        <v>15.2328529747512-0.270276763203315i</v>
      </c>
      <c r="AB44" s="246">
        <f t="shared" si="18"/>
        <v>23.656992014609088</v>
      </c>
      <c r="AC44" s="246">
        <f t="shared" si="19"/>
        <v>-1.0164933069992759</v>
      </c>
      <c r="AD44" s="248">
        <f t="shared" si="20"/>
        <v>20.834896316911568</v>
      </c>
      <c r="AE44" s="248">
        <f t="shared" si="21"/>
        <v>92.828409782344906</v>
      </c>
      <c r="AF44" s="246">
        <f t="shared" si="9"/>
        <v>44.491888331520656</v>
      </c>
      <c r="AG44" s="246">
        <f t="shared" si="10"/>
        <v>91.811916475345626</v>
      </c>
      <c r="AH44" s="249" t="str">
        <f t="shared" si="22"/>
        <v>0.543235459160386-10.9955113863383i</v>
      </c>
    </row>
    <row r="45" spans="1:34" x14ac:dyDescent="0.2">
      <c r="A45" s="246"/>
      <c r="B45" s="255"/>
      <c r="C45" s="246"/>
      <c r="D45" s="246"/>
      <c r="E45" s="246"/>
      <c r="F45" s="246"/>
      <c r="I45" s="246">
        <v>41</v>
      </c>
      <c r="J45" s="246">
        <f t="shared" si="0"/>
        <v>1.3997550235981193</v>
      </c>
      <c r="K45" s="246">
        <f t="shared" si="23"/>
        <v>25.104699286426122</v>
      </c>
      <c r="L45" s="246">
        <f t="shared" si="11"/>
        <v>157.73747769763446</v>
      </c>
      <c r="M45" s="246">
        <f t="shared" si="1"/>
        <v>8792.7507952901688</v>
      </c>
      <c r="N45" s="246">
        <f>SQRT((ABS(AC45)-171.5+'Small Signal'!C$59)^2)</f>
        <v>100.46043217043771</v>
      </c>
      <c r="O45" s="246">
        <f t="shared" si="12"/>
        <v>91.802498323295907</v>
      </c>
      <c r="P45" s="246">
        <f t="shared" si="13"/>
        <v>44.297082194546022</v>
      </c>
      <c r="Q45" s="246">
        <f t="shared" si="14"/>
        <v>25.104699286426122</v>
      </c>
      <c r="R45" s="246" t="str">
        <f t="shared" si="2"/>
        <v>0.161233333333333+0.000741366145178882i</v>
      </c>
      <c r="S45" s="246" t="str">
        <f t="shared" si="3"/>
        <v>0.025-674.430580963955i</v>
      </c>
      <c r="T45" s="246" t="str">
        <f t="shared" si="24"/>
        <v>23.9696149040287-0.852971401811384i</v>
      </c>
      <c r="U45" s="246" t="str">
        <f t="shared" si="4"/>
        <v>84.3168377141538-0.525150493488398i</v>
      </c>
      <c r="V45" s="246">
        <f t="shared" si="16"/>
        <v>38.518454667946997</v>
      </c>
      <c r="W45" s="246">
        <f t="shared" si="17"/>
        <v>-0.3568506438824286</v>
      </c>
      <c r="X45" s="246" t="str">
        <f t="shared" si="5"/>
        <v>0.999999995518251-0.0000118418587392137i</v>
      </c>
      <c r="Y45" s="246" t="str">
        <f t="shared" si="6"/>
        <v>39.9071273436947+0.495062391851095i</v>
      </c>
      <c r="Z45" s="246" t="str">
        <f t="shared" si="7"/>
        <v>24.9663047158101+0.309420374143845i</v>
      </c>
      <c r="AA45" s="246" t="str">
        <f t="shared" si="8"/>
        <v>15.2326430329771-0.276409601011964i</v>
      </c>
      <c r="AB45" s="246">
        <f t="shared" si="18"/>
        <v>23.656935073703316</v>
      </c>
      <c r="AC45" s="246">
        <f t="shared" si="19"/>
        <v>-1.0395678295622937</v>
      </c>
      <c r="AD45" s="248">
        <f t="shared" si="20"/>
        <v>20.640147120842709</v>
      </c>
      <c r="AE45" s="248">
        <f t="shared" si="21"/>
        <v>92.842066152858195</v>
      </c>
      <c r="AF45" s="246">
        <f t="shared" si="9"/>
        <v>44.297082194546022</v>
      </c>
      <c r="AG45" s="246">
        <f t="shared" si="10"/>
        <v>91.802498323295907</v>
      </c>
      <c r="AH45" s="249" t="str">
        <f t="shared" si="22"/>
        <v>0.533753572312677-10.7515937544183i</v>
      </c>
    </row>
    <row r="46" spans="1:34" x14ac:dyDescent="0.2">
      <c r="A46" s="246"/>
      <c r="B46" s="256"/>
      <c r="C46" s="257"/>
      <c r="D46" s="257"/>
      <c r="E46" s="246"/>
      <c r="F46" s="246"/>
      <c r="I46" s="246">
        <v>42</v>
      </c>
      <c r="J46" s="246">
        <f t="shared" si="0"/>
        <v>1.4095051461249029</v>
      </c>
      <c r="K46" s="246">
        <f t="shared" si="23"/>
        <v>25.674686308642574</v>
      </c>
      <c r="L46" s="246">
        <f t="shared" si="11"/>
        <v>161.31881178090791</v>
      </c>
      <c r="M46" s="246">
        <f t="shared" si="1"/>
        <v>8792.1678670571546</v>
      </c>
      <c r="N46" s="246">
        <f>SQRT((ABS(AC46)-171.5+'Small Signal'!C$59)^2)</f>
        <v>100.43683405733256</v>
      </c>
      <c r="O46" s="246">
        <f t="shared" si="12"/>
        <v>91.793986337695046</v>
      </c>
      <c r="P46" s="246">
        <f t="shared" si="13"/>
        <v>44.102278457216158</v>
      </c>
      <c r="Q46" s="246">
        <f t="shared" si="14"/>
        <v>25.674686308642574</v>
      </c>
      <c r="R46" s="246" t="str">
        <f t="shared" si="2"/>
        <v>0.161233333333333+0.000758198415370267i</v>
      </c>
      <c r="S46" s="246" t="str">
        <f t="shared" si="3"/>
        <v>0.025-659.457986015212i</v>
      </c>
      <c r="T46" s="246" t="str">
        <f t="shared" si="24"/>
        <v>23.9682213399614-0.872286832355235i</v>
      </c>
      <c r="U46" s="246" t="str">
        <f t="shared" si="4"/>
        <v>84.316792053951-0.537074006274584i</v>
      </c>
      <c r="V46" s="246">
        <f t="shared" si="16"/>
        <v>38.518457701213521</v>
      </c>
      <c r="W46" s="246">
        <f t="shared" si="17"/>
        <v>-0.36495289884252696</v>
      </c>
      <c r="X46" s="246" t="str">
        <f t="shared" si="5"/>
        <v>0.99999999531243-0.0000121107209838183i</v>
      </c>
      <c r="Y46" s="246" t="str">
        <f t="shared" si="6"/>
        <v>39.9072908798896+0.506302087659826i</v>
      </c>
      <c r="Z46" s="246" t="str">
        <f t="shared" si="7"/>
        <v>24.9664071889927+0.316445327314855i</v>
      </c>
      <c r="AA46" s="246" t="str">
        <f t="shared" si="8"/>
        <v>15.2324234556824-0.282681428203506i</v>
      </c>
      <c r="AB46" s="246">
        <f t="shared" si="18"/>
        <v>23.656875518630098</v>
      </c>
      <c r="AC46" s="246">
        <f t="shared" si="19"/>
        <v>-1.0631659426674263</v>
      </c>
      <c r="AD46" s="248">
        <f t="shared" si="20"/>
        <v>20.445402938586057</v>
      </c>
      <c r="AE46" s="248">
        <f t="shared" si="21"/>
        <v>92.85715228036247</v>
      </c>
      <c r="AF46" s="246">
        <f t="shared" si="9"/>
        <v>44.102278457216158</v>
      </c>
      <c r="AG46" s="246">
        <f t="shared" si="10"/>
        <v>91.793986337695046</v>
      </c>
      <c r="AH46" s="249" t="str">
        <f t="shared" si="22"/>
        <v>0.524687714104046-10.5130794206111i</v>
      </c>
    </row>
    <row r="47" spans="1:34" x14ac:dyDescent="0.2">
      <c r="A47" s="246"/>
      <c r="B47" s="256"/>
      <c r="C47" s="257"/>
      <c r="D47" s="257"/>
      <c r="E47" s="246"/>
      <c r="F47" s="246"/>
      <c r="I47" s="246">
        <v>43</v>
      </c>
      <c r="J47" s="246">
        <f t="shared" si="0"/>
        <v>1.4192552686516862</v>
      </c>
      <c r="K47" s="246">
        <f t="shared" si="23"/>
        <v>26.257614541657375</v>
      </c>
      <c r="L47" s="246">
        <f t="shared" si="11"/>
        <v>164.98145788972667</v>
      </c>
      <c r="M47" s="246">
        <f t="shared" si="1"/>
        <v>8791.5717037909726</v>
      </c>
      <c r="N47" s="246">
        <f>SQRT((ABS(AC47)-171.5+'Small Signal'!C$59)^2)</f>
        <v>100.41270048694832</v>
      </c>
      <c r="O47" s="246">
        <f t="shared" si="12"/>
        <v>91.786376136407696</v>
      </c>
      <c r="P47" s="246">
        <f t="shared" si="13"/>
        <v>43.907477519084317</v>
      </c>
      <c r="Q47" s="246">
        <f t="shared" si="14"/>
        <v>26.257614541657375</v>
      </c>
      <c r="R47" s="246" t="str">
        <f t="shared" si="2"/>
        <v>0.161233333333333+0.000775412852081715i</v>
      </c>
      <c r="S47" s="246" t="str">
        <f t="shared" si="3"/>
        <v>0.025-644.817787914752i</v>
      </c>
      <c r="T47" s="246" t="str">
        <f t="shared" si="24"/>
        <v>23.9667639510103-0.892037277357285i</v>
      </c>
      <c r="U47" s="246" t="str">
        <f t="shared" si="4"/>
        <v>84.3167442965867-0.549268255294552i</v>
      </c>
      <c r="V47" s="246">
        <f t="shared" si="16"/>
        <v>38.518460873773144</v>
      </c>
      <c r="W47" s="246">
        <f t="shared" si="17"/>
        <v>-0.37323912292160533</v>
      </c>
      <c r="X47" s="246" t="str">
        <f t="shared" si="5"/>
        <v>0.999999995097157-0.000012385687583167i</v>
      </c>
      <c r="Y47" s="246" t="str">
        <f t="shared" si="6"/>
        <v>39.9074619265126+0.51779694633814i</v>
      </c>
      <c r="Z47" s="246" t="str">
        <f t="shared" si="7"/>
        <v>24.9665143682734+0.323629760424955i</v>
      </c>
      <c r="AA47" s="246" t="str">
        <f t="shared" si="8"/>
        <v>15.2321938009169-0.289095382833952i</v>
      </c>
      <c r="AB47" s="246">
        <f t="shared" si="18"/>
        <v>23.656813229410858</v>
      </c>
      <c r="AC47" s="246">
        <f t="shared" si="19"/>
        <v>-1.0872995130516785</v>
      </c>
      <c r="AD47" s="248">
        <f t="shared" si="20"/>
        <v>20.250664289673459</v>
      </c>
      <c r="AE47" s="248">
        <f t="shared" si="21"/>
        <v>92.873675649459372</v>
      </c>
      <c r="AF47" s="246">
        <f t="shared" si="9"/>
        <v>43.907477519084317</v>
      </c>
      <c r="AG47" s="246">
        <f t="shared" si="10"/>
        <v>91.786376136407696</v>
      </c>
      <c r="AH47" s="249" t="str">
        <f t="shared" si="22"/>
        <v>0.516019643399936-10.2798492038913i</v>
      </c>
    </row>
    <row r="48" spans="1:34" x14ac:dyDescent="0.2">
      <c r="A48" s="246"/>
      <c r="B48" s="256"/>
      <c r="C48" s="257" t="s">
        <v>176</v>
      </c>
      <c r="D48" s="257"/>
      <c r="E48" s="246"/>
      <c r="F48" s="255"/>
      <c r="I48" s="246">
        <v>44</v>
      </c>
      <c r="J48" s="246">
        <f t="shared" si="0"/>
        <v>1.4290053911784697</v>
      </c>
      <c r="K48" s="246">
        <f t="shared" si="23"/>
        <v>26.853777807839133</v>
      </c>
      <c r="L48" s="246">
        <f t="shared" si="11"/>
        <v>168.72726216448009</v>
      </c>
      <c r="M48" s="246">
        <f t="shared" si="1"/>
        <v>8790.962004998195</v>
      </c>
      <c r="N48" s="246">
        <f>SQRT((ABS(AC48)-171.5+'Small Signal'!C$59)^2)</f>
        <v>100.38801932458782</v>
      </c>
      <c r="O48" s="246">
        <f t="shared" si="12"/>
        <v>91.779663780680991</v>
      </c>
      <c r="P48" s="246">
        <f t="shared" si="13"/>
        <v>43.712679785269543</v>
      </c>
      <c r="Q48" s="246">
        <f t="shared" si="14"/>
        <v>26.853777807839133</v>
      </c>
      <c r="R48" s="246" t="str">
        <f t="shared" si="2"/>
        <v>0.161233333333333+0.000793018132173056i</v>
      </c>
      <c r="S48" s="246" t="str">
        <f t="shared" si="3"/>
        <v>0.025-630.502607336207i</v>
      </c>
      <c r="T48" s="246" t="str">
        <f t="shared" si="24"/>
        <v>23.9652398223351-0.91223236833484i</v>
      </c>
      <c r="U48" s="246" t="str">
        <f t="shared" si="4"/>
        <v>84.3166943457286-0.561739388849988i</v>
      </c>
      <c r="V48" s="246">
        <f t="shared" si="16"/>
        <v>38.518464192022293</v>
      </c>
      <c r="W48" s="246">
        <f t="shared" si="17"/>
        <v>-0.3817134938854938</v>
      </c>
      <c r="X48" s="246" t="str">
        <f t="shared" si="5"/>
        <v>0.999999994871997-0.0000126668971329444i</v>
      </c>
      <c r="Y48" s="246" t="str">
        <f t="shared" si="6"/>
        <v>39.9076408284889+0.529552759279556i</v>
      </c>
      <c r="Z48" s="246" t="str">
        <f t="shared" si="7"/>
        <v>24.9666264697853+0.330977293159007i</v>
      </c>
      <c r="AA48" s="246" t="str">
        <f t="shared" si="8"/>
        <v>15.2319536064869-0.29565467298126i</v>
      </c>
      <c r="AB48" s="246">
        <f t="shared" si="18"/>
        <v>23.656748080564583</v>
      </c>
      <c r="AC48" s="246">
        <f t="shared" si="19"/>
        <v>-1.111980675412175</v>
      </c>
      <c r="AD48" s="248">
        <f t="shared" si="20"/>
        <v>20.05593170470496</v>
      </c>
      <c r="AE48" s="248">
        <f t="shared" si="21"/>
        <v>92.891644456093161</v>
      </c>
      <c r="AF48" s="246">
        <f t="shared" si="9"/>
        <v>43.712679785269543</v>
      </c>
      <c r="AG48" s="246">
        <f t="shared" si="10"/>
        <v>91.779663780680991</v>
      </c>
      <c r="AH48" s="249" t="str">
        <f t="shared" si="22"/>
        <v>0.507731917780914-10.0517865189388i</v>
      </c>
    </row>
    <row r="49" spans="1:34" x14ac:dyDescent="0.2">
      <c r="A49" s="246"/>
      <c r="B49" s="256"/>
      <c r="C49" s="258">
        <v>0</v>
      </c>
      <c r="D49" s="249"/>
      <c r="E49" s="246"/>
      <c r="F49" s="255"/>
      <c r="I49" s="246">
        <v>45</v>
      </c>
      <c r="J49" s="246">
        <f t="shared" si="0"/>
        <v>1.438755513705253</v>
      </c>
      <c r="K49" s="246">
        <f t="shared" si="23"/>
        <v>27.46347660061566</v>
      </c>
      <c r="L49" s="246">
        <f t="shared" si="11"/>
        <v>172.55811266105869</v>
      </c>
      <c r="M49" s="246">
        <f t="shared" si="1"/>
        <v>8790.3384633628757</v>
      </c>
      <c r="N49" s="246">
        <f>SQRT((ABS(AC49)-171.5+'Small Signal'!C$59)^2)</f>
        <v>100.36277816161197</v>
      </c>
      <c r="O49" s="246">
        <f t="shared" si="12"/>
        <v>91.773845772695921</v>
      </c>
      <c r="P49" s="246">
        <f t="shared" si="13"/>
        <v>43.517885667262732</v>
      </c>
      <c r="Q49" s="246">
        <f t="shared" si="14"/>
        <v>27.46347660061566</v>
      </c>
      <c r="R49" s="246" t="str">
        <f t="shared" si="2"/>
        <v>0.161233333333333+0.000811023129506976i</v>
      </c>
      <c r="S49" s="246" t="str">
        <f t="shared" si="3"/>
        <v>0.025-616.505228776832i</v>
      </c>
      <c r="T49" s="246" t="str">
        <f t="shared" si="24"/>
        <v>23.9636459067563-0.932881938488814i</v>
      </c>
      <c r="U49" s="246" t="str">
        <f t="shared" si="4"/>
        <v>84.316642100615-0.574493694933511i</v>
      </c>
      <c r="V49" s="246">
        <f t="shared" si="16"/>
        <v>38.518467662650743</v>
      </c>
      <c r="W49" s="246">
        <f t="shared" si="17"/>
        <v>-0.39038028441346934</v>
      </c>
      <c r="X49" s="246" t="str">
        <f t="shared" si="5"/>
        <v>0.999999994636497-0.0000129544913755662i</v>
      </c>
      <c r="Y49" s="246" t="str">
        <f t="shared" si="6"/>
        <v>39.9078279465843+0.541575449233514i</v>
      </c>
      <c r="Z49" s="246" t="str">
        <f t="shared" si="7"/>
        <v>24.9667437195874+0.338491627300252i</v>
      </c>
      <c r="AA49" s="246" t="str">
        <f t="shared" si="8"/>
        <v>15.2317023890292-0.302362578249919i</v>
      </c>
      <c r="AB49" s="246">
        <f t="shared" si="18"/>
        <v>23.656679940855074</v>
      </c>
      <c r="AC49" s="246">
        <f t="shared" si="19"/>
        <v>-1.1372218383880388</v>
      </c>
      <c r="AD49" s="248">
        <f t="shared" si="20"/>
        <v>19.861205726407654</v>
      </c>
      <c r="AE49" s="248">
        <f t="shared" si="21"/>
        <v>92.911067611083965</v>
      </c>
      <c r="AF49" s="246">
        <f t="shared" si="9"/>
        <v>43.517885667262732</v>
      </c>
      <c r="AG49" s="246">
        <f t="shared" si="10"/>
        <v>91.773845772695921</v>
      </c>
      <c r="AH49" s="249" t="str">
        <f t="shared" si="22"/>
        <v>0.499807858662701-9.82877732177749i</v>
      </c>
    </row>
    <row r="50" spans="1:34" x14ac:dyDescent="0.2">
      <c r="A50" s="246"/>
      <c r="B50" s="256" t="s">
        <v>177</v>
      </c>
      <c r="C50" s="249">
        <f>D52</f>
        <v>2.7E-11</v>
      </c>
      <c r="D50" s="257"/>
      <c r="E50" s="246"/>
      <c r="F50" s="255"/>
      <c r="I50" s="246">
        <v>46</v>
      </c>
      <c r="J50" s="246">
        <f t="shared" si="0"/>
        <v>1.4485056362320363</v>
      </c>
      <c r="K50" s="246">
        <f t="shared" si="23"/>
        <v>28.08701823593649</v>
      </c>
      <c r="L50" s="246">
        <f t="shared" si="11"/>
        <v>176.47594030252125</v>
      </c>
      <c r="M50" s="246">
        <f t="shared" si="1"/>
        <v>8789.7007645916383</v>
      </c>
      <c r="N50" s="246">
        <f>SQRT((ABS(AC50)-171.5+'Small Signal'!C$59)^2)</f>
        <v>100.33696430932909</v>
      </c>
      <c r="O50" s="246">
        <f t="shared" si="12"/>
        <v>91.76891905328884</v>
      </c>
      <c r="P50" s="246">
        <f t="shared" si="13"/>
        <v>43.323095583746444</v>
      </c>
      <c r="Q50" s="246">
        <f t="shared" si="14"/>
        <v>28.08701823593649</v>
      </c>
      <c r="R50" s="246" t="str">
        <f t="shared" si="2"/>
        <v>0.161233333333333+0.00082943691942185i</v>
      </c>
      <c r="S50" s="246" t="str">
        <f t="shared" si="3"/>
        <v>0.025-602.818596920571i</v>
      </c>
      <c r="T50" s="246" t="str">
        <f t="shared" si="24"/>
        <v>23.961979018822-0.953996026109613i</v>
      </c>
      <c r="U50" s="246" t="str">
        <f t="shared" si="4"/>
        <v>84.3165874558564-0.587537604407074i</v>
      </c>
      <c r="V50" s="246">
        <f t="shared" si="16"/>
        <v>38.518471292655619</v>
      </c>
      <c r="W50" s="246">
        <f t="shared" si="17"/>
        <v>-0.39924386425736008</v>
      </c>
      <c r="X50" s="246" t="str">
        <f t="shared" si="5"/>
        <v>0.999999994390183-0.0000132486152716242i</v>
      </c>
      <c r="Y50" s="246" t="str">
        <f t="shared" si="6"/>
        <v>39.908023658135+0.553871073278421i</v>
      </c>
      <c r="Z50" s="246" t="str">
        <f t="shared" si="7"/>
        <v>24.9668663541215+0.34617654858845i</v>
      </c>
      <c r="AA50" s="246" t="str">
        <f t="shared" si="8"/>
        <v>15.231439643045-0.309222451303793i</v>
      </c>
      <c r="AB50" s="246">
        <f t="shared" si="18"/>
        <v>23.65660867302779</v>
      </c>
      <c r="AC50" s="246">
        <f t="shared" si="19"/>
        <v>-1.1630356906709181</v>
      </c>
      <c r="AD50" s="248">
        <f t="shared" si="20"/>
        <v>19.666486910718653</v>
      </c>
      <c r="AE50" s="248">
        <f t="shared" si="21"/>
        <v>92.931954743959764</v>
      </c>
      <c r="AF50" s="246">
        <f t="shared" si="9"/>
        <v>43.323095583746444</v>
      </c>
      <c r="AG50" s="246">
        <f t="shared" si="10"/>
        <v>91.76891905328884</v>
      </c>
      <c r="AH50" s="249" t="str">
        <f t="shared" si="22"/>
        <v>0.492231517931429-9.61071005640953i</v>
      </c>
    </row>
    <row r="51" spans="1:34" x14ac:dyDescent="0.2">
      <c r="A51" s="246"/>
      <c r="B51" s="256" t="s">
        <v>178</v>
      </c>
      <c r="C51" s="257">
        <f>D53</f>
        <v>61900</v>
      </c>
      <c r="D51" s="257"/>
      <c r="E51" s="246"/>
      <c r="F51" s="255"/>
      <c r="I51" s="246">
        <v>47</v>
      </c>
      <c r="J51" s="246">
        <f t="shared" si="0"/>
        <v>1.4582557587588199</v>
      </c>
      <c r="K51" s="246">
        <f t="shared" si="23"/>
        <v>28.724717007173975</v>
      </c>
      <c r="L51" s="246">
        <f t="shared" si="11"/>
        <v>180.4827198523671</v>
      </c>
      <c r="M51" s="246">
        <f t="shared" si="1"/>
        <v>8789.0485872552708</v>
      </c>
      <c r="N51" s="246">
        <f>SQRT((ABS(AC51)-171.5+'Small Signal'!C$59)^2)</f>
        <v>100.31056479275344</v>
      </c>
      <c r="O51" s="246">
        <f t="shared" si="12"/>
        <v>91.764880999839434</v>
      </c>
      <c r="P51" s="246">
        <f t="shared" si="13"/>
        <v>43.128309961427519</v>
      </c>
      <c r="Q51" s="246">
        <f t="shared" si="14"/>
        <v>28.724717007173975</v>
      </c>
      <c r="R51" s="246" t="str">
        <f t="shared" si="2"/>
        <v>0.161233333333333+0.000848268783306125i</v>
      </c>
      <c r="S51" s="246" t="str">
        <f t="shared" si="3"/>
        <v>0.025-589.435813081853i</v>
      </c>
      <c r="T51" s="246" t="str">
        <f t="shared" si="24"/>
        <v>23.9602358286123-0.975584877979845i</v>
      </c>
      <c r="U51" s="246" t="str">
        <f t="shared" si="4"/>
        <v>84.3165303012206-0.600877694252996i</v>
      </c>
      <c r="V51" s="246">
        <f t="shared" si="16"/>
        <v>38.518475089355292</v>
      </c>
      <c r="W51" s="246">
        <f t="shared" si="17"/>
        <v>-0.40830870244998962</v>
      </c>
      <c r="X51" s="246" t="str">
        <f t="shared" si="5"/>
        <v>0.999999994132556-0.0000135494170729526i</v>
      </c>
      <c r="Y51" s="246" t="str">
        <f t="shared" si="6"/>
        <v>39.9082283578074+0.566445825861452i</v>
      </c>
      <c r="Z51" s="246" t="str">
        <f t="shared" si="7"/>
        <v>24.9669946206891+0.354035928619732i</v>
      </c>
      <c r="AA51" s="246" t="str">
        <f t="shared" si="8"/>
        <v>15.2311648398888-0.316237719427397i</v>
      </c>
      <c r="AB51" s="246">
        <f t="shared" si="18"/>
        <v>23.656534133534052</v>
      </c>
      <c r="AC51" s="246">
        <f t="shared" si="19"/>
        <v>-1.1894352072465717</v>
      </c>
      <c r="AD51" s="248">
        <f t="shared" si="20"/>
        <v>19.47177582789347</v>
      </c>
      <c r="AE51" s="248">
        <f t="shared" si="21"/>
        <v>92.954316207086009</v>
      </c>
      <c r="AF51" s="246">
        <f t="shared" si="9"/>
        <v>43.128309961427519</v>
      </c>
      <c r="AG51" s="246">
        <f t="shared" si="10"/>
        <v>91.764880999839434</v>
      </c>
      <c r="AH51" s="249" t="str">
        <f t="shared" si="22"/>
        <v>0.484987646028964-9.3974756024358i</v>
      </c>
    </row>
    <row r="52" spans="1:34" x14ac:dyDescent="0.2">
      <c r="A52" s="246"/>
      <c r="B52" s="256" t="s">
        <v>179</v>
      </c>
      <c r="C52" s="249">
        <f>1/(2*PI()*Rshss*3*'Small Signal'!C60)</f>
        <v>2.4570106138746602E-11</v>
      </c>
      <c r="D52" s="259">
        <f>IF(C52*10^12&lt;10000,IF((10^(LOG(C52*10^12)-INT(LOG(C52*10^12))))-VLOOKUP((10^(LOG(C52*10^12)-INT(LOG(C52*10^12)))),c_s1:C_f1,1)&lt;VLOOKUP((10^(LOG(C52*10^12)-INT(LOG(C52*10^12)))),c_s1:C_f1,2)-(10^(LOG(C52*10^12)-INT(LOG(C52*10^12)))),VLOOKUP((10^(LOG(C52*10^12)-INT(LOG(C52*10^12)))),c_s1:C_f1,1),VLOOKUP((10^(LOG(C52*10^12)-INT(LOG(C52*10^12)))),c_s1:C_f1,2))*10^INT(LOG(C52*10^12)),IF((10^(LOG(C52*10^12)-INT(LOG(C52*10^12))))-VLOOKUP((10^(LOG(C52*10^12)-INT(LOG(C52*10^12)))),C_s2:C_f2,1)&lt;VLOOKUP((10^(LOG(C52*10^12)-INT(LOG(C52*10^12)))),C_s2:C_f2,2)-(10^(LOG(C52*10^12)-INT(LOG(C52*10^12)))),VLOOKUP((10^(LOG(C52*10^12)-INT(LOG(C52*10^12)))),C_s2:C_f2,1),VLOOKUP((10^(LOG(C52*10^12)-INT(LOG(C52*10^12)))),C_s2:C_f2,2))*10^INT(LOG(C52*10^12)))*10^-12</f>
        <v>2.7E-11</v>
      </c>
      <c r="E52" s="246"/>
      <c r="F52" s="255"/>
      <c r="I52" s="246">
        <v>48</v>
      </c>
      <c r="J52" s="246">
        <f t="shared" si="0"/>
        <v>1.4680058812856032</v>
      </c>
      <c r="K52" s="246">
        <f t="shared" si="23"/>
        <v>29.376894343541498</v>
      </c>
      <c r="L52" s="246">
        <f t="shared" si="11"/>
        <v>184.58047090990704</v>
      </c>
      <c r="M52" s="246">
        <f t="shared" si="1"/>
        <v>8788.3816026267032</v>
      </c>
      <c r="N52" s="246">
        <f>SQRT((ABS(AC52)-171.5+'Small Signal'!C$59)^2)</f>
        <v>100.28356634422977</v>
      </c>
      <c r="O52" s="246">
        <f t="shared" si="12"/>
        <v>91.76172942432153</v>
      </c>
      <c r="P52" s="246">
        <f t="shared" si="13"/>
        <v>42.933529235885601</v>
      </c>
      <c r="Q52" s="246">
        <f t="shared" si="14"/>
        <v>29.376894343541498</v>
      </c>
      <c r="R52" s="246" t="str">
        <f t="shared" si="2"/>
        <v>0.161233333333333+0.000867528213276563i</v>
      </c>
      <c r="S52" s="246" t="str">
        <f t="shared" si="3"/>
        <v>0.025-576.35013172834i</v>
      </c>
      <c r="T52" s="246" t="str">
        <f t="shared" si="24"/>
        <v>23.9584128552754-0.997658952768342i</v>
      </c>
      <c r="U52" s="246" t="str">
        <f t="shared" si="4"/>
        <v>84.3164705214101-0.614520690899288i</v>
      </c>
      <c r="V52" s="246">
        <f t="shared" si="16"/>
        <v>38.518479060404147</v>
      </c>
      <c r="W52" s="246">
        <f t="shared" si="17"/>
        <v>-0.41757936956404673</v>
      </c>
      <c r="X52" s="246" t="str">
        <f t="shared" si="5"/>
        <v>0.999999993863097-0.0000138570483973539i</v>
      </c>
      <c r="Y52" s="246" t="str">
        <f t="shared" si="6"/>
        <v>39.9084424583945+0.57930604190678i</v>
      </c>
      <c r="Z52" s="246" t="str">
        <f t="shared" si="7"/>
        <v>24.9671287779495+0.36207372678923i</v>
      </c>
      <c r="AA52" s="246" t="str">
        <f t="shared" si="8"/>
        <v>15.2308774267122-0.323411886115917i</v>
      </c>
      <c r="AB52" s="246">
        <f t="shared" si="18"/>
        <v>23.656456172243089</v>
      </c>
      <c r="AC52" s="246">
        <f t="shared" si="19"/>
        <v>-1.21643365577022</v>
      </c>
      <c r="AD52" s="248">
        <f t="shared" si="20"/>
        <v>19.277073063642515</v>
      </c>
      <c r="AE52" s="248">
        <f t="shared" si="21"/>
        <v>92.978163080091747</v>
      </c>
      <c r="AF52" s="246">
        <f t="shared" si="9"/>
        <v>42.933529235885601</v>
      </c>
      <c r="AG52" s="246">
        <f t="shared" si="10"/>
        <v>91.76172942432153</v>
      </c>
      <c r="AH52" s="249" t="str">
        <f t="shared" si="22"/>
        <v>0.47806166142594-9.18896722365433i</v>
      </c>
    </row>
    <row r="53" spans="1:34" x14ac:dyDescent="0.2">
      <c r="A53" s="246"/>
      <c r="B53" s="256" t="s">
        <v>180</v>
      </c>
      <c r="C53" s="249">
        <f>1/(2*PI()*'Small Signal'!C60*9*Cffss)</f>
        <v>62183.601956087085</v>
      </c>
      <c r="D53" s="260">
        <f>(IF((10^(LOG(C53)-INT(LOG(C53)))*100)-VLOOKUP((10^(LOG(C53)-INT(LOG(C53)))*100),E96_s:E96_f,1)&lt;VLOOKUP((10^(LOG(C53)-INT(LOG(C53)))*100),E96_s:E96_f,2)-(10^(LOG(C53)-INT(LOG(C53)))*100),VLOOKUP((10^(LOG(C53)-INT(LOG(C53)))*100),E96_s:E96_f,1),VLOOKUP((10^(LOG(C53)-INT(LOG(C53)))*100),E96_s:E96_f,2)))*10^INT(LOG(C53))/100</f>
        <v>61900</v>
      </c>
      <c r="E53" s="246"/>
      <c r="F53" s="255"/>
      <c r="I53" s="246">
        <v>49</v>
      </c>
      <c r="J53" s="246">
        <f t="shared" si="0"/>
        <v>1.4777560038123867</v>
      </c>
      <c r="K53" s="246">
        <f t="shared" si="23"/>
        <v>30.04387897210847</v>
      </c>
      <c r="L53" s="246">
        <f t="shared" si="11"/>
        <v>188.77125892823366</v>
      </c>
      <c r="M53" s="246">
        <f t="shared" si="1"/>
        <v>8787.699474515317</v>
      </c>
      <c r="N53" s="246">
        <f>SQRT((ABS(AC53)-171.5+'Small Signal'!C$59)^2)</f>
        <v>100.25595539692219</v>
      </c>
      <c r="O53" s="246">
        <f t="shared" si="12"/>
        <v>91.759462571513538</v>
      </c>
      <c r="P53" s="246">
        <f t="shared" si="13"/>
        <v>42.738753852438052</v>
      </c>
      <c r="Q53" s="246">
        <f t="shared" si="14"/>
        <v>30.04387897210847</v>
      </c>
      <c r="R53" s="246" t="str">
        <f t="shared" si="2"/>
        <v>0.161233333333333+0.000887224916962698i</v>
      </c>
      <c r="S53" s="246" t="str">
        <f t="shared" si="3"/>
        <v>0.025-563.554957080878i</v>
      </c>
      <c r="T53" s="246" t="str">
        <f t="shared" si="24"/>
        <v>23.9565064602823-1.02022892440953i</v>
      </c>
      <c r="U53" s="246" t="str">
        <f t="shared" si="4"/>
        <v>84.3164079958278-0.628473473621016i</v>
      </c>
      <c r="V53" s="246">
        <f t="shared" si="16"/>
        <v>38.518483213807826</v>
      </c>
      <c r="W53" s="246">
        <f t="shared" si="17"/>
        <v>-0.42706054002257848</v>
      </c>
      <c r="X53" s="246" t="str">
        <f t="shared" si="5"/>
        <v>0.999999993581265-0.0000141716643050214i</v>
      </c>
      <c r="Y53" s="246" t="str">
        <f t="shared" si="6"/>
        <v>39.908666391647+0.59245819999353i</v>
      </c>
      <c r="Z53" s="246" t="str">
        <f t="shared" si="7"/>
        <v>24.9672690964414+0.370293992277268i</v>
      </c>
      <c r="AA53" s="246" t="str">
        <f t="shared" si="8"/>
        <v>15.230576825359-0.330748532694038i</v>
      </c>
      <c r="AB53" s="246">
        <f t="shared" si="18"/>
        <v>23.656374632140466</v>
      </c>
      <c r="AC53" s="246">
        <f t="shared" si="19"/>
        <v>-1.2440446030778012</v>
      </c>
      <c r="AD53" s="248">
        <f t="shared" si="20"/>
        <v>19.082379220297586</v>
      </c>
      <c r="AE53" s="248">
        <f t="shared" si="21"/>
        <v>93.003507174591334</v>
      </c>
      <c r="AF53" s="246">
        <f t="shared" si="9"/>
        <v>42.738753852438052</v>
      </c>
      <c r="AG53" s="246">
        <f t="shared" si="10"/>
        <v>91.759462571513538</v>
      </c>
      <c r="AH53" s="249" t="str">
        <f t="shared" si="22"/>
        <v>0.471439621422726-8.98508051762645i</v>
      </c>
    </row>
    <row r="54" spans="1:34" x14ac:dyDescent="0.2">
      <c r="A54" s="246"/>
      <c r="B54" s="256" t="s">
        <v>141</v>
      </c>
      <c r="C54" s="249">
        <v>9.9999999999999998E-13</v>
      </c>
      <c r="D54" s="257"/>
      <c r="E54" s="246"/>
      <c r="F54" s="255"/>
      <c r="I54" s="246">
        <v>50</v>
      </c>
      <c r="J54" s="246">
        <f t="shared" si="0"/>
        <v>1.48750612633917</v>
      </c>
      <c r="K54" s="246">
        <f t="shared" si="23"/>
        <v>30.726007083493656</v>
      </c>
      <c r="L54" s="246">
        <f t="shared" si="11"/>
        <v>193.05719625530324</v>
      </c>
      <c r="M54" s="246">
        <f t="shared" si="1"/>
        <v>8787.0018590974905</v>
      </c>
      <c r="N54" s="246">
        <f>SQRT((ABS(AC54)-171.5+'Small Signal'!C$59)^2)</f>
        <v>100.22771807816414</v>
      </c>
      <c r="O54" s="246">
        <f t="shared" si="12"/>
        <v>91.758079117363621</v>
      </c>
      <c r="P54" s="246">
        <f t="shared" si="13"/>
        <v>42.543984267023738</v>
      </c>
      <c r="Q54" s="246">
        <f t="shared" si="14"/>
        <v>30.726007083493656</v>
      </c>
      <c r="R54" s="246" t="str">
        <f t="shared" si="2"/>
        <v>0.161233333333333+0.000907368822399925i</v>
      </c>
      <c r="S54" s="246" t="str">
        <f t="shared" si="3"/>
        <v>0.025-551.043839788914i</v>
      </c>
      <c r="T54" s="246" t="str">
        <f t="shared" si="24"/>
        <v>23.9545128403888-1.04330568546156i</v>
      </c>
      <c r="U54" s="246" t="str">
        <f t="shared" si="4"/>
        <v>84.3163425983369-0.642743078019553i</v>
      </c>
      <c r="V54" s="246">
        <f t="shared" si="16"/>
        <v>38.518487557939729</v>
      </c>
      <c r="W54" s="246">
        <f t="shared" si="17"/>
        <v>-0.43675699446232991</v>
      </c>
      <c r="X54" s="246" t="str">
        <f t="shared" si="5"/>
        <v>0.999999993286489-0.0000144934233766959i</v>
      </c>
      <c r="Y54" s="246" t="str">
        <f t="shared" si="6"/>
        <v>39.9089006091472+0.605908925605177i</v>
      </c>
      <c r="Z54" s="246" t="str">
        <f t="shared" si="7"/>
        <v>24.96741585913+0.378700866080206i</v>
      </c>
      <c r="AA54" s="246" t="str">
        <f t="shared" si="8"/>
        <v>15.2302624312109-0.338251319963828i</v>
      </c>
      <c r="AB54" s="246">
        <f t="shared" si="18"/>
        <v>23.656289349013203</v>
      </c>
      <c r="AC54" s="246">
        <f t="shared" si="19"/>
        <v>-1.2722819218358579</v>
      </c>
      <c r="AD54" s="248">
        <f t="shared" si="20"/>
        <v>18.887694918010535</v>
      </c>
      <c r="AE54" s="248">
        <f t="shared" si="21"/>
        <v>93.030361039199477</v>
      </c>
      <c r="AF54" s="246">
        <f t="shared" si="9"/>
        <v>42.543984267023738</v>
      </c>
      <c r="AG54" s="246">
        <f t="shared" si="10"/>
        <v>91.758079117363621</v>
      </c>
      <c r="AH54" s="249" t="str">
        <f t="shared" si="22"/>
        <v>0.465108194221045-8.78571336620052i</v>
      </c>
    </row>
    <row r="55" spans="1:34" x14ac:dyDescent="0.2">
      <c r="A55" s="246"/>
      <c r="B55" s="256" t="s">
        <v>142</v>
      </c>
      <c r="C55" s="261">
        <v>1000000</v>
      </c>
      <c r="D55" s="257"/>
      <c r="E55" s="246"/>
      <c r="F55" s="255"/>
      <c r="I55" s="246">
        <v>51</v>
      </c>
      <c r="J55" s="246">
        <f t="shared" si="0"/>
        <v>1.4972562488659533</v>
      </c>
      <c r="K55" s="246">
        <f t="shared" si="23"/>
        <v>31.423622501320672</v>
      </c>
      <c r="L55" s="246">
        <f t="shared" si="11"/>
        <v>197.44044319865588</v>
      </c>
      <c r="M55" s="246">
        <f t="shared" si="1"/>
        <v>8786.2884047432908</v>
      </c>
      <c r="N55" s="246">
        <f>SQRT((ABS(AC55)-171.5+'Small Signal'!C$59)^2)</f>
        <v>100.1988402026675</v>
      </c>
      <c r="O55" s="246">
        <f t="shared" si="12"/>
        <v>91.757578167506352</v>
      </c>
      <c r="P55" s="246">
        <f t="shared" si="13"/>
        <v>42.34922094710678</v>
      </c>
      <c r="Q55" s="246">
        <f t="shared" si="14"/>
        <v>31.423622501320672</v>
      </c>
      <c r="R55" s="246" t="str">
        <f t="shared" si="2"/>
        <v>0.161233333333333+0.000927970083033683i</v>
      </c>
      <c r="S55" s="246" t="str">
        <f t="shared" si="3"/>
        <v>0.025-538.810473679732i</v>
      </c>
      <c r="T55" s="246" t="str">
        <f t="shared" si="24"/>
        <v>23.9524280202941-1.06690035043614i</v>
      </c>
      <c r="U55" s="246" t="str">
        <f t="shared" si="4"/>
        <v>84.3162741970028-0.657336699581313i</v>
      </c>
      <c r="V55" s="246">
        <f t="shared" si="16"/>
        <v>38.518492101557577</v>
      </c>
      <c r="W55" s="246">
        <f t="shared" si="17"/>
        <v>-0.44667362215106615</v>
      </c>
      <c r="X55" s="246" t="str">
        <f t="shared" si="5"/>
        <v>0.999999992978176-0.0000148224877935986i</v>
      </c>
      <c r="Y55" s="246" t="str">
        <f t="shared" si="6"/>
        <v>39.9091455832176+0.619664994451801i</v>
      </c>
      <c r="Z55" s="246" t="str">
        <f t="shared" si="7"/>
        <v>24.9675693619766+0.387298583086823i</v>
      </c>
      <c r="AA55" s="246" t="str">
        <f t="shared" si="8"/>
        <v>15.2299336119802-0.345923989881756i</v>
      </c>
      <c r="AB55" s="246">
        <f t="shared" si="18"/>
        <v>23.656200151120046</v>
      </c>
      <c r="AC55" s="246">
        <f t="shared" si="19"/>
        <v>-1.3011597973324909</v>
      </c>
      <c r="AD55" s="248">
        <f t="shared" si="20"/>
        <v>18.693020795986733</v>
      </c>
      <c r="AE55" s="248">
        <f t="shared" si="21"/>
        <v>93.058737964838841</v>
      </c>
      <c r="AF55" s="246">
        <f t="shared" si="9"/>
        <v>42.34922094710678</v>
      </c>
      <c r="AG55" s="246">
        <f t="shared" si="10"/>
        <v>91.757578167506352</v>
      </c>
      <c r="AH55" s="249" t="str">
        <f t="shared" si="22"/>
        <v>0.459054632211502-8.59076588698271i</v>
      </c>
    </row>
    <row r="56" spans="1:34" x14ac:dyDescent="0.2">
      <c r="A56" s="246"/>
      <c r="B56" s="256" t="s">
        <v>146</v>
      </c>
      <c r="C56" s="257">
        <v>1</v>
      </c>
      <c r="D56" s="257"/>
      <c r="E56" s="246"/>
      <c r="F56" s="255"/>
      <c r="I56" s="246">
        <v>52</v>
      </c>
      <c r="J56" s="246">
        <f t="shared" si="0"/>
        <v>1.5070063713927369</v>
      </c>
      <c r="K56" s="246">
        <f t="shared" si="23"/>
        <v>32.13707685552064</v>
      </c>
      <c r="L56" s="246">
        <f t="shared" si="11"/>
        <v>201.92320911430843</v>
      </c>
      <c r="M56" s="246">
        <f t="shared" si="1"/>
        <v>8785.5587518392422</v>
      </c>
      <c r="N56" s="246">
        <f>SQRT((ABS(AC56)-171.5+'Small Signal'!C$59)^2)</f>
        <v>100.16930726558812</v>
      </c>
      <c r="O56" s="246">
        <f t="shared" si="12"/>
        <v>91.757959255925869</v>
      </c>
      <c r="P56" s="246">
        <f t="shared" si="13"/>
        <v>42.154464372602654</v>
      </c>
      <c r="Q56" s="246">
        <f t="shared" si="14"/>
        <v>32.13707685552064</v>
      </c>
      <c r="R56" s="246" t="str">
        <f t="shared" si="2"/>
        <v>0.161233333333333+0.00094903908283725i</v>
      </c>
      <c r="S56" s="246" t="str">
        <f t="shared" si="3"/>
        <v>0.025-526.848692579866i</v>
      </c>
      <c r="T56" s="246" t="str">
        <f t="shared" si="24"/>
        <v>23.9502478449812-1.09102425909226i</v>
      </c>
      <c r="U56" s="246" t="str">
        <f t="shared" si="4"/>
        <v>84.3162026538287-0.672261697318067i</v>
      </c>
      <c r="V56" s="246">
        <f t="shared" si="16"/>
        <v>38.51849685382124</v>
      </c>
      <c r="W56" s="246">
        <f t="shared" si="17"/>
        <v>-0.45681542346023996</v>
      </c>
      <c r="X56" s="246" t="str">
        <f t="shared" si="5"/>
        <v>0.999999992655703-0.0000151590234191769i</v>
      </c>
      <c r="Y56" s="246" t="str">
        <f t="shared" si="6"/>
        <v>39.9094018078736+0.63373333586688i</v>
      </c>
      <c r="Z56" s="246" t="str">
        <f t="shared" si="7"/>
        <v>24.9677299145351+0.396091474201271i</v>
      </c>
      <c r="AA56" s="246" t="str">
        <f t="shared" si="8"/>
        <v>15.229589706449-0.353770367264971i</v>
      </c>
      <c r="AB56" s="246">
        <f t="shared" si="18"/>
        <v>23.656106858847444</v>
      </c>
      <c r="AC56" s="246">
        <f t="shared" si="19"/>
        <v>-1.3306927344118844</v>
      </c>
      <c r="AD56" s="248">
        <f t="shared" si="20"/>
        <v>18.498357513755209</v>
      </c>
      <c r="AE56" s="248">
        <f t="shared" si="21"/>
        <v>93.088651990337752</v>
      </c>
      <c r="AF56" s="246">
        <f t="shared" si="9"/>
        <v>42.154464372602654</v>
      </c>
      <c r="AG56" s="246">
        <f t="shared" si="10"/>
        <v>91.757959255925869</v>
      </c>
      <c r="AH56" s="249" t="str">
        <f t="shared" si="22"/>
        <v>0.45326674642446-8.40014038574324i</v>
      </c>
    </row>
    <row r="57" spans="1:34" x14ac:dyDescent="0.2">
      <c r="A57" s="246"/>
      <c r="B57" s="256" t="s">
        <v>147</v>
      </c>
      <c r="C57" s="257">
        <v>20</v>
      </c>
      <c r="D57" s="257"/>
      <c r="E57" s="246"/>
      <c r="F57" s="255"/>
      <c r="I57" s="246">
        <v>53</v>
      </c>
      <c r="J57" s="246">
        <f t="shared" si="0"/>
        <v>1.5167564939195202</v>
      </c>
      <c r="K57" s="246">
        <f t="shared" si="23"/>
        <v>32.866729759569694</v>
      </c>
      <c r="L57" s="246">
        <f t="shared" si="11"/>
        <v>206.50775352037036</v>
      </c>
      <c r="M57" s="246">
        <f t="shared" si="1"/>
        <v>8784.8125326070603</v>
      </c>
      <c r="N57" s="246">
        <f>SQRT((ABS(AC57)-171.5+'Small Signal'!C$59)^2)</f>
        <v>100.13910443544518</v>
      </c>
      <c r="O57" s="246">
        <f t="shared" si="12"/>
        <v>91.759222343761465</v>
      </c>
      <c r="P57" s="246">
        <f t="shared" si="13"/>
        <v>41.959715036827006</v>
      </c>
      <c r="Q57" s="246">
        <f t="shared" si="14"/>
        <v>32.866729759569694</v>
      </c>
      <c r="R57" s="246" t="str">
        <f t="shared" si="2"/>
        <v>0.161233333333333+0.000970586441545741i</v>
      </c>
      <c r="S57" s="246" t="str">
        <f t="shared" si="3"/>
        <v>0.025-515.152467207051i</v>
      </c>
      <c r="T57" s="246" t="str">
        <f t="shared" si="24"/>
        <v>23.9479679717302-1.11568897968572i</v>
      </c>
      <c r="U57" s="246" t="str">
        <f t="shared" si="4"/>
        <v>84.3161278244755-0.687525597490527i</v>
      </c>
      <c r="V57" s="246">
        <f t="shared" si="16"/>
        <v>38.51850182431108</v>
      </c>
      <c r="W57" s="246">
        <f t="shared" si="17"/>
        <v>-0.4671875123941896</v>
      </c>
      <c r="X57" s="246" t="str">
        <f t="shared" si="5"/>
        <v>0.999999992318422-0.0000155031998827077i</v>
      </c>
      <c r="Y57" s="246" t="str">
        <f t="shared" si="6"/>
        <v>39.9096697998222+0.648121036280247i</v>
      </c>
      <c r="Z57" s="246" t="str">
        <f t="shared" si="7"/>
        <v>24.9678978405786+0.405083968513634i</v>
      </c>
      <c r="AA57" s="246" t="str">
        <f t="shared" si="8"/>
        <v>15.2292300231493-0.361794361526799i</v>
      </c>
      <c r="AB57" s="246">
        <f t="shared" si="18"/>
        <v>23.656009284348617</v>
      </c>
      <c r="AC57" s="246">
        <f t="shared" si="19"/>
        <v>-1.3608955645548271</v>
      </c>
      <c r="AD57" s="248">
        <f t="shared" si="20"/>
        <v>18.303705752478393</v>
      </c>
      <c r="AE57" s="248">
        <f t="shared" si="21"/>
        <v>93.120117908316288</v>
      </c>
      <c r="AF57" s="246">
        <f t="shared" si="9"/>
        <v>41.959715036827006</v>
      </c>
      <c r="AG57" s="246">
        <f t="shared" si="10"/>
        <v>91.759222343761465</v>
      </c>
      <c r="AH57" s="249" t="str">
        <f t="shared" si="22"/>
        <v>0.447732882094042-8.21374130974697i</v>
      </c>
    </row>
    <row r="58" spans="1:34" x14ac:dyDescent="0.2">
      <c r="A58" s="246"/>
      <c r="B58" s="256" t="s">
        <v>181</v>
      </c>
      <c r="C58" s="257">
        <f>10^(80/20)</f>
        <v>10000</v>
      </c>
      <c r="D58" s="257"/>
      <c r="E58" s="246"/>
      <c r="F58" s="255"/>
      <c r="I58" s="246">
        <v>54</v>
      </c>
      <c r="J58" s="246">
        <f t="shared" si="0"/>
        <v>1.5265066164463037</v>
      </c>
      <c r="K58" s="246">
        <f t="shared" si="23"/>
        <v>33.612948991750621</v>
      </c>
      <c r="L58" s="246">
        <f t="shared" si="11"/>
        <v>211.1963872359444</v>
      </c>
      <c r="M58" s="246">
        <f t="shared" si="1"/>
        <v>8784.0493709182811</v>
      </c>
      <c r="N58" s="246">
        <f>SQRT((ABS(AC58)-171.5+'Small Signal'!C$59)^2)</f>
        <v>100.10821654689198</v>
      </c>
      <c r="O58" s="246">
        <f t="shared" si="12"/>
        <v>91.76136781825015</v>
      </c>
      <c r="P58" s="246">
        <f t="shared" si="13"/>
        <v>41.764973447471505</v>
      </c>
      <c r="Q58" s="246">
        <f t="shared" si="14"/>
        <v>33.612948991750621</v>
      </c>
      <c r="R58" s="246" t="str">
        <f t="shared" si="2"/>
        <v>0.161233333333333+0.000992623020008939i</v>
      </c>
      <c r="S58" s="246" t="str">
        <f t="shared" si="3"/>
        <v>0.025-503.715902131201i</v>
      </c>
      <c r="T58" s="246" t="str">
        <f t="shared" si="24"/>
        <v>23.9455838617883-1.14090631216518i</v>
      </c>
      <c r="U58" s="246" t="str">
        <f t="shared" si="4"/>
        <v>84.3160495579698-0.703136097417282i</v>
      </c>
      <c r="V58" s="246">
        <f t="shared" si="16"/>
        <v>38.518507023047192</v>
      </c>
      <c r="W58" s="246">
        <f t="shared" si="17"/>
        <v>-0.47779511917725737</v>
      </c>
      <c r="X58" s="246" t="str">
        <f t="shared" si="5"/>
        <v>0.999999991965651-0.000015855190664798i</v>
      </c>
      <c r="Y58" s="246" t="str">
        <f t="shared" si="6"/>
        <v>39.9099500995001+0.662835342768832i</v>
      </c>
      <c r="Z58" s="246" t="str">
        <f t="shared" si="7"/>
        <v>24.9680734787492+0.414280595519095i</v>
      </c>
      <c r="AA58" s="246" t="str">
        <f t="shared" si="8"/>
        <v>15.2288538389866-0.369999968441657i</v>
      </c>
      <c r="AB58" s="246">
        <f t="shared" si="18"/>
        <v>23.655907231167998</v>
      </c>
      <c r="AC58" s="246">
        <f t="shared" si="19"/>
        <v>-1.3917834531080331</v>
      </c>
      <c r="AD58" s="248">
        <f t="shared" si="20"/>
        <v>18.109066216303503</v>
      </c>
      <c r="AE58" s="248">
        <f t="shared" si="21"/>
        <v>93.153151271358183</v>
      </c>
      <c r="AF58" s="246">
        <f t="shared" si="9"/>
        <v>41.764973447471505</v>
      </c>
      <c r="AG58" s="246">
        <f t="shared" si="10"/>
        <v>91.76136781825015</v>
      </c>
      <c r="AH58" s="249" t="str">
        <f t="shared" si="22"/>
        <v>0.442441895287105-8.03147520199599i</v>
      </c>
    </row>
    <row r="59" spans="1:34" x14ac:dyDescent="0.2">
      <c r="A59" s="246"/>
      <c r="B59" s="262" t="s">
        <v>168</v>
      </c>
      <c r="C59" s="263">
        <v>70</v>
      </c>
      <c r="D59" s="257"/>
      <c r="E59" s="246"/>
      <c r="F59" s="255"/>
      <c r="I59" s="246">
        <v>55</v>
      </c>
      <c r="J59" s="246">
        <f t="shared" si="0"/>
        <v>1.536256738973087</v>
      </c>
      <c r="K59" s="246">
        <f t="shared" si="23"/>
        <v>34.376110680529727</v>
      </c>
      <c r="L59" s="246">
        <f t="shared" si="11"/>
        <v>215.99147354588362</v>
      </c>
      <c r="M59" s="246">
        <f t="shared" si="1"/>
        <v>8783.2688821046686</v>
      </c>
      <c r="N59" s="246">
        <f>SQRT((ABS(AC59)-171.5+'Small Signal'!C$59)^2)</f>
        <v>100.07662809333559</v>
      </c>
      <c r="O59" s="246">
        <f t="shared" si="12"/>
        <v>91.764396491801776</v>
      </c>
      <c r="P59" s="246">
        <f t="shared" si="13"/>
        <v>41.570240127604912</v>
      </c>
      <c r="Q59" s="246">
        <f t="shared" si="14"/>
        <v>34.376110680529727</v>
      </c>
      <c r="R59" s="246" t="str">
        <f t="shared" si="2"/>
        <v>0.161233333333333+0.00101515992566565i</v>
      </c>
      <c r="S59" s="246" t="str">
        <f t="shared" si="3"/>
        <v>0.025-492.533232802844i</v>
      </c>
      <c r="T59" s="246" t="str">
        <f t="shared" si="24"/>
        <v>23.9430907716845-1.16668829130508i</v>
      </c>
      <c r="U59" s="246" t="str">
        <f t="shared" si="4"/>
        <v>84.3159676964005-0.71910106937099i</v>
      </c>
      <c r="V59" s="246">
        <f t="shared" si="16"/>
        <v>38.518512460509825</v>
      </c>
      <c r="W59" s="246">
        <f t="shared" si="17"/>
        <v>-0.48864359290010989</v>
      </c>
      <c r="X59" s="246" t="str">
        <f t="shared" si="5"/>
        <v>0.999999991596679-0.0000162151731848272i</v>
      </c>
      <c r="Y59" s="246" t="str">
        <f t="shared" si="6"/>
        <v>39.9102432721689+0.677883666686902i</v>
      </c>
      <c r="Z59" s="246" t="str">
        <f t="shared" si="7"/>
        <v>24.9682571832442+0.423685987386782i</v>
      </c>
      <c r="AA59" s="246" t="str">
        <f t="shared" si="8"/>
        <v>15.2284603977977-0.378391271939099i</v>
      </c>
      <c r="AB59" s="246">
        <f t="shared" si="18"/>
        <v>23.655800493846556</v>
      </c>
      <c r="AC59" s="246">
        <f t="shared" si="19"/>
        <v>-1.423371906664409</v>
      </c>
      <c r="AD59" s="248">
        <f t="shared" si="20"/>
        <v>17.914439633758356</v>
      </c>
      <c r="AE59" s="248">
        <f t="shared" si="21"/>
        <v>93.18776839846619</v>
      </c>
      <c r="AF59" s="246">
        <f t="shared" si="9"/>
        <v>41.570240127604912</v>
      </c>
      <c r="AG59" s="246">
        <f t="shared" si="10"/>
        <v>91.764396491801776</v>
      </c>
      <c r="AH59" s="249" t="str">
        <f t="shared" si="22"/>
        <v>0.437383130551111-7.85325065637228i</v>
      </c>
    </row>
    <row r="60" spans="1:34" x14ac:dyDescent="0.2">
      <c r="A60" s="246"/>
      <c r="B60" s="262" t="s">
        <v>19</v>
      </c>
      <c r="C60" s="264">
        <f>VLOOKUP(MIN('Small Signal'!N4:N504),'Small Signal'!N4:'Small Signal'!Q504,4,FALSE)</f>
        <v>10532.658015040912</v>
      </c>
      <c r="D60" s="246"/>
      <c r="E60" s="246"/>
      <c r="F60" s="255"/>
      <c r="I60" s="246">
        <v>56</v>
      </c>
      <c r="J60" s="246">
        <f t="shared" si="0"/>
        <v>1.5460068614998703</v>
      </c>
      <c r="K60" s="246">
        <f t="shared" si="23"/>
        <v>35.156599494142888</v>
      </c>
      <c r="L60" s="246">
        <f t="shared" si="11"/>
        <v>220.89542939199586</v>
      </c>
      <c r="M60" s="246">
        <f t="shared" si="1"/>
        <v>8782.4706727643261</v>
      </c>
      <c r="N60" s="246">
        <f>SQRT((ABS(AC60)-171.5+'Small Signal'!C$59)^2)</f>
        <v>100.04432321940277</v>
      </c>
      <c r="O60" s="246">
        <f t="shared" si="12"/>
        <v>91.768309601200698</v>
      </c>
      <c r="P60" s="246">
        <f t="shared" si="13"/>
        <v>41.375515616704952</v>
      </c>
      <c r="Q60" s="246">
        <f t="shared" si="14"/>
        <v>35.156599494142888</v>
      </c>
      <c r="R60" s="246" t="str">
        <f t="shared" si="2"/>
        <v>0.161233333333333+0.00103820851814238i</v>
      </c>
      <c r="S60" s="246" t="str">
        <f t="shared" si="3"/>
        <v>0.025-481.598822647523i</v>
      </c>
      <c r="T60" s="246" t="str">
        <f t="shared" si="24"/>
        <v>23.9404837441743-1.19304718976506i</v>
      </c>
      <c r="U60" s="246" t="str">
        <f t="shared" si="4"/>
        <v>84.3158820745981-0.735428564563971i</v>
      </c>
      <c r="V60" s="246">
        <f t="shared" si="16"/>
        <v>38.518518147660252</v>
      </c>
      <c r="W60" s="246">
        <f t="shared" si="17"/>
        <v>-0.49973840422674159</v>
      </c>
      <c r="X60" s="246" t="str">
        <f t="shared" si="5"/>
        <v>0.999999991210763-0.0000165833288903743i</v>
      </c>
      <c r="Y60" s="246" t="str">
        <f t="shared" si="6"/>
        <v>39.910549909051+0.693273587377536i</v>
      </c>
      <c r="Z60" s="246" t="str">
        <f t="shared" si="7"/>
        <v>24.9684493245287+0.433304881279387i</v>
      </c>
      <c r="AA60" s="246" t="str">
        <f t="shared" si="8"/>
        <v>15.2280489088463-0.386972445927168i</v>
      </c>
      <c r="AB60" s="246">
        <f t="shared" si="18"/>
        <v>23.6556888575107</v>
      </c>
      <c r="AC60" s="246">
        <f t="shared" si="19"/>
        <v>-1.4556767805972166</v>
      </c>
      <c r="AD60" s="248">
        <f t="shared" si="20"/>
        <v>17.719826759194252</v>
      </c>
      <c r="AE60" s="248">
        <f t="shared" si="21"/>
        <v>93.223986381797914</v>
      </c>
      <c r="AF60" s="246">
        <f t="shared" si="9"/>
        <v>41.375515616704952</v>
      </c>
      <c r="AG60" s="246">
        <f t="shared" si="10"/>
        <v>91.768309601200698</v>
      </c>
      <c r="AH60" s="249" t="str">
        <f t="shared" si="22"/>
        <v>0.432546399536802-7.67897827366789i</v>
      </c>
    </row>
    <row r="61" spans="1:34" x14ac:dyDescent="0.2">
      <c r="A61" s="246"/>
      <c r="B61" s="255"/>
      <c r="C61" s="246"/>
      <c r="D61" s="246"/>
      <c r="E61" s="246"/>
      <c r="F61" s="255"/>
      <c r="I61" s="246">
        <v>57</v>
      </c>
      <c r="J61" s="246">
        <f t="shared" si="0"/>
        <v>1.5557569840266536</v>
      </c>
      <c r="K61" s="246">
        <f t="shared" si="23"/>
        <v>35.954808834485682</v>
      </c>
      <c r="L61" s="246">
        <f t="shared" si="11"/>
        <v>225.91072659129122</v>
      </c>
      <c r="M61" s="246">
        <f t="shared" si="1"/>
        <v>8781.6543405634056</v>
      </c>
      <c r="N61" s="246">
        <f>SQRT((ABS(AC61)-171.5+'Small Signal'!C$59)^2)</f>
        <v>100.01128571324972</v>
      </c>
      <c r="O61" s="246">
        <f t="shared" si="12"/>
        <v>91.773108806928633</v>
      </c>
      <c r="P61" s="246">
        <f t="shared" si="13"/>
        <v>41.180800471719742</v>
      </c>
      <c r="Q61" s="246">
        <f t="shared" si="14"/>
        <v>35.954808834485682</v>
      </c>
      <c r="R61" s="246" t="str">
        <f t="shared" si="2"/>
        <v>0.161233333333333+0.00106178041497907i</v>
      </c>
      <c r="S61" s="246" t="str">
        <f t="shared" si="3"/>
        <v>0.025-470.907160224702i</v>
      </c>
      <c r="T61" s="246" t="str">
        <f t="shared" si="24"/>
        <v>23.9377575988022-1.21999552106425i</v>
      </c>
      <c r="U61" s="246" t="str">
        <f t="shared" si="4"/>
        <v>84.3157925198013-0.752126817225088i</v>
      </c>
      <c r="V61" s="246">
        <f t="shared" si="16"/>
        <v>38.51852409596296</v>
      </c>
      <c r="W61" s="246">
        <f t="shared" si="17"/>
        <v>-0.51108514816340977</v>
      </c>
      <c r="X61" s="246" t="str">
        <f t="shared" si="5"/>
        <v>0.999999990807123-0.0000169598433486762i</v>
      </c>
      <c r="Y61" s="246" t="str">
        <f t="shared" si="6"/>
        <v>39.9108706285254+0.709012855967095i</v>
      </c>
      <c r="Z61" s="246" t="str">
        <f t="shared" si="7"/>
        <v>24.9686502900839+0.443142121724641i</v>
      </c>
      <c r="AA61" s="246" t="str">
        <f t="shared" si="8"/>
        <v>15.2276185452486-0.395747756144708i</v>
      </c>
      <c r="AB61" s="246">
        <f t="shared" si="18"/>
        <v>23.655572097441372</v>
      </c>
      <c r="AC61" s="246">
        <f t="shared" si="19"/>
        <v>-1.488714286750294</v>
      </c>
      <c r="AD61" s="248">
        <f t="shared" si="20"/>
        <v>17.52522837427837</v>
      </c>
      <c r="AE61" s="248">
        <f t="shared" si="21"/>
        <v>93.261823093678927</v>
      </c>
      <c r="AF61" s="246">
        <f t="shared" si="9"/>
        <v>41.180800471719742</v>
      </c>
      <c r="AG61" s="246">
        <f t="shared" si="10"/>
        <v>91.773108806928633</v>
      </c>
      <c r="AH61" s="249" t="str">
        <f t="shared" si="22"/>
        <v>0.427921960553408-7.50857061848988i</v>
      </c>
    </row>
    <row r="62" spans="1:34" x14ac:dyDescent="0.2">
      <c r="A62" s="246"/>
      <c r="B62" s="255"/>
      <c r="C62" s="246"/>
      <c r="D62" s="246"/>
      <c r="E62" s="246"/>
      <c r="F62" s="255"/>
      <c r="I62" s="246">
        <v>58</v>
      </c>
      <c r="J62" s="246">
        <f t="shared" si="0"/>
        <v>1.5655071065534372</v>
      </c>
      <c r="K62" s="246">
        <f t="shared" si="23"/>
        <v>36.771141035405968</v>
      </c>
      <c r="L62" s="246">
        <f t="shared" si="11"/>
        <v>231.03989308189114</v>
      </c>
      <c r="M62" s="246">
        <f t="shared" si="1"/>
        <v>8780.8194740333129</v>
      </c>
      <c r="N62" s="246">
        <f>SQRT((ABS(AC62)-171.5+'Small Signal'!C$59)^2)</f>
        <v>99.977498998712889</v>
      </c>
      <c r="O62" s="246">
        <f t="shared" si="12"/>
        <v>91.778796192602499</v>
      </c>
      <c r="P62" s="246">
        <f t="shared" si="13"/>
        <v>40.986095268163609</v>
      </c>
      <c r="Q62" s="246">
        <f t="shared" si="14"/>
        <v>36.771141035405968</v>
      </c>
      <c r="R62" s="246" t="str">
        <f t="shared" si="2"/>
        <v>0.161233333333333+0.00108588749748489i</v>
      </c>
      <c r="S62" s="246" t="str">
        <f t="shared" si="3"/>
        <v>0.025-460.452856449761i</v>
      </c>
      <c r="T62" s="246" t="str">
        <f t="shared" si="24"/>
        <v>23.9349069220655-1.24754604245853i</v>
      </c>
      <c r="U62" s="246" t="str">
        <f t="shared" si="4"/>
        <v>84.3156988513081-0.769204248770297i</v>
      </c>
      <c r="V62" s="246">
        <f t="shared" si="16"/>
        <v>38.518530317408732</v>
      </c>
      <c r="W62" s="246">
        <f t="shared" si="17"/>
        <v>-0.52268954689112312</v>
      </c>
      <c r="X62" s="246" t="str">
        <f t="shared" si="5"/>
        <v>0.999999990384947-0.0000173449063401615i</v>
      </c>
      <c r="Y62" s="246" t="str">
        <f t="shared" si="6"/>
        <v>39.9112060773726+0.725109399244473i</v>
      </c>
      <c r="Z62" s="246" t="str">
        <f t="shared" si="7"/>
        <v>24.9688604851878+0.453202663039779i</v>
      </c>
      <c r="AA62" s="246" t="str">
        <f t="shared" si="8"/>
        <v>15.2271684423301-0.404721562042616i</v>
      </c>
      <c r="AB62" s="246">
        <f t="shared" si="18"/>
        <v>23.655449978624681</v>
      </c>
      <c r="AC62" s="246">
        <f t="shared" si="19"/>
        <v>-1.5225010012871134</v>
      </c>
      <c r="AD62" s="248">
        <f t="shared" si="20"/>
        <v>17.330645289538932</v>
      </c>
      <c r="AE62" s="248">
        <f t="shared" si="21"/>
        <v>93.30129719388961</v>
      </c>
      <c r="AF62" s="246">
        <f t="shared" si="9"/>
        <v>40.986095268163609</v>
      </c>
      <c r="AG62" s="246">
        <f t="shared" si="10"/>
        <v>91.778796192602499</v>
      </c>
      <c r="AH62" s="249" t="str">
        <f t="shared" si="22"/>
        <v>0.423500499016005-7.34194217702747i</v>
      </c>
    </row>
    <row r="63" spans="1:34" x14ac:dyDescent="0.2">
      <c r="I63" s="246">
        <v>59</v>
      </c>
      <c r="J63" s="246">
        <f t="shared" si="0"/>
        <v>1.5752572290802207</v>
      </c>
      <c r="K63" s="246">
        <f t="shared" si="23"/>
        <v>37.606007565498388</v>
      </c>
      <c r="L63" s="246">
        <f t="shared" si="11"/>
        <v>236.28551419722382</v>
      </c>
      <c r="M63" s="246">
        <f t="shared" si="1"/>
        <v>8779.9656523633075</v>
      </c>
      <c r="N63" s="246">
        <f>SQRT((ABS(AC63)-171.5+'Small Signal'!C$59)^2)</f>
        <v>99.942946127298995</v>
      </c>
      <c r="O63" s="246">
        <f t="shared" si="12"/>
        <v>91.785374264520911</v>
      </c>
      <c r="P63" s="246">
        <f t="shared" si="13"/>
        <v>40.791400601246039</v>
      </c>
      <c r="Q63" s="246">
        <f t="shared" si="14"/>
        <v>37.606007565498388</v>
      </c>
      <c r="R63" s="246" t="str">
        <f t="shared" si="2"/>
        <v>0.161233333333333+0.00111054191672695i</v>
      </c>
      <c r="S63" s="246" t="str">
        <f t="shared" si="3"/>
        <v>0.025-450.230641877641i</v>
      </c>
      <c r="T63" s="246" t="str">
        <f t="shared" si="24"/>
        <v>23.9319260571624-1.27571175770711i</v>
      </c>
      <c r="U63" s="246" t="str">
        <f t="shared" si="4"/>
        <v>84.3156008801107-0.786669472068925i</v>
      </c>
      <c r="V63" s="246">
        <f t="shared" si="16"/>
        <v>38.518536824538884</v>
      </c>
      <c r="W63" s="246">
        <f t="shared" si="17"/>
        <v>-0.53455745266307675</v>
      </c>
      <c r="X63" s="246" t="str">
        <f t="shared" si="5"/>
        <v>0.999999989943383-0.0000177387119541087i</v>
      </c>
      <c r="Y63" s="246" t="str">
        <f t="shared" si="6"/>
        <v>39.9115569320823+0.741571323626931i</v>
      </c>
      <c r="Z63" s="246" t="str">
        <f t="shared" si="7"/>
        <v>24.9690803337343+0.463491571810105i</v>
      </c>
      <c r="AA63" s="246" t="str">
        <f t="shared" si="8"/>
        <v>15.2266976959058-0.413898318693612i</v>
      </c>
      <c r="AB63" s="246">
        <f t="shared" si="18"/>
        <v>23.655322255280655</v>
      </c>
      <c r="AC63" s="246">
        <f t="shared" si="19"/>
        <v>-1.5570538727010008</v>
      </c>
      <c r="AD63" s="248">
        <f t="shared" si="20"/>
        <v>17.136078345965384</v>
      </c>
      <c r="AE63" s="248">
        <f t="shared" si="21"/>
        <v>93.342428137221916</v>
      </c>
      <c r="AF63" s="246">
        <f t="shared" si="9"/>
        <v>40.791400601246039</v>
      </c>
      <c r="AG63" s="246">
        <f t="shared" si="10"/>
        <v>91.785374264520911</v>
      </c>
      <c r="AH63" s="249" t="str">
        <f t="shared" si="22"/>
        <v>0.419273108746297-7.17900931566795i</v>
      </c>
    </row>
    <row r="64" spans="1:34" x14ac:dyDescent="0.2">
      <c r="I64" s="246">
        <v>60</v>
      </c>
      <c r="J64" s="246">
        <f t="shared" si="0"/>
        <v>1.585007351607004</v>
      </c>
      <c r="K64" s="246">
        <f t="shared" si="23"/>
        <v>38.459829235503271</v>
      </c>
      <c r="L64" s="246">
        <f t="shared" si="11"/>
        <v>241.65023396915007</v>
      </c>
      <c r="M64" s="246">
        <f t="shared" si="1"/>
        <v>8779.0924451883966</v>
      </c>
      <c r="N64" s="246">
        <f>SQRT((ABS(AC64)-171.5+'Small Signal'!C$59)^2)</f>
        <v>99.907609770010851</v>
      </c>
      <c r="O64" s="246">
        <f t="shared" si="12"/>
        <v>91.792845951312373</v>
      </c>
      <c r="P64" s="246">
        <f t="shared" si="13"/>
        <v>40.596717087039274</v>
      </c>
      <c r="Q64" s="246">
        <f t="shared" si="14"/>
        <v>38.459829235503271</v>
      </c>
      <c r="R64" s="246" t="str">
        <f t="shared" si="2"/>
        <v>0.161233333333333+0.00113575609965501i</v>
      </c>
      <c r="S64" s="246" t="str">
        <f t="shared" si="3"/>
        <v>0.025-440.235364046805i</v>
      </c>
      <c r="T64" s="246" t="str">
        <f t="shared" si="24"/>
        <v>23.9288090933153-1.3045059197149i</v>
      </c>
      <c r="U64" s="246" t="str">
        <f t="shared" si="4"/>
        <v>84.3154984085114-0.804531295807891i</v>
      </c>
      <c r="V64" s="246">
        <f t="shared" si="16"/>
        <v>38.518543630470255</v>
      </c>
      <c r="W64" s="246">
        <f t="shared" si="17"/>
        <v>-0.54669485076854463</v>
      </c>
      <c r="X64" s="246" t="str">
        <f t="shared" si="5"/>
        <v>0.99999998948154-0.0000181414586864763i</v>
      </c>
      <c r="Y64" s="246" t="str">
        <f t="shared" si="6"/>
        <v>39.9119239002151+0.75840691921444i</v>
      </c>
      <c r="Z64" s="246" t="str">
        <f t="shared" si="7"/>
        <v>24.9693102790866+0.474014029422874i</v>
      </c>
      <c r="AA64" s="246" t="str">
        <f t="shared" si="8"/>
        <v>15.2262053604858-0.423282578730383i</v>
      </c>
      <c r="AB64" s="246">
        <f t="shared" si="18"/>
        <v>23.655188670372137</v>
      </c>
      <c r="AC64" s="246">
        <f t="shared" si="19"/>
        <v>-1.5923902299891624</v>
      </c>
      <c r="AD64" s="248">
        <f t="shared" si="20"/>
        <v>16.941528416667136</v>
      </c>
      <c r="AE64" s="248">
        <f t="shared" si="21"/>
        <v>93.385236181301536</v>
      </c>
      <c r="AF64" s="246">
        <f t="shared" si="9"/>
        <v>40.596717087039274</v>
      </c>
      <c r="AG64" s="246">
        <f t="shared" si="10"/>
        <v>91.792845951312373</v>
      </c>
      <c r="AH64" s="249" t="str">
        <f t="shared" si="22"/>
        <v>0.415231274089803-7.01969024044873i</v>
      </c>
    </row>
    <row r="65" spans="9:34" x14ac:dyDescent="0.2">
      <c r="I65" s="246">
        <v>61</v>
      </c>
      <c r="J65" s="246">
        <f t="shared" si="0"/>
        <v>1.5947574741337873</v>
      </c>
      <c r="K65" s="246">
        <f t="shared" si="23"/>
        <v>39.33303641041455</v>
      </c>
      <c r="L65" s="246">
        <f t="shared" si="11"/>
        <v>247.13675646067639</v>
      </c>
      <c r="M65" s="246">
        <f t="shared" si="1"/>
        <v>8778.1994123724089</v>
      </c>
      <c r="N65" s="246">
        <f>SQRT((ABS(AC65)-171.5+'Small Signal'!C$59)^2)</f>
        <v>99.871472209007095</v>
      </c>
      <c r="O65" s="246">
        <f t="shared" si="12"/>
        <v>91.801214603677948</v>
      </c>
      <c r="P65" s="246">
        <f t="shared" si="13"/>
        <v>40.402045363683712</v>
      </c>
      <c r="Q65" s="246">
        <f t="shared" si="14"/>
        <v>39.33303641041455</v>
      </c>
      <c r="R65" s="246" t="str">
        <f t="shared" si="2"/>
        <v>0.161233333333333+0.00116154275536518i</v>
      </c>
      <c r="S65" s="246" t="str">
        <f t="shared" si="3"/>
        <v>0.025-430.46198488217i</v>
      </c>
      <c r="T65" s="246" t="str">
        <f t="shared" si="24"/>
        <v>23.9255498546465-1.33394203303472i</v>
      </c>
      <c r="U65" s="246" t="str">
        <f t="shared" si="4"/>
        <v>84.3153912297255-0.822798728956278i</v>
      </c>
      <c r="V65" s="246">
        <f t="shared" si="16"/>
        <v>38.518550748921932</v>
      </c>
      <c r="W65" s="246">
        <f t="shared" si="17"/>
        <v>-0.55910786256481804</v>
      </c>
      <c r="X65" s="246" t="str">
        <f t="shared" si="5"/>
        <v>0.999999988998487-0.0000185533495399532i</v>
      </c>
      <c r="Y65" s="246" t="str">
        <f t="shared" si="6"/>
        <v>39.9123077218309+0.77562466393442i</v>
      </c>
      <c r="Z65" s="246" t="str">
        <f t="shared" si="7"/>
        <v>24.9695507849723+0.484775334657656i</v>
      </c>
      <c r="AA65" s="246" t="str">
        <f t="shared" si="8"/>
        <v>15.2256904473982-0.43287899431156i</v>
      </c>
      <c r="AB65" s="246">
        <f t="shared" si="18"/>
        <v>23.655048955090201</v>
      </c>
      <c r="AC65" s="246">
        <f t="shared" si="19"/>
        <v>-1.6285277909928944</v>
      </c>
      <c r="AD65" s="248">
        <f t="shared" si="20"/>
        <v>16.746996408593507</v>
      </c>
      <c r="AE65" s="248">
        <f t="shared" si="21"/>
        <v>93.429742394670839</v>
      </c>
      <c r="AF65" s="246">
        <f t="shared" si="9"/>
        <v>40.402045363683712</v>
      </c>
      <c r="AG65" s="246">
        <f t="shared" si="10"/>
        <v>91.801214603677948</v>
      </c>
      <c r="AH65" s="249" t="str">
        <f t="shared" si="22"/>
        <v>0.411366852813985-6.86390495733202i</v>
      </c>
    </row>
    <row r="66" spans="9:34" x14ac:dyDescent="0.2">
      <c r="I66" s="246">
        <v>62</v>
      </c>
      <c r="J66" s="246">
        <f t="shared" si="0"/>
        <v>1.6045075966605709</v>
      </c>
      <c r="K66" s="246">
        <f t="shared" si="23"/>
        <v>40.226069226403119</v>
      </c>
      <c r="L66" s="246">
        <f t="shared" si="11"/>
        <v>252.74784712892497</v>
      </c>
      <c r="M66" s="246">
        <f t="shared" si="1"/>
        <v>8777.2861037861458</v>
      </c>
      <c r="N66" s="246">
        <f>SQRT((ABS(AC66)-171.5+'Small Signal'!C$59)^2)</f>
        <v>99.834515329093762</v>
      </c>
      <c r="O66" s="246">
        <f t="shared" si="12"/>
        <v>91.810483994220874</v>
      </c>
      <c r="P66" s="246">
        <f t="shared" si="13"/>
        <v>40.207386092634685</v>
      </c>
      <c r="Q66" s="246">
        <f t="shared" si="14"/>
        <v>40.226069226403119</v>
      </c>
      <c r="R66" s="246" t="str">
        <f t="shared" si="2"/>
        <v>0.161233333333333+0.00118791488150595i</v>
      </c>
      <c r="S66" s="246" t="str">
        <f t="shared" si="3"/>
        <v>0.025-420.905578155683i</v>
      </c>
      <c r="T66" s="246" t="str">
        <f t="shared" si="24"/>
        <v>23.9221418885938-1.3640338562135i</v>
      </c>
      <c r="U66" s="246" t="str">
        <f t="shared" si="4"/>
        <v>84.3152791274598-0.841480985332546i</v>
      </c>
      <c r="V66" s="246">
        <f t="shared" si="16"/>
        <v>38.518558194242559</v>
      </c>
      <c r="W66" s="246">
        <f t="shared" si="17"/>
        <v>-0.57180274857879976</v>
      </c>
      <c r="X66" s="246" t="str">
        <f t="shared" si="5"/>
        <v>0.999999988493251-0.0000189745921262819i</v>
      </c>
      <c r="Y66" s="246" t="str">
        <f t="shared" si="6"/>
        <v>39.9127091709832+0.793233227778688i</v>
      </c>
      <c r="Z66" s="246" t="str">
        <f t="shared" si="7"/>
        <v>24.9698023364196+0.495780906334328i</v>
      </c>
      <c r="AA66" s="246" t="str">
        <f t="shared" si="8"/>
        <v>15.2251519228281-0.442692319115067i</v>
      </c>
      <c r="AB66" s="246">
        <f t="shared" si="18"/>
        <v>23.654902828316441</v>
      </c>
      <c r="AC66" s="246">
        <f t="shared" si="19"/>
        <v>-1.6654846709062492</v>
      </c>
      <c r="AD66" s="248">
        <f t="shared" si="20"/>
        <v>16.552483264318244</v>
      </c>
      <c r="AE66" s="248">
        <f t="shared" si="21"/>
        <v>93.475968665127127</v>
      </c>
      <c r="AF66" s="246">
        <f t="shared" si="9"/>
        <v>40.207386092634685</v>
      </c>
      <c r="AG66" s="246">
        <f t="shared" si="10"/>
        <v>91.810483994220874</v>
      </c>
      <c r="AH66" s="249" t="str">
        <f t="shared" si="22"/>
        <v>0.407672059753412-6.71157523328911i</v>
      </c>
    </row>
    <row r="67" spans="9:34" x14ac:dyDescent="0.2">
      <c r="I67" s="246">
        <v>63</v>
      </c>
      <c r="J67" s="246">
        <f t="shared" si="0"/>
        <v>1.6142577191873544</v>
      </c>
      <c r="K67" s="246">
        <f t="shared" si="23"/>
        <v>41.139377812665586</v>
      </c>
      <c r="L67" s="246">
        <f t="shared" si="11"/>
        <v>258.48633421905026</v>
      </c>
      <c r="M67" s="246">
        <f t="shared" si="1"/>
        <v>8776.3520590805019</v>
      </c>
      <c r="N67" s="246">
        <f>SQRT((ABS(AC67)-171.5+'Small Signal'!C$59)^2)</f>
        <v>99.796720609043973</v>
      </c>
      <c r="O67" s="246">
        <f t="shared" si="12"/>
        <v>91.820658317354685</v>
      </c>
      <c r="P67" s="246">
        <f t="shared" si="13"/>
        <v>40.012739959953201</v>
      </c>
      <c r="Q67" s="246">
        <f t="shared" si="14"/>
        <v>41.139377812665586</v>
      </c>
      <c r="R67" s="246" t="str">
        <f t="shared" si="2"/>
        <v>0.161233333333333+0.00121488577082954i</v>
      </c>
      <c r="S67" s="246" t="str">
        <f t="shared" si="3"/>
        <v>0.025-411.561327003275i</v>
      </c>
      <c r="T67" s="246" t="str">
        <f t="shared" si="24"/>
        <v>23.9185784538498-1.3947954039646i</v>
      </c>
      <c r="U67" s="246" t="str">
        <f t="shared" si="4"/>
        <v>84.3151618754809-0.860587488276888i</v>
      </c>
      <c r="V67" s="246">
        <f t="shared" si="16"/>
        <v>38.518565981439785</v>
      </c>
      <c r="W67" s="246">
        <f t="shared" si="17"/>
        <v>-0.5847859116798525</v>
      </c>
      <c r="X67" s="246" t="str">
        <f t="shared" si="5"/>
        <v>0.999999987964811-0.0000194053987709039i</v>
      </c>
      <c r="Y67" s="246" t="str">
        <f t="shared" si="6"/>
        <v>39.9131290572807+0.811241477134866i</v>
      </c>
      <c r="Z67" s="246" t="str">
        <f t="shared" si="7"/>
        <v>24.9700654407357+0.507036286020089i</v>
      </c>
      <c r="AA67" s="246" t="str">
        <f t="shared" si="8"/>
        <v>15.2245887057697-0.452727410358426i</v>
      </c>
      <c r="AB67" s="246">
        <f t="shared" si="18"/>
        <v>23.654749996061419</v>
      </c>
      <c r="AC67" s="246">
        <f t="shared" si="19"/>
        <v>-1.7032793909560155</v>
      </c>
      <c r="AD67" s="248">
        <f t="shared" si="20"/>
        <v>16.357989963891782</v>
      </c>
      <c r="AE67" s="248">
        <f t="shared" si="21"/>
        <v>93.523937708310697</v>
      </c>
      <c r="AF67" s="246">
        <f t="shared" si="9"/>
        <v>40.012739959953201</v>
      </c>
      <c r="AG67" s="246">
        <f t="shared" si="10"/>
        <v>91.820658317354685</v>
      </c>
      <c r="AH67" s="249" t="str">
        <f t="shared" si="22"/>
        <v>0.404139451169475-6.56262455818085i</v>
      </c>
    </row>
    <row r="68" spans="9:34" x14ac:dyDescent="0.2">
      <c r="I68" s="246">
        <v>64</v>
      </c>
      <c r="J68" s="246">
        <f t="shared" ref="J68:J131" si="25">1+I68*(LOG(fsw)-1)/500</f>
        <v>1.6240078417141377</v>
      </c>
      <c r="K68" s="246">
        <f t="shared" si="23"/>
        <v>42.073422518309876</v>
      </c>
      <c r="L68" s="246">
        <f t="shared" si="11"/>
        <v>264.35511018980338</v>
      </c>
      <c r="M68" s="246">
        <f t="shared" ref="M68:M131" si="26">SQRT((Fco_target-K69)^2)</f>
        <v>8775.3968074544191</v>
      </c>
      <c r="N68" s="246">
        <f>SQRT((ABS(AC68)-171.5+'Small Signal'!C$59)^2)</f>
        <v>99.758069112745204</v>
      </c>
      <c r="O68" s="246">
        <f t="shared" si="12"/>
        <v>91.831742189281144</v>
      </c>
      <c r="P68" s="246">
        <f t="shared" si="13"/>
        <v>39.818107677641486</v>
      </c>
      <c r="Q68" s="246">
        <f t="shared" si="14"/>
        <v>42.073422518309876</v>
      </c>
      <c r="R68" s="246" t="str">
        <f t="shared" ref="R68:R131" si="27">IMSUM(COMPLEX(DCRss,Lss*L68),COMPLEX(Rdsonss,0),COMPLEX(40/3*Risense,0))</f>
        <v>0.161233333333333+0.00124246901789208i</v>
      </c>
      <c r="S68" s="246" t="str">
        <f t="shared" ref="S68:S131" si="28">IMSUM(COMPLEX(ESRss,0),IMDIV(COMPLEX(1,0),COMPLEX(0,L68*Cbulkss)))</f>
        <v>0.025-402.424521496947i</v>
      </c>
      <c r="T68" s="246" t="str">
        <f t="shared" ref="T68:T131" si="29">IMDIV(IMPRODUCT(S68,COMPLEX(Ross,0)),IMSUM(S68,COMPLEX(Ross,0)))</f>
        <v>23.9148525078049-1.42624094914745i</v>
      </c>
      <c r="U68" s="246" t="str">
        <f t="shared" ref="U68:U131" si="30">IMPRODUCT(COMPLEX(Vinss,0),COMPLEX(M^2,0),IMDIV(IMSUB(COMPLEX(1,0),IMDIV(IMPRODUCT(R68,COMPLEX(M^2,0)),COMPLEX(Ross,0))),IMSUM(COMPLEX(1,0),IMDIV(IMPRODUCT(R68,COMPLEX(M^2,0)),T68))))</f>
        <v>84.315039237148-0.880127875430998i</v>
      </c>
      <c r="V68" s="246">
        <f t="shared" si="16"/>
        <v>38.51857412620955</v>
      </c>
      <c r="W68" s="246">
        <f t="shared" si="17"/>
        <v>-0.5980639003255942</v>
      </c>
      <c r="X68" s="246" t="str">
        <f t="shared" ref="X68:X131" si="31">IMSUM(COMPLEX(1,L68/(wn*q0)),IMPOWER(COMPLEX(0,L68/wn),2))</f>
        <v>0.999999987412104-0.0000198459866199817i</v>
      </c>
      <c r="Y68" s="246" t="str">
        <f t="shared" ref="Y68:Y131" si="32">IMPRODUCT(COMPLEX(2*Ioutss*M^2,0),IMDIV(IMSUM(COMPLEX(1,0),IMDIV(COMPLEX(Ross,0),IMPRODUCT(COMPLEX(2,0),S68))),IMSUM(COMPLEX(1,0),IMDIV(IMPRODUCT(R68,COMPLEX(M^2,0)),T68))))</f>
        <v>39.913568227517+0.829658479213855i</v>
      </c>
      <c r="Z68" s="246" t="str">
        <f t="shared" ref="Z68:Z131" si="33">IMPRODUCT(COMPLEX(Fm*40/3*Risense,0),Y68,X68)</f>
        <v>24.9703406285283+0.51854714079651i</v>
      </c>
      <c r="AA68" s="246" t="str">
        <f t="shared" ref="AA68:AA131" si="34">IMDIV(IMPRODUCT(COMPLEX(Fm,0),U68),IMSUM(COMPLEX(1,0),Z68))</f>
        <v>15.2239996658855-0.462989230845149i</v>
      </c>
      <c r="AB68" s="246">
        <f t="shared" si="18"/>
        <v>23.654590150876984</v>
      </c>
      <c r="AC68" s="246">
        <f t="shared" si="19"/>
        <v>-1.7419308872547958</v>
      </c>
      <c r="AD68" s="248">
        <f t="shared" si="20"/>
        <v>16.163517526764501</v>
      </c>
      <c r="AE68" s="248">
        <f t="shared" si="21"/>
        <v>93.57367307653594</v>
      </c>
      <c r="AF68" s="246">
        <f t="shared" ref="AF68:AF131" si="35">AD68+AB68</f>
        <v>39.818107677641486</v>
      </c>
      <c r="AG68" s="246">
        <f t="shared" ref="AG68:AG131" si="36">AE68+AC68</f>
        <v>91.831742189281144</v>
      </c>
      <c r="AH68" s="249" t="str">
        <f t="shared" ref="AH68:AH131" si="37">IMDIV(IMPRODUCT(COMPLEX(gea*Rea*Rslss/(Rslss+Rshss),0),COMPLEX(1,L68*Ccompss*Rcompss),COMPLEX(1,k_3*L68*Cffss*Rshss)),IMPRODUCT(COMPLEX(1,L68*Rea*Ccompss),COMPLEX(1,L68*Rcompss*Chfss),COMPLEX(1,k_3*L68*Rffss*Cffss)))</f>
        <v>0.400761909793583-6.41697810742111i</v>
      </c>
    </row>
    <row r="69" spans="9:34" x14ac:dyDescent="0.2">
      <c r="I69" s="246">
        <v>65</v>
      </c>
      <c r="J69" s="246">
        <f t="shared" si="25"/>
        <v>1.633757964240921</v>
      </c>
      <c r="K69" s="246">
        <f t="shared" si="23"/>
        <v>43.02867414439217</v>
      </c>
      <c r="L69" s="246">
        <f t="shared" ref="L69:L132" si="38">2*PI()*K69</f>
        <v>270.35713317146303</v>
      </c>
      <c r="M69" s="246">
        <f t="shared" si="26"/>
        <v>8774.4198674175896</v>
      </c>
      <c r="N69" s="246">
        <f>SQRT((ABS(AC69)-171.5+'Small Signal'!C$59)^2)</f>
        <v>99.718541480170131</v>
      </c>
      <c r="O69" s="246">
        <f t="shared" ref="O69:O132" si="39">ABS(AG69)</f>
        <v>91.843740648028884</v>
      </c>
      <c r="P69" s="246">
        <f t="shared" ref="P69:P132" si="40">ABS(AF69)</f>
        <v>39.623489985026922</v>
      </c>
      <c r="Q69" s="246">
        <f t="shared" ref="Q69:Q132" si="41">K69</f>
        <v>43.02867414439217</v>
      </c>
      <c r="R69" s="246" t="str">
        <f t="shared" si="27"/>
        <v>0.161233333333333+0.00127067852590588i</v>
      </c>
      <c r="S69" s="246" t="str">
        <f t="shared" si="28"/>
        <v>0.025-393.490556270751i</v>
      </c>
      <c r="T69" s="246" t="str">
        <f t="shared" si="29"/>
        <v>23.9109566934808-1.45838502453415i</v>
      </c>
      <c r="U69" s="246" t="str">
        <f t="shared" si="30"/>
        <v>84.3149109649454-0.900112003628182i</v>
      </c>
      <c r="V69" s="246">
        <f t="shared" ref="V69:V132" si="42">20*LOG(IMABS(U69))</f>
        <v>38.518582644968831</v>
      </c>
      <c r="W69" s="246">
        <f t="shared" ref="W69:W132" si="43">IF(DEGREES(IMARGUMENT(U69))&gt;0,DEGREES(IMARGUMENT(U69))-360, DEGREES(IMARGUMENT(U69)))</f>
        <v>-0.61164341188237958</v>
      </c>
      <c r="X69" s="246" t="str">
        <f t="shared" si="31"/>
        <v>0.999999986834014-0.0000202965777498498i</v>
      </c>
      <c r="Y69" s="246" t="str">
        <f t="shared" si="32"/>
        <v>39.9140275673846+0.848493506575849i</v>
      </c>
      <c r="Z69" s="246" t="str">
        <f t="shared" si="33"/>
        <v>24.9706284547795+0.530319266088152i</v>
      </c>
      <c r="AA69" s="246" t="str">
        <f t="shared" si="34"/>
        <v>15.2233836212701-0.473482851036603i</v>
      </c>
      <c r="AB69" s="246">
        <f t="shared" ref="AB69:AB132" si="44">20*LOG(IMABS(AA69))</f>
        <v>23.654422971242258</v>
      </c>
      <c r="AC69" s="246">
        <f t="shared" ref="AC69:AC132" si="45">IF(DEGREES(IMARGUMENT(AA69))&gt;0,DEGREES(IMARGUMENT(AA69))-360, DEGREES(IMARGUMENT(AA69)))</f>
        <v>-1.7814585198298696</v>
      </c>
      <c r="AD69" s="248">
        <f t="shared" ref="AD69:AD132" si="46">20*LOG(IMABS(AH69))</f>
        <v>15.969067013784661</v>
      </c>
      <c r="AE69" s="248">
        <f t="shared" ref="AE69:AE132" si="47">180+DEGREES(IMARGUMENT(AH69))</f>
        <v>93.625199167858753</v>
      </c>
      <c r="AF69" s="246">
        <f t="shared" si="35"/>
        <v>39.623489985026922</v>
      </c>
      <c r="AG69" s="246">
        <f t="shared" si="36"/>
        <v>91.843740648028884</v>
      </c>
      <c r="AH69" s="249" t="str">
        <f t="shared" si="37"/>
        <v>0.39753263052413-6.27456270540996i</v>
      </c>
    </row>
    <row r="70" spans="9:34" x14ac:dyDescent="0.2">
      <c r="I70" s="246">
        <v>66</v>
      </c>
      <c r="J70" s="246">
        <f t="shared" si="25"/>
        <v>1.6435080867677043</v>
      </c>
      <c r="K70" s="246">
        <f t="shared" si="23"/>
        <v>44.005614181222008</v>
      </c>
      <c r="L70" s="246">
        <f t="shared" si="38"/>
        <v>276.49542845686773</v>
      </c>
      <c r="M70" s="246">
        <f t="shared" si="26"/>
        <v>8773.4207465477557</v>
      </c>
      <c r="N70" s="246">
        <f>SQRT((ABS(AC70)-171.5+'Small Signal'!C$59)^2)</f>
        <v>99.678117918170045</v>
      </c>
      <c r="O70" s="246">
        <f t="shared" si="39"/>
        <v>91.856659153542452</v>
      </c>
      <c r="P70" s="246">
        <f t="shared" si="40"/>
        <v>39.428887650195925</v>
      </c>
      <c r="Q70" s="246">
        <f t="shared" si="41"/>
        <v>44.005614181222008</v>
      </c>
      <c r="R70" s="246" t="str">
        <f t="shared" si="27"/>
        <v>0.161233333333333+0.00129952851374728i</v>
      </c>
      <c r="S70" s="246" t="str">
        <f t="shared" si="28"/>
        <v>0.025-384.754928199471i</v>
      </c>
      <c r="T70" s="246" t="str">
        <f t="shared" si="29"/>
        <v>23.906883325933-1.49124242434156i</v>
      </c>
      <c r="U70" s="246" t="str">
        <f t="shared" si="30"/>
        <v>84.3147767999707-0.92054995389594i</v>
      </c>
      <c r="V70" s="246">
        <f t="shared" si="42"/>
        <v>38.518591554887557</v>
      </c>
      <c r="W70" s="246">
        <f t="shared" si="43"/>
        <v>-0.62553129602219448</v>
      </c>
      <c r="X70" s="246" t="str">
        <f t="shared" si="31"/>
        <v>0.999999986229375-0.000020757399278952i</v>
      </c>
      <c r="Y70" s="246" t="str">
        <f t="shared" si="32"/>
        <v>39.914508003258+0.867756041756624i</v>
      </c>
      <c r="Z70" s="246" t="str">
        <f t="shared" si="33"/>
        <v>24.9709294999628+0.542358588553857i</v>
      </c>
      <c r="AA70" s="246" t="str">
        <f t="shared" si="34"/>
        <v>15.2227393361137-0.484213451148431i</v>
      </c>
      <c r="AB70" s="246">
        <f t="shared" si="44"/>
        <v>23.654248120921466</v>
      </c>
      <c r="AC70" s="246">
        <f t="shared" si="45"/>
        <v>-1.821882081829965</v>
      </c>
      <c r="AD70" s="248">
        <f t="shared" si="46"/>
        <v>15.774639529274461</v>
      </c>
      <c r="AE70" s="248">
        <f t="shared" si="47"/>
        <v>93.678541235372421</v>
      </c>
      <c r="AF70" s="246">
        <f t="shared" si="35"/>
        <v>39.428887650195925</v>
      </c>
      <c r="AG70" s="246">
        <f t="shared" si="36"/>
        <v>91.856659153542452</v>
      </c>
      <c r="AH70" s="249" t="str">
        <f t="shared" si="37"/>
        <v>0.394445106748746-6.13530678972338i</v>
      </c>
    </row>
    <row r="71" spans="9:34" x14ac:dyDescent="0.2">
      <c r="I71" s="246">
        <v>67</v>
      </c>
      <c r="J71" s="246">
        <f t="shared" si="25"/>
        <v>1.6532582092944879</v>
      </c>
      <c r="K71" s="246">
        <f t="shared" si="23"/>
        <v>45.004735051055434</v>
      </c>
      <c r="L71" s="246">
        <f t="shared" si="38"/>
        <v>282.77309002630165</v>
      </c>
      <c r="M71" s="246">
        <f t="shared" si="26"/>
        <v>8772.3989412425126</v>
      </c>
      <c r="N71" s="246">
        <f>SQRT((ABS(AC71)-171.5+'Small Signal'!C$59)^2)</f>
        <v>99.636778191087984</v>
      </c>
      <c r="O71" s="246">
        <f t="shared" si="39"/>
        <v>91.870503587811839</v>
      </c>
      <c r="P71" s="246">
        <f t="shared" si="40"/>
        <v>39.234301471481089</v>
      </c>
      <c r="Q71" s="246">
        <f t="shared" si="41"/>
        <v>45.004735051055434</v>
      </c>
      <c r="R71" s="246" t="str">
        <f t="shared" si="27"/>
        <v>0.161233333333333+0.00132903352312362i</v>
      </c>
      <c r="S71" s="246" t="str">
        <f t="shared" si="28"/>
        <v>0.025-376.213234128852i</v>
      </c>
      <c r="T71" s="246" t="str">
        <f t="shared" si="29"/>
        <v>23.9026243781081-1.52482820550531i</v>
      </c>
      <c r="U71" s="246" t="str">
        <f t="shared" si="30"/>
        <v>84.3146364714205-0.941452036574187i</v>
      </c>
      <c r="V71" s="246">
        <f t="shared" si="42"/>
        <v>38.518600873924207</v>
      </c>
      <c r="W71" s="246">
        <f t="shared" si="43"/>
        <v>-0.63973455819781111</v>
      </c>
      <c r="X71" s="246" t="str">
        <f t="shared" si="31"/>
        <v>0.999999985596969-0.0000212286834823189i</v>
      </c>
      <c r="Y71" s="246" t="str">
        <f t="shared" si="32"/>
        <v>39.9150105040651+0.88745578199641i</v>
      </c>
      <c r="Z71" s="246" t="str">
        <f t="shared" si="33"/>
        <v>24.9712443712162+0.554671169042126i</v>
      </c>
      <c r="AA71" s="246" t="str">
        <f t="shared" si="34"/>
        <v>15.2220655182623-0.495186323270562i</v>
      </c>
      <c r="AB71" s="246">
        <f t="shared" si="44"/>
        <v>23.654065248293364</v>
      </c>
      <c r="AC71" s="246">
        <f t="shared" si="45"/>
        <v>-1.8632218089120232</v>
      </c>
      <c r="AD71" s="248">
        <f t="shared" si="46"/>
        <v>15.580236223187727</v>
      </c>
      <c r="AE71" s="248">
        <f t="shared" si="47"/>
        <v>93.733725396723869</v>
      </c>
      <c r="AF71" s="246">
        <f t="shared" si="35"/>
        <v>39.234301471481089</v>
      </c>
      <c r="AG71" s="246">
        <f t="shared" si="36"/>
        <v>91.870503587811839</v>
      </c>
      <c r="AH71" s="249" t="str">
        <f t="shared" si="37"/>
        <v>0.391493117264649-5.99914037604609i</v>
      </c>
    </row>
    <row r="72" spans="9:34" x14ac:dyDescent="0.2">
      <c r="I72" s="246">
        <v>68</v>
      </c>
      <c r="J72" s="246">
        <f t="shared" si="25"/>
        <v>1.6630083318212712</v>
      </c>
      <c r="K72" s="246">
        <f t="shared" ref="K72:K135" si="48">10^(J72)</f>
        <v>46.026540356298057</v>
      </c>
      <c r="L72" s="246">
        <f t="shared" si="38"/>
        <v>289.19328210700024</v>
      </c>
      <c r="M72" s="246">
        <f t="shared" si="26"/>
        <v>8771.353936465468</v>
      </c>
      <c r="N72" s="246">
        <f>SQRT((ABS(AC72)-171.5+'Small Signal'!C$59)^2)</f>
        <v>99.594501611189742</v>
      </c>
      <c r="O72" s="246">
        <f t="shared" si="39"/>
        <v>91.885280255030125</v>
      </c>
      <c r="P72" s="246">
        <f t="shared" si="40"/>
        <v>39.039732279003189</v>
      </c>
      <c r="Q72" s="246">
        <f t="shared" si="41"/>
        <v>46.026540356298057</v>
      </c>
      <c r="R72" s="246" t="str">
        <f t="shared" si="27"/>
        <v>0.161233333333333+0.0013592084259029i</v>
      </c>
      <c r="S72" s="246" t="str">
        <f t="shared" si="28"/>
        <v>0.025-367.861168656204i</v>
      </c>
      <c r="T72" s="246" t="str">
        <f t="shared" si="29"/>
        <v>23.8981714661345-1.55915768867117i</v>
      </c>
      <c r="U72" s="246" t="str">
        <f t="shared" si="30"/>
        <v>84.3144896960335-0.962828796551404i</v>
      </c>
      <c r="V72" s="246">
        <f t="shared" si="42"/>
        <v>38.51861062086104</v>
      </c>
      <c r="W72" s="246">
        <f t="shared" si="43"/>
        <v>-0.6542603631980215</v>
      </c>
      <c r="X72" s="246" t="str">
        <f t="shared" si="31"/>
        <v>0.999999984935521-0.0000217106679086451i</v>
      </c>
      <c r="Y72" s="246" t="str">
        <f t="shared" si="32"/>
        <v>39.9155360832394+0.907602644073425i</v>
      </c>
      <c r="Z72" s="246" t="str">
        <f t="shared" si="33"/>
        <v>24.9715737035651+0.567263205611908i</v>
      </c>
      <c r="AA72" s="246" t="str">
        <f t="shared" si="34"/>
        <v>15.2213608166681-0.506406873509689i</v>
      </c>
      <c r="AB72" s="246">
        <f t="shared" si="44"/>
        <v>23.653873985649717</v>
      </c>
      <c r="AC72" s="246">
        <f t="shared" si="45"/>
        <v>-1.9054983888102461</v>
      </c>
      <c r="AD72" s="248">
        <f t="shared" si="46"/>
        <v>15.385858293353476</v>
      </c>
      <c r="AE72" s="248">
        <f t="shared" si="47"/>
        <v>93.790778643840369</v>
      </c>
      <c r="AF72" s="246">
        <f t="shared" si="35"/>
        <v>39.039732279003189</v>
      </c>
      <c r="AG72" s="246">
        <f t="shared" si="36"/>
        <v>91.885280255030125</v>
      </c>
      <c r="AH72" s="249" t="str">
        <f t="shared" si="37"/>
        <v>0.388670713771003-5.86599502383472i</v>
      </c>
    </row>
    <row r="73" spans="9:34" x14ac:dyDescent="0.2">
      <c r="I73" s="246">
        <v>69</v>
      </c>
      <c r="J73" s="246">
        <f t="shared" si="25"/>
        <v>1.6727584543480547</v>
      </c>
      <c r="K73" s="246">
        <f t="shared" si="48"/>
        <v>47.071545133343776</v>
      </c>
      <c r="L73" s="246">
        <f t="shared" si="38"/>
        <v>295.75924076806638</v>
      </c>
      <c r="M73" s="246">
        <f t="shared" si="26"/>
        <v>8770.2852054866344</v>
      </c>
      <c r="N73" s="246">
        <f>SQRT((ABS(AC73)-171.5+'Small Signal'!C$59)^2)</f>
        <v>99.551267028910843</v>
      </c>
      <c r="O73" s="246">
        <f t="shared" si="39"/>
        <v>91.900995881768566</v>
      </c>
      <c r="P73" s="246">
        <f t="shared" si="40"/>
        <v>38.845180936270779</v>
      </c>
      <c r="Q73" s="246">
        <f t="shared" si="41"/>
        <v>47.071545133343776</v>
      </c>
      <c r="R73" s="246" t="str">
        <f t="shared" si="27"/>
        <v>0.161233333333333+0.00139006843160991i</v>
      </c>
      <c r="S73" s="246" t="str">
        <f t="shared" si="28"/>
        <v>0.025-359.694521960278i</v>
      </c>
      <c r="T73" s="246" t="str">
        <f t="shared" si="29"/>
        <v>23.8935158340311-1.59424645887691i</v>
      </c>
      <c r="U73" s="246" t="str">
        <f t="shared" si="30"/>
        <v>84.314336177523-0.984691018621931i</v>
      </c>
      <c r="V73" s="246">
        <f t="shared" si="42"/>
        <v>38.51862081534253</v>
      </c>
      <c r="W73" s="246">
        <f t="shared" si="43"/>
        <v>-0.66911603878488257</v>
      </c>
      <c r="X73" s="246" t="str">
        <f t="shared" si="31"/>
        <v>0.999999984243695-0.0000222035955000252i</v>
      </c>
      <c r="Y73" s="246" t="str">
        <f t="shared" si="32"/>
        <v>39.9160858007687+0.928206769244295i</v>
      </c>
      <c r="Z73" s="246" t="str">
        <f t="shared" si="33"/>
        <v>24.9719181612062+0.580141036620167i</v>
      </c>
      <c r="AA73" s="246" t="str">
        <f t="shared" si="34"/>
        <v>15.2206238187263-0.517880624152918i</v>
      </c>
      <c r="AB73" s="246">
        <f t="shared" si="44"/>
        <v>23.653673948461925</v>
      </c>
      <c r="AC73" s="246">
        <f t="shared" si="45"/>
        <v>-1.9487329710891452</v>
      </c>
      <c r="AD73" s="248">
        <f t="shared" si="46"/>
        <v>15.191506987808856</v>
      </c>
      <c r="AE73" s="248">
        <f t="shared" si="47"/>
        <v>93.849728852857709</v>
      </c>
      <c r="AF73" s="246">
        <f t="shared" si="35"/>
        <v>38.845180936270779</v>
      </c>
      <c r="AG73" s="246">
        <f t="shared" si="36"/>
        <v>91.900995881768566</v>
      </c>
      <c r="AH73" s="249" t="str">
        <f t="shared" si="37"/>
        <v>0.385972208908421-5.73580380269791i</v>
      </c>
    </row>
    <row r="74" spans="9:34" x14ac:dyDescent="0.2">
      <c r="I74" s="246">
        <v>70</v>
      </c>
      <c r="J74" s="246">
        <f t="shared" si="25"/>
        <v>1.682508576874838</v>
      </c>
      <c r="K74" s="246">
        <f t="shared" si="48"/>
        <v>48.140276112176416</v>
      </c>
      <c r="L74" s="246">
        <f t="shared" si="38"/>
        <v>302.47427555159527</v>
      </c>
      <c r="M74" s="246">
        <f t="shared" si="26"/>
        <v>8769.1922096169455</v>
      </c>
      <c r="N74" s="246">
        <f>SQRT((ABS(AC74)-171.5+'Small Signal'!C$59)^2)</f>
        <v>99.507052822917217</v>
      </c>
      <c r="O74" s="246">
        <f t="shared" si="39"/>
        <v>91.917657617155115</v>
      </c>
      <c r="P74" s="246">
        <f t="shared" si="40"/>
        <v>38.650648341841006</v>
      </c>
      <c r="Q74" s="246">
        <f t="shared" si="41"/>
        <v>48.140276112176416</v>
      </c>
      <c r="R74" s="246" t="str">
        <f t="shared" si="27"/>
        <v>0.161233333333333+0.0014216290950925i</v>
      </c>
      <c r="S74" s="246" t="str">
        <f t="shared" si="28"/>
        <v>0.025-351.709177679335i</v>
      </c>
      <c r="T74" s="246" t="str">
        <f t="shared" si="29"/>
        <v>23.888648337814-1.6301103658964i</v>
      </c>
      <c r="U74" s="246" t="str">
        <f t="shared" si="30"/>
        <v>84.3141756059756-1.00704973296702i</v>
      </c>
      <c r="V74" s="246">
        <f t="shared" si="42"/>
        <v>38.518631477914795</v>
      </c>
      <c r="W74" s="246">
        <f t="shared" si="43"/>
        <v>-0.68430907941489627</v>
      </c>
      <c r="X74" s="246" t="str">
        <f t="shared" si="31"/>
        <v>0.999999983520098-0.0000227077147144067i</v>
      </c>
      <c r="Y74" s="246" t="str">
        <f t="shared" si="32"/>
        <v>39.9166607653316+0.949278528293548i</v>
      </c>
      <c r="Z74" s="246" t="str">
        <f t="shared" si="33"/>
        <v>24.9722784388462+0.593311143877617i</v>
      </c>
      <c r="AA74" s="246" t="str">
        <f t="shared" si="34"/>
        <v>15.2198530474948-0.529613215851312i</v>
      </c>
      <c r="AB74" s="246">
        <f t="shared" si="44"/>
        <v>23.653464734615312</v>
      </c>
      <c r="AC74" s="246">
        <f t="shared" si="45"/>
        <v>-1.9929471770827729</v>
      </c>
      <c r="AD74" s="248">
        <f t="shared" si="46"/>
        <v>14.997183607225695</v>
      </c>
      <c r="AE74" s="248">
        <f t="shared" si="47"/>
        <v>93.910604794237884</v>
      </c>
      <c r="AF74" s="246">
        <f t="shared" si="35"/>
        <v>38.650648341841006</v>
      </c>
      <c r="AG74" s="246">
        <f t="shared" si="36"/>
        <v>91.917657617155115</v>
      </c>
      <c r="AH74" s="249" t="str">
        <f t="shared" si="37"/>
        <v>0.3833921648217-5.60850125948056i</v>
      </c>
    </row>
    <row r="75" spans="9:34" x14ac:dyDescent="0.2">
      <c r="I75" s="246">
        <v>71</v>
      </c>
      <c r="J75" s="246">
        <f t="shared" si="25"/>
        <v>1.6922586994016213</v>
      </c>
      <c r="K75" s="246">
        <f t="shared" si="48"/>
        <v>49.233271981865734</v>
      </c>
      <c r="L75" s="246">
        <f t="shared" si="38"/>
        <v>309.34177114083519</v>
      </c>
      <c r="M75" s="246">
        <f t="shared" si="26"/>
        <v>8768.0743979367198</v>
      </c>
      <c r="N75" s="246">
        <f>SQRT((ABS(AC75)-171.5+'Small Signal'!C$59)^2)</f>
        <v>99.461836889978258</v>
      </c>
      <c r="O75" s="246">
        <f t="shared" si="39"/>
        <v>91.935273033043345</v>
      </c>
      <c r="P75" s="246">
        <f t="shared" si="40"/>
        <v>38.456135431042952</v>
      </c>
      <c r="Q75" s="246">
        <f t="shared" si="41"/>
        <v>49.233271981865734</v>
      </c>
      <c r="R75" s="246" t="str">
        <f t="shared" si="27"/>
        <v>0.161233333333333+0.00145390632436193i</v>
      </c>
      <c r="S75" s="246" t="str">
        <f t="shared" si="28"/>
        <v>0.025-343.901110836308i</v>
      </c>
      <c r="T75" s="246" t="str">
        <f t="shared" si="29"/>
        <v>23.8835594289827-1.66676552421532i</v>
      </c>
      <c r="U75" s="246" t="str">
        <f t="shared" si="30"/>
        <v>84.3140076572208-1.02991622076269i</v>
      </c>
      <c r="V75" s="246">
        <f t="shared" si="42"/>
        <v>38.518642630066623</v>
      </c>
      <c r="W75" s="246">
        <f t="shared" si="43"/>
        <v>-0.69984715004613796</v>
      </c>
      <c r="X75" s="246" t="str">
        <f t="shared" si="31"/>
        <v>0.999999982763271-0.000023223279650825i</v>
      </c>
      <c r="Y75" s="246" t="str">
        <f t="shared" si="32"/>
        <v>39.9172621365347+0.970828526694477i</v>
      </c>
      <c r="Z75" s="246" t="str">
        <f t="shared" si="33"/>
        <v>24.9726552631036+0.606780155874034i</v>
      </c>
      <c r="AA75" s="246" t="str">
        <f t="shared" si="34"/>
        <v>15.2190469587891-0.541610409821643i</v>
      </c>
      <c r="AB75" s="246">
        <f t="shared" si="44"/>
        <v>23.653245923608029</v>
      </c>
      <c r="AC75" s="246">
        <f t="shared" si="45"/>
        <v>-2.0381631100217472</v>
      </c>
      <c r="AD75" s="248">
        <f t="shared" si="46"/>
        <v>14.802889507434919</v>
      </c>
      <c r="AE75" s="248">
        <f t="shared" si="47"/>
        <v>93.973436143065086</v>
      </c>
      <c r="AF75" s="246">
        <f t="shared" si="35"/>
        <v>38.456135431042952</v>
      </c>
      <c r="AG75" s="246">
        <f t="shared" si="36"/>
        <v>91.935273033043345</v>
      </c>
      <c r="AH75" s="249" t="str">
        <f t="shared" si="37"/>
        <v>0.380925382223033-5.48402338603933i</v>
      </c>
    </row>
    <row r="76" spans="9:34" x14ac:dyDescent="0.2">
      <c r="I76" s="246">
        <v>72</v>
      </c>
      <c r="J76" s="246">
        <f t="shared" si="25"/>
        <v>1.7020088219284049</v>
      </c>
      <c r="K76" s="246">
        <f t="shared" si="48"/>
        <v>50.351083662091241</v>
      </c>
      <c r="L76" s="246">
        <f t="shared" si="38"/>
        <v>316.36518906622183</v>
      </c>
      <c r="M76" s="246">
        <f t="shared" si="26"/>
        <v>8766.9312070179803</v>
      </c>
      <c r="N76" s="246">
        <f>SQRT((ABS(AC76)-171.5+'Small Signal'!C$59)^2)</f>
        <v>99.415596634650257</v>
      </c>
      <c r="O76" s="246">
        <f t="shared" si="39"/>
        <v>91.95385012415683</v>
      </c>
      <c r="P76" s="246">
        <f t="shared" si="40"/>
        <v>38.261643177767397</v>
      </c>
      <c r="Q76" s="246">
        <f t="shared" si="41"/>
        <v>50.351083662091241</v>
      </c>
      <c r="R76" s="246" t="str">
        <f t="shared" si="27"/>
        <v>0.161233333333333+0.00148691638861124i</v>
      </c>
      <c r="S76" s="246" t="str">
        <f t="shared" si="28"/>
        <v>0.025-336.266385810026i</v>
      </c>
      <c r="T76" s="246" t="str">
        <f t="shared" si="29"/>
        <v>23.878239137368-1.70422831260638i</v>
      </c>
      <c r="U76" s="246" t="str">
        <f t="shared" si="30"/>
        <v>84.3138319921763-1.05330201991753i</v>
      </c>
      <c r="V76" s="246">
        <f t="shared" si="42"/>
        <v>38.518654294272977</v>
      </c>
      <c r="W76" s="246">
        <f t="shared" si="43"/>
        <v>-0.71573809003340494</v>
      </c>
      <c r="X76" s="246" t="str">
        <f t="shared" si="31"/>
        <v>0.999999981971686-0.0000237505501774801i</v>
      </c>
      <c r="Y76" s="246" t="str">
        <f t="shared" si="32"/>
        <v>39.9178911272531+0.992867609883645i</v>
      </c>
      <c r="Z76" s="246" t="str">
        <f t="shared" si="33"/>
        <v>24.9730493939753+0.620554851074578i</v>
      </c>
      <c r="AA76" s="246" t="str">
        <f t="shared" si="34"/>
        <v>15.2182039381495-0.553878090064706i</v>
      </c>
      <c r="AB76" s="246">
        <f t="shared" si="44"/>
        <v>23.653017075714352</v>
      </c>
      <c r="AC76" s="246">
        <f t="shared" si="45"/>
        <v>-2.0844033653497456</v>
      </c>
      <c r="AD76" s="248">
        <f t="shared" si="46"/>
        <v>14.608626102053041</v>
      </c>
      <c r="AE76" s="248">
        <f t="shared" si="47"/>
        <v>94.038253489506573</v>
      </c>
      <c r="AF76" s="246">
        <f t="shared" si="35"/>
        <v>38.261643177767397</v>
      </c>
      <c r="AG76" s="246">
        <f t="shared" si="36"/>
        <v>91.95385012415683</v>
      </c>
      <c r="AH76" s="249" t="str">
        <f t="shared" si="37"/>
        <v>0.378566889933837-5.36230758769658i</v>
      </c>
    </row>
    <row r="77" spans="9:34" x14ac:dyDescent="0.2">
      <c r="I77" s="246">
        <v>73</v>
      </c>
      <c r="J77" s="246">
        <f t="shared" si="25"/>
        <v>1.7117589444551882</v>
      </c>
      <c r="K77" s="246">
        <f t="shared" si="48"/>
        <v>51.494274580830655</v>
      </c>
      <c r="L77" s="246">
        <f t="shared" si="38"/>
        <v>323.54806945014644</v>
      </c>
      <c r="M77" s="246">
        <f t="shared" si="26"/>
        <v>8765.762060640458</v>
      </c>
      <c r="N77" s="246">
        <f>SQRT((ABS(AC77)-171.5+'Small Signal'!C$59)^2)</f>
        <v>99.368308958768978</v>
      </c>
      <c r="O77" s="246">
        <f t="shared" si="39"/>
        <v>91.97339730819364</v>
      </c>
      <c r="P77" s="246">
        <f t="shared" si="40"/>
        <v>38.067172596324539</v>
      </c>
      <c r="Q77" s="246">
        <f t="shared" si="41"/>
        <v>51.494274580830655</v>
      </c>
      <c r="R77" s="246" t="str">
        <f t="shared" si="27"/>
        <v>0.161233333333333+0.00152067592641569i</v>
      </c>
      <c r="S77" s="246" t="str">
        <f t="shared" si="28"/>
        <v>0.025-328.80115435149i</v>
      </c>
      <c r="T77" s="246" t="str">
        <f t="shared" si="29"/>
        <v>23.8726770533231-1.74251537326907i</v>
      </c>
      <c r="U77" s="246" t="str">
        <f t="shared" si="30"/>
        <v>84.3136482561619-1.07721893094343i</v>
      </c>
      <c r="V77" s="246">
        <f t="shared" si="42"/>
        <v>38.518666494040282</v>
      </c>
      <c r="W77" s="246">
        <f t="shared" si="43"/>
        <v>-0.73198991711343642</v>
      </c>
      <c r="X77" s="246" t="str">
        <f t="shared" si="31"/>
        <v>0.999999981143749-0.0000242897920627229i</v>
      </c>
      <c r="Y77" s="246" t="str">
        <f t="shared" si="32"/>
        <v>39.9185490060796+1.01540686865139i</v>
      </c>
      <c r="Z77" s="246" t="str">
        <f t="shared" si="33"/>
        <v>24.9734616263714+0.6346421612886i</v>
      </c>
      <c r="AA77" s="246" t="str">
        <f t="shared" si="34"/>
        <v>15.2173222976727-0.566422265598214i</v>
      </c>
      <c r="AB77" s="246">
        <f t="shared" si="44"/>
        <v>23.652777731109488</v>
      </c>
      <c r="AC77" s="246">
        <f t="shared" si="45"/>
        <v>-2.1316910412310226</v>
      </c>
      <c r="AD77" s="248">
        <f t="shared" si="46"/>
        <v>14.41439486521505</v>
      </c>
      <c r="AE77" s="248">
        <f t="shared" si="47"/>
        <v>94.105088349424662</v>
      </c>
      <c r="AF77" s="246">
        <f t="shared" si="35"/>
        <v>38.067172596324539</v>
      </c>
      <c r="AG77" s="246">
        <f t="shared" si="36"/>
        <v>91.97339730819364</v>
      </c>
      <c r="AH77" s="249" t="str">
        <f t="shared" si="37"/>
        <v>0.376311934884324-5.24329265236002i</v>
      </c>
    </row>
    <row r="78" spans="9:34" x14ac:dyDescent="0.2">
      <c r="I78" s="246">
        <v>74</v>
      </c>
      <c r="J78" s="246">
        <f t="shared" si="25"/>
        <v>1.7215090669819717</v>
      </c>
      <c r="K78" s="246">
        <f t="shared" si="48"/>
        <v>52.663420958353441</v>
      </c>
      <c r="L78" s="246">
        <f t="shared" si="38"/>
        <v>330.89403279133984</v>
      </c>
      <c r="M78" s="246">
        <f t="shared" si="26"/>
        <v>8764.5663695011499</v>
      </c>
      <c r="N78" s="246">
        <f>SQRT((ABS(AC78)-171.5+'Small Signal'!C$59)^2)</f>
        <v>99.319950250749542</v>
      </c>
      <c r="O78" s="246">
        <f t="shared" si="39"/>
        <v>91.993923425873632</v>
      </c>
      <c r="P78" s="246">
        <f t="shared" si="40"/>
        <v>37.872724743374732</v>
      </c>
      <c r="Q78" s="246">
        <f t="shared" si="41"/>
        <v>52.663420958353441</v>
      </c>
      <c r="R78" s="246" t="str">
        <f t="shared" si="27"/>
        <v>0.161233333333333+0.0015552019541193i</v>
      </c>
      <c r="S78" s="246" t="str">
        <f t="shared" si="28"/>
        <v>0.025-321.501653644171i</v>
      </c>
      <c r="T78" s="246" t="str">
        <f t="shared" si="29"/>
        <v>23.8668623092385-1.7816436104973i</v>
      </c>
      <c r="U78" s="246" t="str">
        <f t="shared" si="30"/>
        <v>84.3134560781779-1.10167902296258i</v>
      </c>
      <c r="V78" s="246">
        <f t="shared" si="42"/>
        <v>38.518679253953465</v>
      </c>
      <c r="W78" s="246">
        <f t="shared" si="43"/>
        <v>-0.74861083148248386</v>
      </c>
      <c r="X78" s="246" t="str">
        <f t="shared" si="31"/>
        <v>0.999999980277789-0.0000248412771090135i</v>
      </c>
      <c r="Y78" s="246" t="str">
        <f t="shared" si="32"/>
        <v>39.9192370998825+1.03845764465072i</v>
      </c>
      <c r="Z78" s="246" t="str">
        <f t="shared" si="33"/>
        <v>24.9738927917177+0.649049175112414i</v>
      </c>
      <c r="AA78" s="246" t="str">
        <f t="shared" si="34"/>
        <v>15.2164002727055-0.579249072702323i</v>
      </c>
      <c r="AB78" s="246">
        <f t="shared" si="44"/>
        <v>23.652527408956068</v>
      </c>
      <c r="AC78" s="246">
        <f t="shared" si="45"/>
        <v>-2.1800497492504674</v>
      </c>
      <c r="AD78" s="248">
        <f t="shared" si="46"/>
        <v>14.220197334418668</v>
      </c>
      <c r="AE78" s="248">
        <f t="shared" si="47"/>
        <v>94.173973175124104</v>
      </c>
      <c r="AF78" s="246">
        <f t="shared" si="35"/>
        <v>37.872724743374732</v>
      </c>
      <c r="AG78" s="246">
        <f t="shared" si="36"/>
        <v>91.993923425873632</v>
      </c>
      <c r="AH78" s="249" t="str">
        <f t="shared" si="37"/>
        <v>0.374155972550856-5.12691872029576i</v>
      </c>
    </row>
    <row r="79" spans="9:34" x14ac:dyDescent="0.2">
      <c r="I79" s="246">
        <v>75</v>
      </c>
      <c r="J79" s="246">
        <f t="shared" si="25"/>
        <v>1.731259189508755</v>
      </c>
      <c r="K79" s="246">
        <f t="shared" si="48"/>
        <v>53.859112097661878</v>
      </c>
      <c r="L79" s="246">
        <f t="shared" si="38"/>
        <v>338.40678178976742</v>
      </c>
      <c r="M79" s="246">
        <f t="shared" si="26"/>
        <v>8763.3435309172855</v>
      </c>
      <c r="N79" s="246">
        <f>SQRT((ABS(AC79)-171.5+'Small Signal'!C$59)^2)</f>
        <v>99.270496374693153</v>
      </c>
      <c r="O79" s="246">
        <f t="shared" si="39"/>
        <v>92.01543774091202</v>
      </c>
      <c r="P79" s="246">
        <f t="shared" si="40"/>
        <v>37.678300719933048</v>
      </c>
      <c r="Q79" s="246">
        <f t="shared" si="41"/>
        <v>53.859112097661878</v>
      </c>
      <c r="R79" s="246" t="str">
        <f t="shared" si="27"/>
        <v>0.161233333333333+0.00159051187441191i</v>
      </c>
      <c r="S79" s="246" t="str">
        <f t="shared" si="28"/>
        <v>0.025-314.364204407387i</v>
      </c>
      <c r="T79" s="246" t="str">
        <f t="shared" si="29"/>
        <v>23.8607835603635-1.82163018883544i</v>
      </c>
      <c r="U79" s="246" t="str">
        <f t="shared" si="30"/>
        <v>84.3132550701555-1.12669463985384i</v>
      </c>
      <c r="V79" s="246">
        <f t="shared" si="42"/>
        <v>38.518692599725661</v>
      </c>
      <c r="W79" s="246">
        <f t="shared" si="43"/>
        <v>-0.76560921996824161</v>
      </c>
      <c r="X79" s="246" t="str">
        <f t="shared" si="31"/>
        <v>0.999999979372061-0.0000254052832899231i</v>
      </c>
      <c r="Y79" s="246" t="str">
        <f t="shared" si="32"/>
        <v>39.9199567964856+1.06203153602687i</v>
      </c>
      <c r="Z79" s="246" t="str">
        <f t="shared" si="33"/>
        <v>24.9743437596353+0.663783141447465i</v>
      </c>
      <c r="AA79" s="246" t="str">
        <f t="shared" si="34"/>
        <v>15.215436018391-0.592364777175196i</v>
      </c>
      <c r="AB79" s="246">
        <f t="shared" si="44"/>
        <v>23.652265606448516</v>
      </c>
      <c r="AC79" s="246">
        <f t="shared" si="45"/>
        <v>-2.229503625306847</v>
      </c>
      <c r="AD79" s="248">
        <f t="shared" si="46"/>
        <v>14.026035113484534</v>
      </c>
      <c r="AE79" s="248">
        <f t="shared" si="47"/>
        <v>94.244941366218868</v>
      </c>
      <c r="AF79" s="246">
        <f t="shared" si="35"/>
        <v>37.678300719933048</v>
      </c>
      <c r="AG79" s="246">
        <f t="shared" si="36"/>
        <v>92.01543774091202</v>
      </c>
      <c r="AH79" s="249" t="str">
        <f t="shared" si="37"/>
        <v>0.372094657811969-5.01312725454226i</v>
      </c>
    </row>
    <row r="80" spans="9:34" x14ac:dyDescent="0.2">
      <c r="I80" s="246">
        <v>76</v>
      </c>
      <c r="J80" s="246">
        <f t="shared" si="25"/>
        <v>1.7410093120355383</v>
      </c>
      <c r="K80" s="246">
        <f t="shared" si="48"/>
        <v>55.081950681526784</v>
      </c>
      <c r="L80" s="246">
        <f t="shared" si="38"/>
        <v>346.09010321295966</v>
      </c>
      <c r="M80" s="246">
        <f t="shared" si="26"/>
        <v>8762.0929285225448</v>
      </c>
      <c r="N80" s="246">
        <f>SQRT((ABS(AC80)-171.5+'Small Signal'!C$59)^2)</f>
        <v>99.219922659298817</v>
      </c>
      <c r="O80" s="246">
        <f t="shared" si="39"/>
        <v>92.037949939898326</v>
      </c>
      <c r="P80" s="246">
        <f t="shared" si="40"/>
        <v>37.48390167345179</v>
      </c>
      <c r="Q80" s="246">
        <f t="shared" si="41"/>
        <v>55.081950681526784</v>
      </c>
      <c r="R80" s="246" t="str">
        <f t="shared" si="27"/>
        <v>0.161233333333333+0.00162662348510091i</v>
      </c>
      <c r="S80" s="246" t="str">
        <f t="shared" si="28"/>
        <v>0.025-307.385209041773i</v>
      </c>
      <c r="T80" s="246" t="str">
        <f t="shared" si="29"/>
        <v>23.8544289649164-1.86249253068098i</v>
      </c>
      <c r="U80" s="246" t="str">
        <f t="shared" si="30"/>
        <v>84.313044826167-1.15227840654213i</v>
      </c>
      <c r="V80" s="246">
        <f t="shared" si="42"/>
        <v>38.518706558249654</v>
      </c>
      <c r="W80" s="246">
        <f t="shared" si="43"/>
        <v>-0.78299366029869122</v>
      </c>
      <c r="X80" s="246" t="str">
        <f t="shared" si="31"/>
        <v>0.999999978424738-0.0000259820948902444i</v>
      </c>
      <c r="Y80" s="246" t="str">
        <f t="shared" si="32"/>
        <v>39.9207095474665+1.08614040317021i</v>
      </c>
      <c r="Z80" s="246" t="str">
        <f t="shared" si="33"/>
        <v>24.9748154396936+0.678851473095566i</v>
      </c>
      <c r="AA80" s="246" t="str">
        <f t="shared" si="34"/>
        <v>15.2144276060644-0.605775776596421i</v>
      </c>
      <c r="AB80" s="246">
        <f t="shared" si="44"/>
        <v>23.651991797815327</v>
      </c>
      <c r="AC80" s="246">
        <f t="shared" si="45"/>
        <v>-2.2800773407011734</v>
      </c>
      <c r="AD80" s="248">
        <f t="shared" si="46"/>
        <v>13.831909875636462</v>
      </c>
      <c r="AE80" s="248">
        <f t="shared" si="47"/>
        <v>94.318027280599495</v>
      </c>
      <c r="AF80" s="246">
        <f t="shared" si="35"/>
        <v>37.48390167345179</v>
      </c>
      <c r="AG80" s="246">
        <f t="shared" si="36"/>
        <v>92.037949939898326</v>
      </c>
      <c r="AH80" s="249" t="str">
        <f t="shared" si="37"/>
        <v>0.370123836204749-4.9018610119525i</v>
      </c>
    </row>
    <row r="81" spans="9:34" x14ac:dyDescent="0.2">
      <c r="I81" s="246">
        <v>77</v>
      </c>
      <c r="J81" s="246">
        <f t="shared" si="25"/>
        <v>1.7507594345623216</v>
      </c>
      <c r="K81" s="246">
        <f t="shared" si="48"/>
        <v>56.332553076266926</v>
      </c>
      <c r="L81" s="246">
        <f t="shared" si="38"/>
        <v>353.94786980471457</v>
      </c>
      <c r="M81" s="246">
        <f t="shared" si="26"/>
        <v>8760.8139319563852</v>
      </c>
      <c r="N81" s="246">
        <f>SQRT((ABS(AC81)-171.5+'Small Signal'!C$59)^2)</f>
        <v>99.168203886580159</v>
      </c>
      <c r="O81" s="246">
        <f t="shared" si="39"/>
        <v>92.061470132062468</v>
      </c>
      <c r="P81" s="246">
        <f t="shared" si="40"/>
        <v>37.289528799984026</v>
      </c>
      <c r="Q81" s="246">
        <f t="shared" si="41"/>
        <v>56.332553076266926</v>
      </c>
      <c r="R81" s="246" t="str">
        <f t="shared" si="27"/>
        <v>0.161233333333333+0.00166355498808216i</v>
      </c>
      <c r="S81" s="246" t="str">
        <f t="shared" si="28"/>
        <v>0.025-300.56114981593i</v>
      </c>
      <c r="T81" s="246" t="str">
        <f t="shared" si="29"/>
        <v>23.8477861634653-1.90424831328922i</v>
      </c>
      <c r="U81" s="246" t="str">
        <f t="shared" si="30"/>
        <v>84.3128249216043-1.17844323543407i</v>
      </c>
      <c r="V81" s="246">
        <f t="shared" si="42"/>
        <v>38.518721157652116</v>
      </c>
      <c r="W81" s="246">
        <f t="shared" si="43"/>
        <v>-0.80077292546994117</v>
      </c>
      <c r="X81" s="246" t="str">
        <f t="shared" si="31"/>
        <v>0.999999977433909-0.0000265720026492846i</v>
      </c>
      <c r="Y81" s="246" t="str">
        <f t="shared" si="32"/>
        <v>39.9214968710905+1.11079637459473i</v>
      </c>
      <c r="Z81" s="246" t="str">
        <f t="shared" si="33"/>
        <v>24.975308783249+0.694261750432587i</v>
      </c>
      <c r="AA81" s="246" t="str">
        <f t="shared" si="34"/>
        <v>15.2133730194886-0.619488602595063i</v>
      </c>
      <c r="AB81" s="246">
        <f t="shared" si="44"/>
        <v>23.651705433275389</v>
      </c>
      <c r="AC81" s="246">
        <f t="shared" si="45"/>
        <v>-2.3317961134198457</v>
      </c>
      <c r="AD81" s="248">
        <f t="shared" si="46"/>
        <v>13.637823366708639</v>
      </c>
      <c r="AE81" s="248">
        <f t="shared" si="47"/>
        <v>94.393266245482309</v>
      </c>
      <c r="AF81" s="246">
        <f t="shared" si="35"/>
        <v>37.289528799984026</v>
      </c>
      <c r="AG81" s="246">
        <f t="shared" si="36"/>
        <v>92.061470132062468</v>
      </c>
      <c r="AH81" s="249" t="str">
        <f t="shared" si="37"/>
        <v>0.36823953556416-4.79306401485333i</v>
      </c>
    </row>
    <row r="82" spans="9:34" x14ac:dyDescent="0.2">
      <c r="I82" s="246">
        <v>78</v>
      </c>
      <c r="J82" s="246">
        <f t="shared" si="25"/>
        <v>1.7605095570891052</v>
      </c>
      <c r="K82" s="246">
        <f t="shared" si="48"/>
        <v>57.611549642425857</v>
      </c>
      <c r="L82" s="246">
        <f t="shared" si="38"/>
        <v>361.98404223713749</v>
      </c>
      <c r="M82" s="246">
        <f t="shared" si="26"/>
        <v>8759.5058965463086</v>
      </c>
      <c r="N82" s="246">
        <f>SQRT((ABS(AC82)-171.5+'Small Signal'!C$59)^2)</f>
        <v>99.11531428038586</v>
      </c>
      <c r="O82" s="246">
        <f t="shared" si="39"/>
        <v>92.086008848904754</v>
      </c>
      <c r="P82" s="246">
        <f t="shared" si="40"/>
        <v>37.095183346431277</v>
      </c>
      <c r="Q82" s="246">
        <f t="shared" si="41"/>
        <v>57.611549642425857</v>
      </c>
      <c r="R82" s="246" t="str">
        <f t="shared" si="27"/>
        <v>0.161233333333333+0.00170132499851455i</v>
      </c>
      <c r="S82" s="246" t="str">
        <f t="shared" si="28"/>
        <v>0.025-293.888587093329i</v>
      </c>
      <c r="T82" s="246" t="str">
        <f t="shared" si="29"/>
        <v>23.8408422575629-1.94691546513252i</v>
      </c>
      <c r="U82" s="246" t="str">
        <f t="shared" si="30"/>
        <v>84.3125949123182-1.20520233300362i</v>
      </c>
      <c r="V82" s="246">
        <f t="shared" si="42"/>
        <v>38.518736427350312</v>
      </c>
      <c r="W82" s="246">
        <f t="shared" si="43"/>
        <v>-0.81895598821564108</v>
      </c>
      <c r="X82" s="246" t="str">
        <f t="shared" si="31"/>
        <v>0.999999976397578-0.0000271753039074113i</v>
      </c>
      <c r="Y82" s="246" t="str">
        <f t="shared" si="32"/>
        <v>39.9223203553717+1.13601185294473i</v>
      </c>
      <c r="Z82" s="246" t="str">
        <f t="shared" si="33"/>
        <v>24.9758247853632+0.710021725162256i</v>
      </c>
      <c r="AA82" s="246" t="str">
        <f t="shared" si="34"/>
        <v>15.2122701509272-0.633509923119725i</v>
      </c>
      <c r="AB82" s="246">
        <f t="shared" si="44"/>
        <v>23.65140593794877</v>
      </c>
      <c r="AC82" s="246">
        <f t="shared" si="45"/>
        <v>-2.3846857196141484</v>
      </c>
      <c r="AD82" s="248">
        <f t="shared" si="46"/>
        <v>13.443777408482507</v>
      </c>
      <c r="AE82" s="248">
        <f t="shared" si="47"/>
        <v>94.470694568518908</v>
      </c>
      <c r="AF82" s="246">
        <f t="shared" si="35"/>
        <v>37.095183346431277</v>
      </c>
      <c r="AG82" s="246">
        <f t="shared" si="36"/>
        <v>92.086008848904754</v>
      </c>
      <c r="AH82" s="249" t="str">
        <f t="shared" si="37"/>
        <v>0.366437958028506-4.68668152330865i</v>
      </c>
    </row>
    <row r="83" spans="9:34" x14ac:dyDescent="0.2">
      <c r="I83" s="246">
        <v>79</v>
      </c>
      <c r="J83" s="246">
        <f t="shared" si="25"/>
        <v>1.7702596796158887</v>
      </c>
      <c r="K83" s="246">
        <f t="shared" si="48"/>
        <v>58.919585052502107</v>
      </c>
      <c r="L83" s="246">
        <f t="shared" si="38"/>
        <v>370.20267110699922</v>
      </c>
      <c r="M83" s="246">
        <f t="shared" si="26"/>
        <v>8758.1681629829181</v>
      </c>
      <c r="N83" s="246">
        <f>SQRT((ABS(AC83)-171.5+'Small Signal'!C$59)^2)</f>
        <v>99.061227494724136</v>
      </c>
      <c r="O83" s="246">
        <f t="shared" si="39"/>
        <v>92.111577043667353</v>
      </c>
      <c r="P83" s="246">
        <f t="shared" si="40"/>
        <v>36.900866612878005</v>
      </c>
      <c r="Q83" s="246">
        <f t="shared" si="41"/>
        <v>58.919585052502107</v>
      </c>
      <c r="R83" s="246" t="str">
        <f t="shared" si="27"/>
        <v>0.161233333333333+0.0017399525542029i</v>
      </c>
      <c r="S83" s="246" t="str">
        <f t="shared" si="28"/>
        <v>0.025-287.364157598573i</v>
      </c>
      <c r="T83" s="246" t="str">
        <f t="shared" si="29"/>
        <v>23.8335837876191-1.99051216156399i</v>
      </c>
      <c r="U83" s="246" t="str">
        <f t="shared" si="30"/>
        <v>84.3123543337147-1.23256920653127i</v>
      </c>
      <c r="V83" s="246">
        <f t="shared" si="42"/>
        <v>38.518752398110976</v>
      </c>
      <c r="W83" s="246">
        <f t="shared" si="43"/>
        <v>-0.83755202558037267</v>
      </c>
      <c r="X83" s="246" t="str">
        <f t="shared" si="31"/>
        <v>0.999999975313653-0.0000277923027559252i</v>
      </c>
      <c r="Y83" s="246" t="str">
        <f t="shared" si="32"/>
        <v>39.9231816612803+1.16179952113229i</v>
      </c>
      <c r="Z83" s="246" t="str">
        <f t="shared" si="33"/>
        <v>24.9763644868123+0.726139324151651i</v>
      </c>
      <c r="AA83" s="246" t="str">
        <f t="shared" si="34"/>
        <v>15.2111167970441-0.647846544706984i</v>
      </c>
      <c r="AB83" s="246">
        <f t="shared" si="44"/>
        <v>23.651092710717691</v>
      </c>
      <c r="AC83" s="246">
        <f t="shared" si="45"/>
        <v>-2.4387725052758542</v>
      </c>
      <c r="AD83" s="248">
        <f t="shared" si="46"/>
        <v>13.249773902160314</v>
      </c>
      <c r="AE83" s="248">
        <f t="shared" si="47"/>
        <v>94.550349548943203</v>
      </c>
      <c r="AF83" s="246">
        <f t="shared" si="35"/>
        <v>36.900866612878005</v>
      </c>
      <c r="AG83" s="246">
        <f t="shared" si="36"/>
        <v>92.111577043667353</v>
      </c>
      <c r="AH83" s="249" t="str">
        <f t="shared" si="37"/>
        <v>0.364715472395059-4.58266000797556i</v>
      </c>
    </row>
    <row r="84" spans="9:34" x14ac:dyDescent="0.2">
      <c r="I84" s="246">
        <v>80</v>
      </c>
      <c r="J84" s="246">
        <f t="shared" si="25"/>
        <v>1.780009802142672</v>
      </c>
      <c r="K84" s="246">
        <f t="shared" si="48"/>
        <v>60.257318615893624</v>
      </c>
      <c r="L84" s="246">
        <f t="shared" si="38"/>
        <v>378.60789897742177</v>
      </c>
      <c r="M84" s="246">
        <f t="shared" si="26"/>
        <v>8756.8000569875912</v>
      </c>
      <c r="N84" s="246">
        <f>SQRT((ABS(AC84)-171.5+'Small Signal'!C$59)^2)</f>
        <v>99.005916601890988</v>
      </c>
      <c r="O84" s="246">
        <f t="shared" si="39"/>
        <v>92.13818609062281</v>
      </c>
      <c r="P84" s="246">
        <f t="shared" si="40"/>
        <v>36.706579955018114</v>
      </c>
      <c r="Q84" s="246">
        <f t="shared" si="41"/>
        <v>60.257318615893624</v>
      </c>
      <c r="R84" s="246" t="str">
        <f t="shared" si="27"/>
        <v>0.161233333333333+0.00177945712519388i</v>
      </c>
      <c r="S84" s="246" t="str">
        <f t="shared" si="28"/>
        <v>0.025-280.984572722157i</v>
      </c>
      <c r="T84" s="246" t="str">
        <f t="shared" si="29"/>
        <v>23.8259967099959-2.0350568197318i</v>
      </c>
      <c r="U84" s="246" t="str">
        <f t="shared" si="30"/>
        <v>84.3121026998121-1.26055767100056i</v>
      </c>
      <c r="V84" s="246">
        <f t="shared" si="42"/>
        <v>38.518769102112188</v>
      </c>
      <c r="W84" s="246">
        <f t="shared" si="43"/>
        <v>-0.85657042359951341</v>
      </c>
      <c r="X84" s="246" t="str">
        <f t="shared" si="31"/>
        <v>0.999999974179951-0.0000284233101903362i</v>
      </c>
      <c r="Y84" s="246" t="str">
        <f t="shared" si="32"/>
        <v>39.9240825260952+1.188172348608i</v>
      </c>
      <c r="Z84" s="246" t="str">
        <f t="shared" si="33"/>
        <v>24.9769289761882+0.742622653349967i</v>
      </c>
      <c r="AA84" s="246" t="str">
        <f t="shared" si="34"/>
        <v>15.2099106546252-0.662505414744677i</v>
      </c>
      <c r="AB84" s="246">
        <f t="shared" si="44"/>
        <v>23.650765123036926</v>
      </c>
      <c r="AC84" s="246">
        <f t="shared" si="45"/>
        <v>-2.4940833981090043</v>
      </c>
      <c r="AD84" s="248">
        <f t="shared" si="46"/>
        <v>13.055814831981188</v>
      </c>
      <c r="AE84" s="248">
        <f t="shared" si="47"/>
        <v>94.632269488731808</v>
      </c>
      <c r="AF84" s="246">
        <f t="shared" si="35"/>
        <v>36.706579955018114</v>
      </c>
      <c r="AG84" s="246">
        <f t="shared" si="36"/>
        <v>92.13818609062281</v>
      </c>
      <c r="AH84" s="249" t="str">
        <f t="shared" si="37"/>
        <v>0.36306860681064-4.48094712354205i</v>
      </c>
    </row>
    <row r="85" spans="9:34" x14ac:dyDescent="0.2">
      <c r="I85" s="246">
        <v>81</v>
      </c>
      <c r="J85" s="246">
        <f t="shared" si="25"/>
        <v>1.7897599246694553</v>
      </c>
      <c r="K85" s="246">
        <f t="shared" si="48"/>
        <v>61.625424611219827</v>
      </c>
      <c r="L85" s="246">
        <f t="shared" si="38"/>
        <v>387.20396246591969</v>
      </c>
      <c r="M85" s="246">
        <f t="shared" si="26"/>
        <v>8755.4008889726229</v>
      </c>
      <c r="N85" s="246">
        <f>SQRT((ABS(AC85)-171.5+'Small Signal'!C$59)^2)</f>
        <v>98.949354080402117</v>
      </c>
      <c r="O85" s="246">
        <f t="shared" si="39"/>
        <v>92.165847784152561</v>
      </c>
      <c r="P85" s="246">
        <f t="shared" si="40"/>
        <v>36.512324786673361</v>
      </c>
      <c r="Q85" s="246">
        <f t="shared" si="41"/>
        <v>61.625424611219827</v>
      </c>
      <c r="R85" s="246" t="str">
        <f t="shared" si="27"/>
        <v>0.161233333333333+0.00181985862358982i</v>
      </c>
      <c r="S85" s="246" t="str">
        <f t="shared" si="28"/>
        <v>0.025-274.746616862857i</v>
      </c>
      <c r="T85" s="246" t="str">
        <f t="shared" si="29"/>
        <v>23.8180663733094-2.08056809268772i</v>
      </c>
      <c r="U85" s="246" t="str">
        <f t="shared" si="30"/>
        <v>84.3118395022567-1.28918185615598i</v>
      </c>
      <c r="V85" s="246">
        <f t="shared" si="42"/>
        <v>38.518786573008349</v>
      </c>
      <c r="W85" s="246">
        <f t="shared" si="43"/>
        <v>-0.87602078208828948</v>
      </c>
      <c r="X85" s="246" t="str">
        <f t="shared" si="31"/>
        <v>0.999999972994183-0.0000290686442671193i</v>
      </c>
      <c r="Y85" s="246" t="str">
        <f t="shared" si="32"/>
        <v>39.925024766912+1.21514359776758i</v>
      </c>
      <c r="Z85" s="246" t="str">
        <f t="shared" si="33"/>
        <v>24.9775193920962+0.759480001792153i</v>
      </c>
      <c r="AA85" s="246" t="str">
        <f t="shared" si="34"/>
        <v>15.2086493161136-0.677493623726099i</v>
      </c>
      <c r="AB85" s="246">
        <f t="shared" si="44"/>
        <v>23.650422517690849</v>
      </c>
      <c r="AC85" s="246">
        <f t="shared" si="45"/>
        <v>-2.5506459195978697</v>
      </c>
      <c r="AD85" s="248">
        <f t="shared" si="46"/>
        <v>12.861902268982508</v>
      </c>
      <c r="AE85" s="248">
        <f t="shared" si="47"/>
        <v>94.71649370375043</v>
      </c>
      <c r="AF85" s="246">
        <f t="shared" si="35"/>
        <v>36.512324786673361</v>
      </c>
      <c r="AG85" s="246">
        <f t="shared" si="36"/>
        <v>92.165847784152561</v>
      </c>
      <c r="AH85" s="249" t="str">
        <f t="shared" si="37"/>
        <v>0.361494041782313-4.38149168273319i</v>
      </c>
    </row>
    <row r="86" spans="9:34" x14ac:dyDescent="0.2">
      <c r="I86" s="246">
        <v>82</v>
      </c>
      <c r="J86" s="246">
        <f t="shared" si="25"/>
        <v>1.7995100471962389</v>
      </c>
      <c r="K86" s="246">
        <f t="shared" si="48"/>
        <v>63.024592626188472</v>
      </c>
      <c r="L86" s="246">
        <f t="shared" si="38"/>
        <v>395.99519437984628</v>
      </c>
      <c r="M86" s="246">
        <f t="shared" si="26"/>
        <v>8753.9699536936314</v>
      </c>
      <c r="N86" s="246">
        <f>SQRT((ABS(AC86)-171.5+'Small Signal'!C$59)^2)</f>
        <v>98.891511802729724</v>
      </c>
      <c r="O86" s="246">
        <f t="shared" si="39"/>
        <v>92.194574337588136</v>
      </c>
      <c r="P86" s="246">
        <f t="shared" si="40"/>
        <v>36.318102582411875</v>
      </c>
      <c r="Q86" s="246">
        <f t="shared" si="41"/>
        <v>63.024592626188472</v>
      </c>
      <c r="R86" s="246" t="str">
        <f t="shared" si="27"/>
        <v>0.161233333333333+0.00186117741358528i</v>
      </c>
      <c r="S86" s="246" t="str">
        <f t="shared" si="28"/>
        <v>0.025-268.647145806926i</v>
      </c>
      <c r="T86" s="246" t="str">
        <f t="shared" si="29"/>
        <v>23.8097774939273-2.12706486262945i</v>
      </c>
      <c r="U86" s="246" t="str">
        <f t="shared" si="30"/>
        <v>84.3115642092864-1.31845621372584i</v>
      </c>
      <c r="V86" s="246">
        <f t="shared" si="42"/>
        <v>38.51880484599743</v>
      </c>
      <c r="W86" s="246">
        <f t="shared" si="43"/>
        <v>-0.89591291954252006</v>
      </c>
      <c r="X86" s="246" t="str">
        <f t="shared" si="31"/>
        <v>0.999999971753961-0.0000297286302640296i</v>
      </c>
      <c r="Y86" s="246" t="str">
        <f t="shared" si="32"/>
        <v>39.9260102843094+1.24272683049713i</v>
      </c>
      <c r="Z86" s="246" t="str">
        <f t="shared" si="33"/>
        <v>24.9781369254526+0.776719845689181i</v>
      </c>
      <c r="AA86" s="246" t="str">
        <f t="shared" si="34"/>
        <v>15.2073302649522-0.692818407490821i</v>
      </c>
      <c r="AB86" s="246">
        <f t="shared" si="44"/>
        <v>23.650064207495465</v>
      </c>
      <c r="AC86" s="246">
        <f t="shared" si="45"/>
        <v>-2.6084881972702849</v>
      </c>
      <c r="AD86" s="248">
        <f t="shared" si="46"/>
        <v>12.668038374916408</v>
      </c>
      <c r="AE86" s="248">
        <f t="shared" si="47"/>
        <v>94.803062534858427</v>
      </c>
      <c r="AF86" s="246">
        <f t="shared" si="35"/>
        <v>36.318102582411875</v>
      </c>
      <c r="AG86" s="246">
        <f t="shared" si="36"/>
        <v>92.194574337588136</v>
      </c>
      <c r="AH86" s="249" t="str">
        <f t="shared" si="37"/>
        <v>0.359988603494422-4.28424363087671i</v>
      </c>
    </row>
    <row r="87" spans="9:34" x14ac:dyDescent="0.2">
      <c r="I87" s="246">
        <v>83</v>
      </c>
      <c r="J87" s="246">
        <f t="shared" si="25"/>
        <v>1.8092601697230224</v>
      </c>
      <c r="K87" s="246">
        <f t="shared" si="48"/>
        <v>64.455527905179423</v>
      </c>
      <c r="L87" s="246">
        <f t="shared" si="38"/>
        <v>404.98602590032715</v>
      </c>
      <c r="M87" s="246">
        <f t="shared" si="26"/>
        <v>8752.5065298940917</v>
      </c>
      <c r="N87" s="246">
        <f>SQRT((ABS(AC87)-171.5+'Small Signal'!C$59)^2)</f>
        <v>98.832361022844481</v>
      </c>
      <c r="O87" s="246">
        <f t="shared" si="39"/>
        <v>92.224378381784675</v>
      </c>
      <c r="P87" s="246">
        <f t="shared" si="40"/>
        <v>36.123914880264735</v>
      </c>
      <c r="Q87" s="246">
        <f t="shared" si="41"/>
        <v>64.455527905179423</v>
      </c>
      <c r="R87" s="246" t="str">
        <f t="shared" si="27"/>
        <v>0.161233333333333+0.00190343432173154i</v>
      </c>
      <c r="S87" s="246" t="str">
        <f t="shared" si="28"/>
        <v>0.025-262.683085143255i</v>
      </c>
      <c r="T87" s="246" t="str">
        <f t="shared" si="29"/>
        <v>23.8011141306474-2.17456623321325i</v>
      </c>
      <c r="U87" s="246" t="str">
        <f t="shared" si="30"/>
        <v>84.3112762646522-1.34839552481479i</v>
      </c>
      <c r="V87" s="246">
        <f t="shared" si="42"/>
        <v>38.518823957891904</v>
      </c>
      <c r="W87" s="246">
        <f t="shared" si="43"/>
        <v>-0.91625687815407675</v>
      </c>
      <c r="X87" s="246" t="str">
        <f t="shared" si="31"/>
        <v>0.999999970456782-0.0000304036008440569i</v>
      </c>
      <c r="Y87" s="246" t="str">
        <f t="shared" si="32"/>
        <v>39.9270410661893+1.2709359148595i</v>
      </c>
      <c r="Z87" s="246" t="str">
        <f t="shared" si="33"/>
        <v>24.9787828218912+0.794350852606455i</v>
      </c>
      <c r="AA87" s="246" t="str">
        <f t="shared" si="34"/>
        <v>15.2059508707224-0.708487149447331i</v>
      </c>
      <c r="AB87" s="246">
        <f t="shared" si="44"/>
        <v>23.64968947394118</v>
      </c>
      <c r="AC87" s="246">
        <f t="shared" si="45"/>
        <v>-2.6676389771555193</v>
      </c>
      <c r="AD87" s="248">
        <f t="shared" si="46"/>
        <v>12.474225406323558</v>
      </c>
      <c r="AE87" s="248">
        <f t="shared" si="47"/>
        <v>94.892017358940194</v>
      </c>
      <c r="AF87" s="246">
        <f t="shared" si="35"/>
        <v>36.123914880264735</v>
      </c>
      <c r="AG87" s="246">
        <f t="shared" si="36"/>
        <v>92.224378381784675</v>
      </c>
      <c r="AH87" s="249" t="str">
        <f t="shared" si="37"/>
        <v>0.358549257418409-4.18915402101483i</v>
      </c>
    </row>
    <row r="88" spans="9:34" x14ac:dyDescent="0.2">
      <c r="I88" s="246">
        <v>84</v>
      </c>
      <c r="J88" s="246">
        <f t="shared" si="25"/>
        <v>1.8190102922498057</v>
      </c>
      <c r="K88" s="246">
        <f t="shared" si="48"/>
        <v>65.918951704719817</v>
      </c>
      <c r="L88" s="246">
        <f t="shared" si="38"/>
        <v>414.18098881577629</v>
      </c>
      <c r="M88" s="246">
        <f t="shared" si="26"/>
        <v>8751.009879941781</v>
      </c>
      <c r="N88" s="246">
        <f>SQRT((ABS(AC88)-171.5+'Small Signal'!C$59)^2)</f>
        <v>98.771872363564881</v>
      </c>
      <c r="O88" s="246">
        <f t="shared" si="39"/>
        <v>92.25527296339537</v>
      </c>
      <c r="P88" s="246">
        <f t="shared" si="40"/>
        <v>35.929763284549843</v>
      </c>
      <c r="Q88" s="246">
        <f t="shared" si="41"/>
        <v>65.918951704719817</v>
      </c>
      <c r="R88" s="246" t="str">
        <f t="shared" si="27"/>
        <v>0.161233333333333+0.00194665064743415i</v>
      </c>
      <c r="S88" s="246" t="str">
        <f t="shared" si="28"/>
        <v>0.025-256.851428713746i</v>
      </c>
      <c r="T88" s="246" t="str">
        <f t="shared" si="29"/>
        <v>23.7920596585491-2.2230915208691i</v>
      </c>
      <c r="U88" s="246" t="str">
        <f t="shared" si="30"/>
        <v>84.3109750864861-1.37901490746952i</v>
      </c>
      <c r="V88" s="246">
        <f t="shared" si="42"/>
        <v>38.5188439471926</v>
      </c>
      <c r="W88" s="246">
        <f t="shared" si="43"/>
        <v>-0.93706292894351395</v>
      </c>
      <c r="X88" s="246" t="str">
        <f t="shared" si="31"/>
        <v>0.999999969100031-0.0000310938962231029i</v>
      </c>
      <c r="Y88" s="246" t="str">
        <f t="shared" si="32"/>
        <v>39.928119191788+1.2997850319245i</v>
      </c>
      <c r="Z88" s="246" t="str">
        <f t="shared" si="33"/>
        <v>24.9794583842762+0.812381885732086i</v>
      </c>
      <c r="AA88" s="246" t="str">
        <f t="shared" si="34"/>
        <v>15.2045083840767-0.724507382772632i</v>
      </c>
      <c r="AB88" s="246">
        <f t="shared" si="44"/>
        <v>23.649297565777157</v>
      </c>
      <c r="AC88" s="246">
        <f t="shared" si="45"/>
        <v>-2.7281276364351066</v>
      </c>
      <c r="AD88" s="248">
        <f t="shared" si="46"/>
        <v>12.280465718772685</v>
      </c>
      <c r="AE88" s="248">
        <f t="shared" si="47"/>
        <v>94.983400599830475</v>
      </c>
      <c r="AF88" s="246">
        <f t="shared" si="35"/>
        <v>35.929763284549843</v>
      </c>
      <c r="AG88" s="246">
        <f t="shared" si="36"/>
        <v>92.25527296339537</v>
      </c>
      <c r="AH88" s="249" t="str">
        <f t="shared" si="37"/>
        <v>0.357173102202698-4.0961749895526i</v>
      </c>
    </row>
    <row r="89" spans="9:34" x14ac:dyDescent="0.2">
      <c r="I89" s="246">
        <v>85</v>
      </c>
      <c r="J89" s="246">
        <f t="shared" si="25"/>
        <v>1.828760414776589</v>
      </c>
      <c r="K89" s="246">
        <f t="shared" si="48"/>
        <v>67.415601657030422</v>
      </c>
      <c r="L89" s="246">
        <f t="shared" si="38"/>
        <v>423.5847178061253</v>
      </c>
      <c r="M89" s="246">
        <f t="shared" si="26"/>
        <v>8749.4792494569865</v>
      </c>
      <c r="N89" s="246">
        <f>SQRT((ABS(AC89)-171.5+'Small Signal'!C$59)^2)</f>
        <v>98.710015803714384</v>
      </c>
      <c r="O89" s="246">
        <f t="shared" si="39"/>
        <v>92.287271542812022</v>
      </c>
      <c r="P89" s="246">
        <f t="shared" si="40"/>
        <v>35.735649468801462</v>
      </c>
      <c r="Q89" s="246">
        <f t="shared" si="41"/>
        <v>67.415601657030422</v>
      </c>
      <c r="R89" s="246" t="str">
        <f t="shared" si="27"/>
        <v>0.161233333333333+0.00199084817368879i</v>
      </c>
      <c r="S89" s="246" t="str">
        <f t="shared" si="28"/>
        <v>0.025-251.149237098057i</v>
      </c>
      <c r="T89" s="246" t="str">
        <f t="shared" si="29"/>
        <v>23.7825967420082-2.27266024504744i</v>
      </c>
      <c r="U89" s="246" t="str">
        <f t="shared" si="30"/>
        <v>84.3106600661203-1.41032982442265i</v>
      </c>
      <c r="V89" s="246">
        <f t="shared" si="42"/>
        <v>38.518864854166281</v>
      </c>
      <c r="W89" s="246">
        <f t="shared" si="43"/>
        <v>-0.95834157701316713</v>
      </c>
      <c r="X89" s="246" t="str">
        <f t="shared" si="31"/>
        <v>0.999999967680972-0.0000317998643414661i</v>
      </c>
      <c r="Y89" s="246" t="str">
        <f t="shared" si="32"/>
        <v>39.9292468358772+1.32928868274598i</v>
      </c>
      <c r="Z89" s="246" t="str">
        <f t="shared" si="33"/>
        <v>24.9801649753348+0.830822008236913i</v>
      </c>
      <c r="AA89" s="246" t="str">
        <f t="shared" si="34"/>
        <v>15.2029999314502-0.740886792583213i</v>
      </c>
      <c r="AB89" s="246">
        <f t="shared" si="44"/>
        <v>23.64888769753081</v>
      </c>
      <c r="AC89" s="246">
        <f t="shared" si="45"/>
        <v>-2.7899841962856242</v>
      </c>
      <c r="AD89" s="248">
        <f t="shared" si="46"/>
        <v>12.086761771270654</v>
      </c>
      <c r="AE89" s="248">
        <f t="shared" si="47"/>
        <v>95.077255739097652</v>
      </c>
      <c r="AF89" s="246">
        <f t="shared" si="35"/>
        <v>35.735649468801462</v>
      </c>
      <c r="AG89" s="246">
        <f t="shared" si="36"/>
        <v>92.287271542812022</v>
      </c>
      <c r="AH89" s="249" t="str">
        <f t="shared" si="37"/>
        <v>0.355857363830345-4.00525973243127i</v>
      </c>
    </row>
    <row r="90" spans="9:34" x14ac:dyDescent="0.2">
      <c r="I90" s="246">
        <v>86</v>
      </c>
      <c r="J90" s="246">
        <f t="shared" si="25"/>
        <v>1.8385105373033723</v>
      </c>
      <c r="K90" s="246">
        <f t="shared" si="48"/>
        <v>68.946232141825661</v>
      </c>
      <c r="L90" s="246">
        <f t="shared" si="38"/>
        <v>433.2019527789119</v>
      </c>
      <c r="M90" s="246">
        <f t="shared" si="26"/>
        <v>8747.9138669322565</v>
      </c>
      <c r="N90" s="246">
        <f>SQRT((ABS(AC90)-171.5+'Small Signal'!C$59)^2)</f>
        <v>98.646760665089886</v>
      </c>
      <c r="O90" s="246">
        <f t="shared" si="39"/>
        <v>92.320387991736681</v>
      </c>
      <c r="P90" s="246">
        <f t="shared" si="40"/>
        <v>35.541575178812437</v>
      </c>
      <c r="Q90" s="246">
        <f t="shared" si="41"/>
        <v>68.946232141825661</v>
      </c>
      <c r="R90" s="246" t="str">
        <f t="shared" si="27"/>
        <v>0.161233333333333+0.00203604917806089i</v>
      </c>
      <c r="S90" s="246" t="str">
        <f t="shared" si="28"/>
        <v>0.025-245.573636132009i</v>
      </c>
      <c r="T90" s="246" t="str">
        <f t="shared" si="29"/>
        <v>23.7727073068681-2.32329211732162i</v>
      </c>
      <c r="U90" s="246" t="str">
        <f t="shared" si="30"/>
        <v>84.3103305668456-1.44235609101873i</v>
      </c>
      <c r="V90" s="246">
        <f t="shared" si="42"/>
        <v>38.518886720926162</v>
      </c>
      <c r="W90" s="246">
        <f t="shared" si="43"/>
        <v>-0.98010356692344114</v>
      </c>
      <c r="X90" s="246" t="str">
        <f t="shared" si="31"/>
        <v>0.999999966196744-0.000032521861039219i</v>
      </c>
      <c r="Y90" s="246" t="str">
        <f t="shared" si="32"/>
        <v>39.9304262731545+1.35946169548786i</v>
      </c>
      <c r="Z90" s="246" t="str">
        <f t="shared" si="33"/>
        <v>24.9809040204085+0.849680487727563i</v>
      </c>
      <c r="AA90" s="246" t="str">
        <f t="shared" si="34"/>
        <v>15.2014225095468-0.757633218071358i</v>
      </c>
      <c r="AB90" s="246">
        <f t="shared" si="44"/>
        <v>23.648459047962316</v>
      </c>
      <c r="AC90" s="246">
        <f t="shared" si="45"/>
        <v>-2.8532393349101191</v>
      </c>
      <c r="AD90" s="248">
        <f t="shared" si="46"/>
        <v>11.893116130850119</v>
      </c>
      <c r="AE90" s="248">
        <f t="shared" si="47"/>
        <v>95.173627326646795</v>
      </c>
      <c r="AF90" s="246">
        <f t="shared" si="35"/>
        <v>35.541575178812437</v>
      </c>
      <c r="AG90" s="246">
        <f t="shared" si="36"/>
        <v>92.320387991736681</v>
      </c>
      <c r="AH90" s="249" t="str">
        <f t="shared" si="37"/>
        <v>0.354599390032778-3.9163624818164i</v>
      </c>
    </row>
    <row r="91" spans="9:34" x14ac:dyDescent="0.2">
      <c r="I91" s="246">
        <v>87</v>
      </c>
      <c r="J91" s="246">
        <f t="shared" si="25"/>
        <v>1.8482606598301559</v>
      </c>
      <c r="K91" s="246">
        <f t="shared" si="48"/>
        <v>70.511614666555275</v>
      </c>
      <c r="L91" s="246">
        <f t="shared" si="38"/>
        <v>443.03754125840874</v>
      </c>
      <c r="M91" s="246">
        <f t="shared" si="26"/>
        <v>8746.3129433435315</v>
      </c>
      <c r="N91" s="246">
        <f>SQRT((ABS(AC91)-171.5+'Small Signal'!C$59)^2)</f>
        <v>98.582075599243325</v>
      </c>
      <c r="O91" s="246">
        <f t="shared" si="39"/>
        <v>92.35463659034464</v>
      </c>
      <c r="P91" s="246">
        <f t="shared" si="40"/>
        <v>35.347542235791856</v>
      </c>
      <c r="Q91" s="246">
        <f t="shared" si="41"/>
        <v>70.511614666555275</v>
      </c>
      <c r="R91" s="246" t="str">
        <f t="shared" si="27"/>
        <v>0.161233333333333+0.00208227644391452i</v>
      </c>
      <c r="S91" s="246" t="str">
        <f t="shared" si="28"/>
        <v>0.025-240.121815458873i</v>
      </c>
      <c r="T91" s="246" t="str">
        <f t="shared" si="29"/>
        <v>23.7623725117641-2.37500702926681i</v>
      </c>
      <c r="U91" s="246" t="str">
        <f t="shared" si="30"/>
        <v>84.3099859226168-1.47510988332725i</v>
      </c>
      <c r="V91" s="246">
        <f t="shared" si="42"/>
        <v>38.51890959151666</v>
      </c>
      <c r="W91" s="246">
        <f t="shared" si="43"/>
        <v>-1.0023598881954683</v>
      </c>
      <c r="X91" s="246" t="str">
        <f t="shared" si="31"/>
        <v>0.999999964644353-0.0000332602502355678i</v>
      </c>
      <c r="Y91" s="246" t="str">
        <f t="shared" si="32"/>
        <v>39.9316598828358+1.39031923270258i</v>
      </c>
      <c r="Z91" s="246" t="str">
        <f t="shared" si="33"/>
        <v>24.9816770103303+0.868966800794727i</v>
      </c>
      <c r="AA91" s="246" t="str">
        <f t="shared" si="34"/>
        <v>15.1997729795908-0.774754654600684i</v>
      </c>
      <c r="AB91" s="246">
        <f t="shared" si="44"/>
        <v>23.648010758451122</v>
      </c>
      <c r="AC91" s="246">
        <f t="shared" si="45"/>
        <v>-2.9179244007566667</v>
      </c>
      <c r="AD91" s="248">
        <f t="shared" si="46"/>
        <v>11.699531477340734</v>
      </c>
      <c r="AE91" s="248">
        <f t="shared" si="47"/>
        <v>95.272560991101301</v>
      </c>
      <c r="AF91" s="246">
        <f t="shared" si="35"/>
        <v>35.347542235791856</v>
      </c>
      <c r="AG91" s="246">
        <f t="shared" si="36"/>
        <v>92.35463659034464</v>
      </c>
      <c r="AH91" s="249" t="str">
        <f t="shared" si="37"/>
        <v>0.353396644948388-3.82943848329i</v>
      </c>
    </row>
    <row r="92" spans="9:34" x14ac:dyDescent="0.2">
      <c r="I92" s="246">
        <v>88</v>
      </c>
      <c r="J92" s="246">
        <f t="shared" si="25"/>
        <v>1.8580107823569392</v>
      </c>
      <c r="K92" s="246">
        <f t="shared" si="48"/>
        <v>72.112538255279276</v>
      </c>
      <c r="L92" s="246">
        <f t="shared" si="38"/>
        <v>453.09644082899661</v>
      </c>
      <c r="M92" s="246">
        <f t="shared" si="26"/>
        <v>8744.6756717524386</v>
      </c>
      <c r="N92" s="246">
        <f>SQRT((ABS(AC92)-171.5+'Small Signal'!C$59)^2)</f>
        <v>98.515928574080192</v>
      </c>
      <c r="O92" s="246">
        <f t="shared" si="39"/>
        <v>92.39003202399914</v>
      </c>
      <c r="P92" s="246">
        <f t="shared" si="40"/>
        <v>35.153552539640472</v>
      </c>
      <c r="Q92" s="246">
        <f t="shared" si="41"/>
        <v>72.112538255279276</v>
      </c>
      <c r="R92" s="246" t="str">
        <f t="shared" si="27"/>
        <v>0.161233333333333+0.00212955327189628i</v>
      </c>
      <c r="S92" s="246" t="str">
        <f t="shared" si="28"/>
        <v>0.025-234.791027112822i</v>
      </c>
      <c r="T92" s="246" t="str">
        <f t="shared" si="29"/>
        <v>23.7515727186001-2.42782503903122i</v>
      </c>
      <c r="U92" s="246" t="str">
        <f t="shared" si="30"/>
        <v>84.3096254366984-1.50860774644737i</v>
      </c>
      <c r="V92" s="246">
        <f t="shared" si="42"/>
        <v>38.518933512001936</v>
      </c>
      <c r="W92" s="246">
        <f t="shared" si="43"/>
        <v>-1.0251217809433339</v>
      </c>
      <c r="X92" s="246" t="str">
        <f t="shared" si="31"/>
        <v>0.999999963020671-0.0000340154041122842i</v>
      </c>
      <c r="Y92" s="246" t="str">
        <f t="shared" si="32"/>
        <v>39.9329501534642+1.42187679876426i</v>
      </c>
      <c r="Z92" s="246" t="str">
        <f t="shared" si="33"/>
        <v>24.9824855044383+0.888690637658069i</v>
      </c>
      <c r="AA92" s="246" t="str">
        <f t="shared" si="34"/>
        <v>15.1980480613319-0.792259255753562i</v>
      </c>
      <c r="AB92" s="246">
        <f t="shared" si="44"/>
        <v>23.647541931309831</v>
      </c>
      <c r="AC92" s="246">
        <f t="shared" si="45"/>
        <v>-2.9840714259198209</v>
      </c>
      <c r="AD92" s="248">
        <f t="shared" si="46"/>
        <v>11.506010608330641</v>
      </c>
      <c r="AE92" s="248">
        <f t="shared" si="47"/>
        <v>95.374103449918962</v>
      </c>
      <c r="AF92" s="246">
        <f t="shared" si="35"/>
        <v>35.153552539640472</v>
      </c>
      <c r="AG92" s="246">
        <f t="shared" si="36"/>
        <v>92.39003202399914</v>
      </c>
      <c r="AH92" s="249" t="str">
        <f t="shared" si="37"/>
        <v>0.352246704015281-3.74444397353652i</v>
      </c>
    </row>
    <row r="93" spans="9:34" x14ac:dyDescent="0.2">
      <c r="I93" s="246">
        <v>89</v>
      </c>
      <c r="J93" s="246">
        <f t="shared" si="25"/>
        <v>1.8677609048837227</v>
      </c>
      <c r="K93" s="246">
        <f t="shared" si="48"/>
        <v>73.749809846372202</v>
      </c>
      <c r="L93" s="246">
        <f t="shared" si="38"/>
        <v>463.38372163401419</v>
      </c>
      <c r="M93" s="246">
        <f t="shared" si="26"/>
        <v>8743.0012268995561</v>
      </c>
      <c r="N93" s="246">
        <f>SQRT((ABS(AC93)-171.5+'Small Signal'!C$59)^2)</f>
        <v>98.448286860278074</v>
      </c>
      <c r="O93" s="246">
        <f t="shared" si="39"/>
        <v>92.426589379472986</v>
      </c>
      <c r="P93" s="246">
        <f t="shared" si="40"/>
        <v>34.959608072348956</v>
      </c>
      <c r="Q93" s="246">
        <f t="shared" si="41"/>
        <v>73.749809846372202</v>
      </c>
      <c r="R93" s="246" t="str">
        <f t="shared" si="27"/>
        <v>0.161233333333333+0.00217790349167987i</v>
      </c>
      <c r="S93" s="246" t="str">
        <f t="shared" si="28"/>
        <v>0.025-229.578584133836i</v>
      </c>
      <c r="T93" s="246" t="str">
        <f t="shared" si="29"/>
        <v>23.7402874621771-2.48176635651109i</v>
      </c>
      <c r="U93" s="246" t="str">
        <f t="shared" si="30"/>
        <v>84.3092483802415-1.54286660300895i</v>
      </c>
      <c r="V93" s="246">
        <f t="shared" si="42"/>
        <v>38.518958530558045</v>
      </c>
      <c r="W93" s="246">
        <f t="shared" si="43"/>
        <v>-1.0484007416390044</v>
      </c>
      <c r="X93" s="246" t="str">
        <f t="shared" si="31"/>
        <v>0.999999961322422-0.0000347877033013023i</v>
      </c>
      <c r="Y93" s="246" t="str">
        <f t="shared" si="32"/>
        <v>39.9342996879334+1.45415024745953i</v>
      </c>
      <c r="Z93" s="246" t="str">
        <f t="shared" si="33"/>
        <v>24.9833311337233+0.90886190690961i</v>
      </c>
      <c r="AA93" s="246" t="str">
        <f t="shared" si="34"/>
        <v>15.1962443267974-0.81015533532331i</v>
      </c>
      <c r="AB93" s="246">
        <f t="shared" si="44"/>
        <v>23.647051628024414</v>
      </c>
      <c r="AC93" s="246">
        <f t="shared" si="45"/>
        <v>-3.0517131397219233</v>
      </c>
      <c r="AD93" s="248">
        <f t="shared" si="46"/>
        <v>11.312556444324542</v>
      </c>
      <c r="AE93" s="248">
        <f t="shared" si="47"/>
        <v>95.478302519194912</v>
      </c>
      <c r="AF93" s="246">
        <f t="shared" si="35"/>
        <v>34.959608072348956</v>
      </c>
      <c r="AG93" s="246">
        <f t="shared" si="36"/>
        <v>92.426589379472986</v>
      </c>
      <c r="AH93" s="249" t="str">
        <f t="shared" si="37"/>
        <v>0.351147249087917-3.66133615851238i</v>
      </c>
    </row>
    <row r="94" spans="9:34" x14ac:dyDescent="0.2">
      <c r="I94" s="246">
        <v>90</v>
      </c>
      <c r="J94" s="246">
        <f t="shared" si="25"/>
        <v>1.877511027410506</v>
      </c>
      <c r="K94" s="246">
        <f t="shared" si="48"/>
        <v>75.42425469925638</v>
      </c>
      <c r="L94" s="246">
        <f t="shared" si="38"/>
        <v>473.90456893133853</v>
      </c>
      <c r="M94" s="246">
        <f t="shared" si="26"/>
        <v>8741.2887647884399</v>
      </c>
      <c r="N94" s="246">
        <f>SQRT((ABS(AC94)-171.5+'Small Signal'!C$59)^2)</f>
        <v>98.379117017530149</v>
      </c>
      <c r="O94" s="246">
        <f t="shared" si="39"/>
        <v>92.464324140630964</v>
      </c>
      <c r="P94" s="246">
        <f t="shared" si="40"/>
        <v>34.765710901522844</v>
      </c>
      <c r="Q94" s="246">
        <f t="shared" si="41"/>
        <v>75.42425469925638</v>
      </c>
      <c r="R94" s="246" t="str">
        <f t="shared" si="27"/>
        <v>0.161233333333333+0.00222735147397729i</v>
      </c>
      <c r="S94" s="246" t="str">
        <f t="shared" si="28"/>
        <v>0.025-224.481859213342i</v>
      </c>
      <c r="T94" s="246" t="str">
        <f t="shared" si="29"/>
        <v>23.7284954189811-2.53685132703665i</v>
      </c>
      <c r="U94" s="246" t="str">
        <f t="shared" si="30"/>
        <v>84.3088539908017-1.57790376187538i</v>
      </c>
      <c r="V94" s="246">
        <f t="shared" si="42"/>
        <v>38.518984697569877</v>
      </c>
      <c r="W94" s="246">
        <f t="shared" si="43"/>
        <v>-1.0722085290134986</v>
      </c>
      <c r="X94" s="246" t="str">
        <f t="shared" si="31"/>
        <v>0.999999959546182-0.000035577537076574i</v>
      </c>
      <c r="Y94" s="246" t="str">
        <f t="shared" si="32"/>
        <v>39.9357112087452+1.48715578973893i</v>
      </c>
      <c r="Z94" s="246" t="str">
        <f t="shared" si="33"/>
        <v>24.9842156041229+0.929490740357416i</v>
      </c>
      <c r="AA94" s="246" t="str">
        <f t="shared" si="34"/>
        <v>15.194358193781-0.828451369243055i</v>
      </c>
      <c r="AB94" s="246">
        <f t="shared" si="44"/>
        <v>23.646538867416943</v>
      </c>
      <c r="AC94" s="246">
        <f t="shared" si="45"/>
        <v>-3.1208829824698539</v>
      </c>
      <c r="AD94" s="248">
        <f t="shared" si="46"/>
        <v>11.119172034105899</v>
      </c>
      <c r="AE94" s="248">
        <f t="shared" si="47"/>
        <v>95.585207123100815</v>
      </c>
      <c r="AF94" s="246">
        <f t="shared" si="35"/>
        <v>34.765710901522844</v>
      </c>
      <c r="AG94" s="246">
        <f t="shared" si="36"/>
        <v>92.464324140630964</v>
      </c>
      <c r="AH94" s="249" t="str">
        <f t="shared" si="37"/>
        <v>0.350096063767869-3.58007319208946i</v>
      </c>
    </row>
    <row r="95" spans="9:34" x14ac:dyDescent="0.2">
      <c r="I95" s="246">
        <v>91</v>
      </c>
      <c r="J95" s="246">
        <f t="shared" si="25"/>
        <v>1.8872611499372893</v>
      </c>
      <c r="K95" s="246">
        <f t="shared" si="48"/>
        <v>77.136716810370729</v>
      </c>
      <c r="L95" s="246">
        <f t="shared" si="38"/>
        <v>484.66428570699395</v>
      </c>
      <c r="M95" s="246">
        <f t="shared" si="26"/>
        <v>8739.5374222602277</v>
      </c>
      <c r="N95" s="246">
        <f>SQRT((ABS(AC95)-171.5+'Small Signal'!C$59)^2)</f>
        <v>98.308384880618888</v>
      </c>
      <c r="O95" s="246">
        <f t="shared" si="39"/>
        <v>92.503252183524893</v>
      </c>
      <c r="P95" s="246">
        <f t="shared" si="40"/>
        <v>34.571863184035038</v>
      </c>
      <c r="Q95" s="246">
        <f t="shared" si="41"/>
        <v>77.136716810370729</v>
      </c>
      <c r="R95" s="246" t="str">
        <f t="shared" si="27"/>
        <v>0.161233333333333+0.00227792214282287i</v>
      </c>
      <c r="S95" s="246" t="str">
        <f t="shared" si="28"/>
        <v>0.025-219.498283369942i</v>
      </c>
      <c r="T95" s="246" t="str">
        <f t="shared" si="29"/>
        <v>23.7161743751379-2.59310041347062i</v>
      </c>
      <c r="U95" s="246" t="str">
        <f t="shared" si="30"/>
        <v>84.3084414707826-1.61373692705293i</v>
      </c>
      <c r="V95" s="246">
        <f t="shared" si="42"/>
        <v>38.519012065732099</v>
      </c>
      <c r="W95" s="246">
        <f t="shared" si="43"/>
        <v>-1.0965571700976005</v>
      </c>
      <c r="X95" s="246" t="str">
        <f t="shared" si="31"/>
        <v>0.999999957688369-0.000036385303550281i</v>
      </c>
      <c r="Y95" s="246" t="str">
        <f t="shared" si="32"/>
        <v>39.9371875635128+1.52091000163137i</v>
      </c>
      <c r="Z95" s="246" t="str">
        <f t="shared" si="33"/>
        <v>24.9851406999703+0.95058749797112i</v>
      </c>
      <c r="AA95" s="246" t="str">
        <f t="shared" si="34"/>
        <v>15.1923859190556-0.847155997442166i</v>
      </c>
      <c r="AB95" s="246">
        <f t="shared" si="44"/>
        <v>23.646002623726243</v>
      </c>
      <c r="AC95" s="246">
        <f t="shared" si="45"/>
        <v>-3.1916151193811149</v>
      </c>
      <c r="AD95" s="248">
        <f t="shared" si="46"/>
        <v>10.925860560308799</v>
      </c>
      <c r="AE95" s="248">
        <f t="shared" si="47"/>
        <v>95.694867302906005</v>
      </c>
      <c r="AF95" s="246">
        <f t="shared" si="35"/>
        <v>34.571863184035038</v>
      </c>
      <c r="AG95" s="246">
        <f t="shared" si="36"/>
        <v>92.503252183524893</v>
      </c>
      <c r="AH95" s="249" t="str">
        <f t="shared" si="37"/>
        <v>0.349091028939287-3.50061415516218i</v>
      </c>
    </row>
    <row r="96" spans="9:34" x14ac:dyDescent="0.2">
      <c r="I96" s="246">
        <v>92</v>
      </c>
      <c r="J96" s="246">
        <f t="shared" si="25"/>
        <v>1.8970112724640729</v>
      </c>
      <c r="K96" s="246">
        <f t="shared" si="48"/>
        <v>78.888059338582948</v>
      </c>
      <c r="L96" s="246">
        <f t="shared" si="38"/>
        <v>495.66829534809574</v>
      </c>
      <c r="M96" s="246">
        <f t="shared" si="26"/>
        <v>8737.7463165585505</v>
      </c>
      <c r="N96" s="246">
        <f>SQRT((ABS(AC96)-171.5+'Small Signal'!C$59)^2)</f>
        <v>98.236055545324632</v>
      </c>
      <c r="O96" s="246">
        <f t="shared" si="39"/>
        <v>92.543389770846943</v>
      </c>
      <c r="P96" s="246">
        <f t="shared" si="40"/>
        <v>34.378067169813022</v>
      </c>
      <c r="Q96" s="246">
        <f t="shared" si="41"/>
        <v>78.888059338582948</v>
      </c>
      <c r="R96" s="246" t="str">
        <f t="shared" si="27"/>
        <v>0.161233333333333+0.00232964098813605i</v>
      </c>
      <c r="S96" s="246" t="str">
        <f t="shared" si="28"/>
        <v>0.025-214.625344654522i</v>
      </c>
      <c r="T96" s="246" t="str">
        <f t="shared" si="29"/>
        <v>23.7033011935486-2.65053417661696i</v>
      </c>
      <c r="U96" s="246" t="str">
        <f t="shared" si="30"/>
        <v>84.3080099858088-1.65038420681221i</v>
      </c>
      <c r="V96" s="246">
        <f t="shared" si="42"/>
        <v>38.519040690154853</v>
      </c>
      <c r="W96" s="246">
        <f t="shared" si="43"/>
        <v>-1.1214589664057673</v>
      </c>
      <c r="X96" s="246" t="str">
        <f t="shared" si="31"/>
        <v>0.999999955745238-0.0000372114098735015i</v>
      </c>
      <c r="Y96" s="246" t="str">
        <f t="shared" si="32"/>
        <v>39.9387317307091+1.55542983232489i</v>
      </c>
      <c r="Z96" s="246" t="str">
        <f t="shared" si="33"/>
        <v>24.9861082875959+0.972162772931303i</v>
      </c>
      <c r="AA96" s="246" t="str">
        <f t="shared" si="34"/>
        <v>15.1903235913048-0.86627802562169i</v>
      </c>
      <c r="AB96" s="246">
        <f t="shared" si="44"/>
        <v>23.645441824605751</v>
      </c>
      <c r="AC96" s="246">
        <f t="shared" si="45"/>
        <v>-3.2639444546753813</v>
      </c>
      <c r="AD96" s="248">
        <f t="shared" si="46"/>
        <v>10.732625345207268</v>
      </c>
      <c r="AE96" s="248">
        <f t="shared" si="47"/>
        <v>95.807334225522325</v>
      </c>
      <c r="AF96" s="246">
        <f t="shared" si="35"/>
        <v>34.378067169813022</v>
      </c>
      <c r="AG96" s="246">
        <f t="shared" si="36"/>
        <v>92.543389770846943</v>
      </c>
      <c r="AH96" s="249" t="str">
        <f t="shared" si="37"/>
        <v>0.348130118500123-3.42291903520896i</v>
      </c>
    </row>
    <row r="97" spans="9:34" x14ac:dyDescent="0.2">
      <c r="I97" s="246">
        <v>93</v>
      </c>
      <c r="J97" s="246">
        <f t="shared" si="25"/>
        <v>1.9067613949908562</v>
      </c>
      <c r="K97" s="246">
        <f t="shared" si="48"/>
        <v>80.67916504026104</v>
      </c>
      <c r="L97" s="246">
        <f t="shared" si="38"/>
        <v>506.92214437648511</v>
      </c>
      <c r="M97" s="246">
        <f t="shared" si="26"/>
        <v>8735.9145448845884</v>
      </c>
      <c r="N97" s="246">
        <f>SQRT((ABS(AC97)-171.5+'Small Signal'!C$59)^2)</f>
        <v>98.162093354177131</v>
      </c>
      <c r="O97" s="246">
        <f t="shared" si="39"/>
        <v>92.584753545687846</v>
      </c>
      <c r="P97" s="246">
        <f t="shared" si="40"/>
        <v>34.184325205761354</v>
      </c>
      <c r="Q97" s="246">
        <f t="shared" si="41"/>
        <v>80.67916504026104</v>
      </c>
      <c r="R97" s="246" t="str">
        <f t="shared" si="27"/>
        <v>0.161233333333333+0.00238253407856948i</v>
      </c>
      <c r="S97" s="246" t="str">
        <f t="shared" si="28"/>
        <v>0.025-209.860586884117i</v>
      </c>
      <c r="T97" s="246" t="str">
        <f t="shared" si="29"/>
        <v>23.6898517802238-2.70917325383171i</v>
      </c>
      <c r="U97" s="246" t="str">
        <f t="shared" si="30"/>
        <v>84.307558663025-1.68786412302716i</v>
      </c>
      <c r="V97" s="246">
        <f t="shared" si="42"/>
        <v>38.519070628474502</v>
      </c>
      <c r="W97" s="246">
        <f t="shared" si="43"/>
        <v>-1.1469265002668529</v>
      </c>
      <c r="X97" s="246" t="str">
        <f t="shared" si="31"/>
        <v>0.99999995371287-0.0000380562724414328i</v>
      </c>
      <c r="Y97" s="246" t="str">
        <f t="shared" si="32"/>
        <v>39.9403468256898+1.5907326124162i</v>
      </c>
      <c r="Z97" s="246" t="str">
        <f t="shared" si="33"/>
        <v>24.9871203191013+0.994227396784286i</v>
      </c>
      <c r="AA97" s="246" t="str">
        <f t="shared" si="34"/>
        <v>15.1881671237575-0.885826426937916i</v>
      </c>
      <c r="AB97" s="246">
        <f t="shared" si="44"/>
        <v>23.644855349032248</v>
      </c>
      <c r="AC97" s="246">
        <f t="shared" si="45"/>
        <v>-3.3379066458228794</v>
      </c>
      <c r="AD97" s="248">
        <f t="shared" si="46"/>
        <v>10.539469856729106</v>
      </c>
      <c r="AE97" s="248">
        <f t="shared" si="47"/>
        <v>95.92266019151073</v>
      </c>
      <c r="AF97" s="246">
        <f t="shared" si="35"/>
        <v>34.184325205761354</v>
      </c>
      <c r="AG97" s="246">
        <f t="shared" si="36"/>
        <v>92.584753545687846</v>
      </c>
      <c r="AH97" s="249" t="str">
        <f t="shared" si="37"/>
        <v>0.347211395280572-3.34694870629866i</v>
      </c>
    </row>
    <row r="98" spans="9:34" x14ac:dyDescent="0.2">
      <c r="I98" s="246">
        <v>94</v>
      </c>
      <c r="J98" s="246">
        <f t="shared" si="25"/>
        <v>1.9165115175176397</v>
      </c>
      <c r="K98" s="246">
        <f t="shared" si="48"/>
        <v>82.510936714222979</v>
      </c>
      <c r="L98" s="246">
        <f t="shared" si="38"/>
        <v>518.43150524443047</v>
      </c>
      <c r="M98" s="246">
        <f t="shared" si="26"/>
        <v>8734.0411839420231</v>
      </c>
      <c r="N98" s="246">
        <f>SQRT((ABS(AC98)-171.5+'Small Signal'!C$59)^2)</f>
        <v>98.086461882056085</v>
      </c>
      <c r="O98" s="246">
        <f t="shared" si="39"/>
        <v>92.627360524539014</v>
      </c>
      <c r="P98" s="246">
        <f t="shared" si="40"/>
        <v>33.990639739824275</v>
      </c>
      <c r="Q98" s="246">
        <f t="shared" si="41"/>
        <v>82.510936714222979</v>
      </c>
      <c r="R98" s="246" t="str">
        <f t="shared" si="27"/>
        <v>0.161233333333333+0.00243662807464882i</v>
      </c>
      <c r="S98" s="246" t="str">
        <f t="shared" si="28"/>
        <v>0.025-205.201608403885i</v>
      </c>
      <c r="T98" s="246" t="str">
        <f t="shared" si="29"/>
        <v>23.6758010498397-2.76903833572311i</v>
      </c>
      <c r="U98" s="246" t="str">
        <f t="shared" si="30"/>
        <v>84.30708658931-1.72619562073712i</v>
      </c>
      <c r="V98" s="246">
        <f t="shared" si="42"/>
        <v>38.519101940968802</v>
      </c>
      <c r="W98" s="246">
        <f t="shared" si="43"/>
        <v>-1.1729726413054531</v>
      </c>
      <c r="X98" s="246" t="str">
        <f t="shared" si="31"/>
        <v>0.999999951587167-0.0000389203171032734i</v>
      </c>
      <c r="Y98" s="246" t="str">
        <f t="shared" si="32"/>
        <v>39.9420361069835+1.62683606233196i</v>
      </c>
      <c r="Z98" s="246" t="str">
        <f t="shared" si="33"/>
        <v>24.9881788363009+1.01679244470417i</v>
      </c>
      <c r="AA98" s="246" t="str">
        <f t="shared" si="34"/>
        <v>15.1859122465191-0.905810343583953i</v>
      </c>
      <c r="AB98" s="246">
        <f t="shared" si="44"/>
        <v>23.644242025124257</v>
      </c>
      <c r="AC98" s="246">
        <f t="shared" si="45"/>
        <v>-3.4135381179439088</v>
      </c>
      <c r="AD98" s="248">
        <f t="shared" si="46"/>
        <v>10.346397714700018</v>
      </c>
      <c r="AE98" s="248">
        <f t="shared" si="47"/>
        <v>96.040898642482929</v>
      </c>
      <c r="AF98" s="246">
        <f t="shared" si="35"/>
        <v>33.990639739824275</v>
      </c>
      <c r="AG98" s="246">
        <f t="shared" si="36"/>
        <v>92.627360524539014</v>
      </c>
      <c r="AH98" s="249" t="str">
        <f t="shared" si="37"/>
        <v>0.346333007140457-3.27266490953222i</v>
      </c>
    </row>
    <row r="99" spans="9:34" x14ac:dyDescent="0.2">
      <c r="I99" s="246">
        <v>95</v>
      </c>
      <c r="J99" s="246">
        <f t="shared" si="25"/>
        <v>1.926261640044423</v>
      </c>
      <c r="K99" s="246">
        <f t="shared" si="48"/>
        <v>84.384297656787894</v>
      </c>
      <c r="L99" s="246">
        <f t="shared" si="38"/>
        <v>530.20217919379843</v>
      </c>
      <c r="M99" s="246">
        <f t="shared" si="26"/>
        <v>8732.1252894716508</v>
      </c>
      <c r="N99" s="246">
        <f>SQRT((ABS(AC99)-171.5+'Small Signal'!C$59)^2)</f>
        <v>98.009123921649888</v>
      </c>
      <c r="O99" s="246">
        <f t="shared" si="39"/>
        <v>92.671228089477623</v>
      </c>
      <c r="P99" s="246">
        <f t="shared" si="40"/>
        <v>33.797013325190107</v>
      </c>
      <c r="Q99" s="246">
        <f t="shared" si="41"/>
        <v>84.384297656787894</v>
      </c>
      <c r="R99" s="246" t="str">
        <f t="shared" si="27"/>
        <v>0.161233333333333+0.00249195024221085i</v>
      </c>
      <c r="S99" s="246" t="str">
        <f t="shared" si="28"/>
        <v>0.025-200.646060876561i</v>
      </c>
      <c r="T99" s="246" t="str">
        <f t="shared" si="29"/>
        <v>23.6611228905455-2.83015014082289i</v>
      </c>
      <c r="U99" s="246" t="str">
        <f t="shared" si="30"/>
        <v>84.306592809413-1.76539807793801i</v>
      </c>
      <c r="V99" s="246">
        <f t="shared" si="42"/>
        <v>38.519134690677987</v>
      </c>
      <c r="W99" s="246">
        <f t="shared" si="43"/>
        <v>-1.1996105530777512</v>
      </c>
      <c r="X99" s="246" t="str">
        <f t="shared" si="31"/>
        <v>0.999999949363842-0.0000398039793768705i</v>
      </c>
      <c r="Y99" s="246" t="str">
        <f t="shared" si="32"/>
        <v>39.9438029828815+1.66375830092457i</v>
      </c>
      <c r="Z99" s="246" t="str">
        <f t="shared" si="33"/>
        <v>24.9892859748511+1.03986924086387i</v>
      </c>
      <c r="AA99" s="246" t="str">
        <f t="shared" si="34"/>
        <v>15.1835544985837-0.926239088257164i</v>
      </c>
      <c r="AB99" s="246">
        <f t="shared" si="44"/>
        <v>23.64360062786357</v>
      </c>
      <c r="AC99" s="246">
        <f t="shared" si="45"/>
        <v>-3.4908760783501047</v>
      </c>
      <c r="AD99" s="248">
        <f t="shared" si="46"/>
        <v>10.153412697326536</v>
      </c>
      <c r="AE99" s="248">
        <f t="shared" si="47"/>
        <v>96.162104167827721</v>
      </c>
      <c r="AF99" s="246">
        <f t="shared" si="35"/>
        <v>33.797013325190107</v>
      </c>
      <c r="AG99" s="246">
        <f t="shared" si="36"/>
        <v>92.671228089477623</v>
      </c>
      <c r="AH99" s="249" t="str">
        <f t="shared" si="37"/>
        <v>0.345493183237805-3.20003023391102i</v>
      </c>
    </row>
    <row r="100" spans="9:34" x14ac:dyDescent="0.2">
      <c r="I100" s="246">
        <v>96</v>
      </c>
      <c r="J100" s="246">
        <f t="shared" si="25"/>
        <v>1.9360117625712063</v>
      </c>
      <c r="K100" s="246">
        <f t="shared" si="48"/>
        <v>86.300192127160031</v>
      </c>
      <c r="L100" s="246">
        <f t="shared" si="38"/>
        <v>542.24009918014735</v>
      </c>
      <c r="M100" s="246">
        <f t="shared" si="26"/>
        <v>8730.1658957754335</v>
      </c>
      <c r="N100" s="246">
        <f>SQRT((ABS(AC100)-171.5+'Small Signal'!C$59)^2)</f>
        <v>97.930041468780956</v>
      </c>
      <c r="O100" s="246">
        <f t="shared" si="39"/>
        <v>92.716373979467079</v>
      </c>
      <c r="P100" s="246">
        <f t="shared" si="40"/>
        <v>33.603448624643221</v>
      </c>
      <c r="Q100" s="246">
        <f t="shared" si="41"/>
        <v>86.300192127160031</v>
      </c>
      <c r="R100" s="246" t="str">
        <f t="shared" si="27"/>
        <v>0.161233333333333+0.00254852846614669i</v>
      </c>
      <c r="S100" s="246" t="str">
        <f t="shared" si="28"/>
        <v>0.025-196.19164809879i</v>
      </c>
      <c r="T100" s="246" t="str">
        <f t="shared" si="29"/>
        <v>23.6457901280576-2.89252938810541i</v>
      </c>
      <c r="U100" s="246" t="str">
        <f t="shared" si="30"/>
        <v>84.3060763239995-1.8054913156085i</v>
      </c>
      <c r="V100" s="246">
        <f t="shared" si="42"/>
        <v>38.519168943530943</v>
      </c>
      <c r="W100" s="246">
        <f t="shared" si="43"/>
        <v>-1.226853699865907</v>
      </c>
      <c r="X100" s="246" t="str">
        <f t="shared" si="31"/>
        <v>0.999999947038413-0.0000407077046682407i</v>
      </c>
      <c r="Y100" s="246" t="str">
        <f t="shared" si="32"/>
        <v>39.945651018321+1.70151785424531i</v>
      </c>
      <c r="Z100" s="246" t="str">
        <f t="shared" si="33"/>
        <v>24.990443968563+1.06346936391684i</v>
      </c>
      <c r="AA100" s="246" t="str">
        <f t="shared" si="34"/>
        <v>15.1810892195225-0.947122145500609i</v>
      </c>
      <c r="AB100" s="246">
        <f t="shared" si="44"/>
        <v>23.64292987671989</v>
      </c>
      <c r="AC100" s="246">
        <f t="shared" si="45"/>
        <v>-3.5699585312190494</v>
      </c>
      <c r="AD100" s="248">
        <f t="shared" si="46"/>
        <v>9.9605187479233326</v>
      </c>
      <c r="AE100" s="248">
        <f t="shared" si="47"/>
        <v>96.286332510686123</v>
      </c>
      <c r="AF100" s="246">
        <f t="shared" si="35"/>
        <v>33.603448624643221</v>
      </c>
      <c r="AG100" s="246">
        <f t="shared" si="36"/>
        <v>92.716373979467079</v>
      </c>
      <c r="AH100" s="249" t="str">
        <f t="shared" si="37"/>
        <v>0.344690230461041-3.12900809762246i</v>
      </c>
    </row>
    <row r="101" spans="9:34" x14ac:dyDescent="0.2">
      <c r="I101" s="246">
        <v>97</v>
      </c>
      <c r="J101" s="246">
        <f t="shared" si="25"/>
        <v>1.9457618850979896</v>
      </c>
      <c r="K101" s="246">
        <f t="shared" si="48"/>
        <v>88.259585823377776</v>
      </c>
      <c r="L101" s="246">
        <f t="shared" si="38"/>
        <v>554.5513328632029</v>
      </c>
      <c r="M101" s="246">
        <f t="shared" si="26"/>
        <v>8728.1620152297419</v>
      </c>
      <c r="N101" s="246">
        <f>SQRT((ABS(AC101)-171.5+'Small Signal'!C$59)^2)</f>
        <v>97.849175707608936</v>
      </c>
      <c r="O101" s="246">
        <f t="shared" si="39"/>
        <v>92.762816280704129</v>
      </c>
      <c r="P101" s="246">
        <f t="shared" si="40"/>
        <v>33.409948415062708</v>
      </c>
      <c r="Q101" s="246">
        <f t="shared" si="41"/>
        <v>88.259585823377776</v>
      </c>
      <c r="R101" s="246" t="str">
        <f t="shared" si="27"/>
        <v>0.161233333333333+0.00260639126445705i</v>
      </c>
      <c r="S101" s="246" t="str">
        <f t="shared" si="28"/>
        <v>0.025-191.836124843733i</v>
      </c>
      <c r="T101" s="246" t="str">
        <f t="shared" si="29"/>
        <v>23.629774489083-2.95619676722606i</v>
      </c>
      <c r="U101" s="246" t="str">
        <f t="shared" si="30"/>
        <v>84.3055360876065-1.84649560797752i</v>
      </c>
      <c r="V101" s="246">
        <f t="shared" si="42"/>
        <v>38.519204768477302</v>
      </c>
      <c r="W101" s="246">
        <f t="shared" si="43"/>
        <v>-1.2547158536351692</v>
      </c>
      <c r="X101" s="246" t="str">
        <f t="shared" si="31"/>
        <v>0.99999994460619-0.000041631948496075i</v>
      </c>
      <c r="Y101" s="246" t="str">
        <f t="shared" si="32"/>
        <v>39.9475839420964+1.74013366449748i</v>
      </c>
      <c r="Z101" s="246" t="str">
        <f t="shared" si="33"/>
        <v>24.9916551539212+1.08760465259125i</v>
      </c>
      <c r="AA101" s="246" t="str">
        <f t="shared" si="34"/>
        <v>15.178511540829-0.968469172904433i</v>
      </c>
      <c r="AB101" s="246">
        <f t="shared" si="44"/>
        <v>23.642228433169755</v>
      </c>
      <c r="AC101" s="246">
        <f t="shared" si="45"/>
        <v>-3.650824292391051</v>
      </c>
      <c r="AD101" s="248">
        <f t="shared" si="46"/>
        <v>9.7677199818929505</v>
      </c>
      <c r="AE101" s="248">
        <f t="shared" si="47"/>
        <v>96.413640573095179</v>
      </c>
      <c r="AF101" s="246">
        <f t="shared" si="35"/>
        <v>33.409948415062708</v>
      </c>
      <c r="AG101" s="246">
        <f t="shared" si="36"/>
        <v>92.762816280704129</v>
      </c>
      <c r="AH101" s="249" t="str">
        <f t="shared" si="37"/>
        <v>0.343922530017698-3.05956272973441i</v>
      </c>
    </row>
    <row r="102" spans="9:34" x14ac:dyDescent="0.2">
      <c r="I102" s="246">
        <v>98</v>
      </c>
      <c r="J102" s="246">
        <f t="shared" si="25"/>
        <v>1.9555120076247732</v>
      </c>
      <c r="K102" s="246">
        <f t="shared" si="48"/>
        <v>90.263466369070059</v>
      </c>
      <c r="L102" s="246">
        <f t="shared" si="38"/>
        <v>567.14208566523973</v>
      </c>
      <c r="M102" s="246">
        <f t="shared" si="26"/>
        <v>8726.112637787548</v>
      </c>
      <c r="N102" s="246">
        <f>SQRT((ABS(AC102)-171.5+'Small Signal'!C$59)^2)</f>
        <v>97.766486995722005</v>
      </c>
      <c r="O102" s="246">
        <f t="shared" si="39"/>
        <v>92.810573415936233</v>
      </c>
      <c r="P102" s="246">
        <f t="shared" si="40"/>
        <v>33.216515592073492</v>
      </c>
      <c r="Q102" s="246">
        <f t="shared" si="41"/>
        <v>90.263466369070059</v>
      </c>
      <c r="R102" s="246" t="str">
        <f t="shared" si="27"/>
        <v>0.161233333333333+0.00266556780262663i</v>
      </c>
      <c r="S102" s="246" t="str">
        <f t="shared" si="28"/>
        <v>0.025-187.577295729377i</v>
      </c>
      <c r="T102" s="246" t="str">
        <f t="shared" si="29"/>
        <v>23.6130465641233-3.02117290634503i</v>
      </c>
      <c r="U102" s="246" t="str">
        <f t="shared" si="30"/>
        <v>84.3049710065043-1.88843169303945i</v>
      </c>
      <c r="V102" s="246">
        <f t="shared" si="42"/>
        <v>38.519242237625697</v>
      </c>
      <c r="W102" s="246">
        <f t="shared" si="43"/>
        <v>-1.2832111011579108</v>
      </c>
      <c r="X102" s="246" t="str">
        <f t="shared" si="31"/>
        <v>0.999999942062269-0.0000425771767213411i</v>
      </c>
      <c r="Y102" s="246" t="str">
        <f t="shared" si="32"/>
        <v>39.9496056543931+1.77962509917247i</v>
      </c>
      <c r="Z102" s="246" t="str">
        <f t="shared" si="33"/>
        <v>24.9929219748045+1.11228721139837i</v>
      </c>
      <c r="AA102" s="246" t="str">
        <f t="shared" si="34"/>
        <v>15.1758163769167-0.990290002153673i</v>
      </c>
      <c r="AB102" s="246">
        <f t="shared" si="44"/>
        <v>23.641494898109951</v>
      </c>
      <c r="AC102" s="246">
        <f t="shared" si="45"/>
        <v>-3.7335130042780031</v>
      </c>
      <c r="AD102" s="248">
        <f t="shared" si="46"/>
        <v>9.5750206939635412</v>
      </c>
      <c r="AE102" s="248">
        <f t="shared" si="47"/>
        <v>96.544086420214242</v>
      </c>
      <c r="AF102" s="246">
        <f t="shared" si="35"/>
        <v>33.216515592073492</v>
      </c>
      <c r="AG102" s="246">
        <f t="shared" si="36"/>
        <v>92.810573415936233</v>
      </c>
      <c r="AH102" s="249" t="str">
        <f t="shared" si="37"/>
        <v>0.343188534172707-2.99165915228945i</v>
      </c>
    </row>
    <row r="103" spans="9:34" x14ac:dyDescent="0.2">
      <c r="I103" s="246">
        <v>99</v>
      </c>
      <c r="J103" s="246">
        <f t="shared" si="25"/>
        <v>1.9652621301515567</v>
      </c>
      <c r="K103" s="246">
        <f t="shared" si="48"/>
        <v>92.312843811263079</v>
      </c>
      <c r="L103" s="246">
        <f t="shared" si="38"/>
        <v>580.01870389889223</v>
      </c>
      <c r="M103" s="246">
        <f t="shared" si="26"/>
        <v>8724.0167304693205</v>
      </c>
      <c r="N103" s="246">
        <f>SQRT((ABS(AC103)-171.5+'Small Signal'!C$59)^2)</f>
        <v>97.681934849129647</v>
      </c>
      <c r="O103" s="246">
        <f t="shared" si="39"/>
        <v>92.859664132672691</v>
      </c>
      <c r="P103" s="246">
        <f t="shared" si="40"/>
        <v>33.023153174850975</v>
      </c>
      <c r="Q103" s="246">
        <f t="shared" si="41"/>
        <v>92.312843811263079</v>
      </c>
      <c r="R103" s="246" t="str">
        <f t="shared" si="27"/>
        <v>0.161233333333333+0.00272608790832479i</v>
      </c>
      <c r="S103" s="246" t="str">
        <f t="shared" si="28"/>
        <v>0.025-183.413014111953i</v>
      </c>
      <c r="T103" s="246" t="str">
        <f t="shared" si="29"/>
        <v>23.5955757697177-3.08747833739767i</v>
      </c>
      <c r="U103" s="246" t="str">
        <f t="shared" si="30"/>
        <v>84.3043799364519-1.93132078332343i</v>
      </c>
      <c r="V103" s="246">
        <f t="shared" si="42"/>
        <v>38.519281426387749</v>
      </c>
      <c r="W103" s="246">
        <f t="shared" si="43"/>
        <v>-1.3123538513090034</v>
      </c>
      <c r="X103" s="246" t="str">
        <f t="shared" si="31"/>
        <v>0.999999939401521-0.000043543865782098i</v>
      </c>
      <c r="Y103" s="246" t="str">
        <f t="shared" si="32"/>
        <v>39.9517202346741+1.82001196037129i</v>
      </c>
      <c r="Z103" s="246" t="str">
        <f t="shared" si="33"/>
        <v>24.9942469874275+1.1375294164567i</v>
      </c>
      <c r="AA103" s="246" t="str">
        <f t="shared" si="34"/>
        <v>15.1729984157524-1.01259463990647i</v>
      </c>
      <c r="AB103" s="246">
        <f t="shared" si="44"/>
        <v>23.640727809158047</v>
      </c>
      <c r="AC103" s="246">
        <f t="shared" si="45"/>
        <v>-3.8180651508703498</v>
      </c>
      <c r="AD103" s="248">
        <f t="shared" si="46"/>
        <v>9.3824253656929297</v>
      </c>
      <c r="AE103" s="248">
        <f t="shared" si="47"/>
        <v>96.677729283543044</v>
      </c>
      <c r="AF103" s="246">
        <f t="shared" si="35"/>
        <v>33.023153174850975</v>
      </c>
      <c r="AG103" s="246">
        <f t="shared" si="36"/>
        <v>92.859664132672691</v>
      </c>
      <c r="AH103" s="249" t="str">
        <f t="shared" si="37"/>
        <v>0.342486763129799-2.92526316279101i</v>
      </c>
    </row>
    <row r="104" spans="9:34" x14ac:dyDescent="0.2">
      <c r="I104" s="246">
        <v>100</v>
      </c>
      <c r="J104" s="246">
        <f t="shared" si="25"/>
        <v>1.97501225267834</v>
      </c>
      <c r="K104" s="246">
        <f t="shared" si="48"/>
        <v>94.408751129490213</v>
      </c>
      <c r="L104" s="246">
        <f t="shared" si="38"/>
        <v>593.18767796598706</v>
      </c>
      <c r="M104" s="246">
        <f t="shared" si="26"/>
        <v>8721.8732368423498</v>
      </c>
      <c r="N104" s="246">
        <f>SQRT((ABS(AC104)-171.5+'Small Signal'!C$59)^2)</f>
        <v>97.595477927170379</v>
      </c>
      <c r="O104" s="246">
        <f t="shared" si="39"/>
        <v>92.910107490204894</v>
      </c>
      <c r="P104" s="246">
        <f t="shared" si="40"/>
        <v>32.829864311080939</v>
      </c>
      <c r="Q104" s="246">
        <f t="shared" si="41"/>
        <v>94.408751129490213</v>
      </c>
      <c r="R104" s="246" t="str">
        <f t="shared" si="27"/>
        <v>0.161233333333333+0.00278798208644014i</v>
      </c>
      <c r="S104" s="246" t="str">
        <f t="shared" si="28"/>
        <v>0.025-179.341181003939i</v>
      </c>
      <c r="T104" s="246" t="str">
        <f t="shared" si="29"/>
        <v>23.5773303101935-3.15513345866709i</v>
      </c>
      <c r="U104" s="246" t="str">
        <f t="shared" si="30"/>
        <v>84.3037616803553-1.97518457692418i</v>
      </c>
      <c r="V104" s="246">
        <f t="shared" si="42"/>
        <v>38.519322413629396</v>
      </c>
      <c r="W104" s="246">
        <f t="shared" si="43"/>
        <v>-1.3421588425372406</v>
      </c>
      <c r="X104" s="246" t="str">
        <f t="shared" si="31"/>
        <v>0.999999936618579-0.0000445325029336432i</v>
      </c>
      <c r="Y104" s="246" t="str">
        <f t="shared" si="32"/>
        <v>39.9539319499285+1.86131449431437i</v>
      </c>
      <c r="Z104" s="246" t="str">
        <f t="shared" si="33"/>
        <v>24.9956328655091+1.1633439214337i</v>
      </c>
      <c r="AA104" s="246" t="str">
        <f t="shared" si="34"/>
        <v>15.1700521091158-1.03539326848679i</v>
      </c>
      <c r="AB104" s="246">
        <f t="shared" si="44"/>
        <v>23.639925637837202</v>
      </c>
      <c r="AC104" s="246">
        <f t="shared" si="45"/>
        <v>-3.9045220728296082</v>
      </c>
      <c r="AD104" s="248">
        <f t="shared" si="46"/>
        <v>9.1899386732437414</v>
      </c>
      <c r="AE104" s="248">
        <f t="shared" si="47"/>
        <v>96.814629563034501</v>
      </c>
      <c r="AF104" s="246">
        <f t="shared" si="35"/>
        <v>32.829864311080939</v>
      </c>
      <c r="AG104" s="246">
        <f t="shared" si="36"/>
        <v>92.910107490204894</v>
      </c>
      <c r="AH104" s="249" t="str">
        <f t="shared" si="37"/>
        <v>0.341815802049666-2.86034131707246i</v>
      </c>
    </row>
    <row r="105" spans="9:34" x14ac:dyDescent="0.2">
      <c r="I105" s="246">
        <v>101</v>
      </c>
      <c r="J105" s="246">
        <f t="shared" si="25"/>
        <v>1.9847623752051233</v>
      </c>
      <c r="K105" s="246">
        <f t="shared" si="48"/>
        <v>96.552244756460979</v>
      </c>
      <c r="L105" s="246">
        <f t="shared" si="38"/>
        <v>606.65564562900283</v>
      </c>
      <c r="M105" s="246">
        <f t="shared" si="26"/>
        <v>8719.6810764882612</v>
      </c>
      <c r="N105" s="246">
        <f>SQRT((ABS(AC105)-171.5+'Small Signal'!C$59)^2)</f>
        <v>97.507074017349623</v>
      </c>
      <c r="O105" s="246">
        <f t="shared" si="39"/>
        <v>92.961922845348838</v>
      </c>
      <c r="P105" s="246">
        <f t="shared" si="40"/>
        <v>32.636652282077705</v>
      </c>
      <c r="Q105" s="246">
        <f t="shared" si="41"/>
        <v>96.552244756460979</v>
      </c>
      <c r="R105" s="246" t="str">
        <f t="shared" si="27"/>
        <v>0.161233333333333+0.00285128153445631i</v>
      </c>
      <c r="S105" s="246" t="str">
        <f t="shared" si="28"/>
        <v>0.025-175.359744016068i</v>
      </c>
      <c r="T105" s="246" t="str">
        <f t="shared" si="29"/>
        <v>23.5582771390023-3.22415849451014i</v>
      </c>
      <c r="U105" s="246" t="str">
        <f t="shared" si="30"/>
        <v>84.3031149858063-2.02004526880071i</v>
      </c>
      <c r="V105" s="246">
        <f t="shared" si="42"/>
        <v>38.519365281828179</v>
      </c>
      <c r="W105" s="246">
        <f t="shared" si="43"/>
        <v>-1.3726411505173157</v>
      </c>
      <c r="X105" s="246" t="str">
        <f t="shared" si="31"/>
        <v>0.999999933707833-0.0000455435864941109i</v>
      </c>
      <c r="Y105" s="246" t="str">
        <f t="shared" si="32"/>
        <v>39.9562452632998+1.90355340104213i</v>
      </c>
      <c r="Z105" s="246" t="str">
        <f t="shared" si="33"/>
        <v>24.997082405679+1.18974366360655i</v>
      </c>
      <c r="AA105" s="246" t="str">
        <f t="shared" si="34"/>
        <v>15.1669716624718-1.05869624637377i</v>
      </c>
      <c r="AB105" s="246">
        <f t="shared" si="44"/>
        <v>23.639086786639751</v>
      </c>
      <c r="AC105" s="246">
        <f t="shared" si="45"/>
        <v>-3.992925982650382</v>
      </c>
      <c r="AD105" s="248">
        <f t="shared" si="46"/>
        <v>8.9975654954379536</v>
      </c>
      <c r="AE105" s="248">
        <f t="shared" si="47"/>
        <v>96.954848827999214</v>
      </c>
      <c r="AF105" s="246">
        <f t="shared" si="35"/>
        <v>32.636652282077705</v>
      </c>
      <c r="AG105" s="246">
        <f t="shared" si="36"/>
        <v>92.961922845348838</v>
      </c>
      <c r="AH105" s="249" t="str">
        <f t="shared" si="37"/>
        <v>0.341174298198959-2.79686091254169i</v>
      </c>
    </row>
    <row r="106" spans="9:34" x14ac:dyDescent="0.2">
      <c r="I106" s="246">
        <v>102</v>
      </c>
      <c r="J106" s="246">
        <f t="shared" si="25"/>
        <v>1.9945124977319069</v>
      </c>
      <c r="K106" s="246">
        <f t="shared" si="48"/>
        <v>98.744405110550744</v>
      </c>
      <c r="L106" s="246">
        <f t="shared" si="38"/>
        <v>620.42939535680125</v>
      </c>
      <c r="M106" s="246">
        <f t="shared" si="26"/>
        <v>8717.4391444584307</v>
      </c>
      <c r="N106" s="246">
        <f>SQRT((ABS(AC106)-171.5+'Small Signal'!C$59)^2)</f>
        <v>97.416680020124232</v>
      </c>
      <c r="O106" s="246">
        <f t="shared" si="39"/>
        <v>93.015129836816939</v>
      </c>
      <c r="P106" s="246">
        <f t="shared" si="40"/>
        <v>32.443520508060367</v>
      </c>
      <c r="Q106" s="246">
        <f t="shared" si="41"/>
        <v>98.744405110550744</v>
      </c>
      <c r="R106" s="246" t="str">
        <f t="shared" si="27"/>
        <v>0.161233333333333+0.00291601815817697i</v>
      </c>
      <c r="S106" s="246" t="str">
        <f t="shared" si="28"/>
        <v>0.025-171.466696322834i</v>
      </c>
      <c r="T106" s="246" t="str">
        <f t="shared" si="29"/>
        <v>23.5383819197329-3.29457345208298i</v>
      </c>
      <c r="U106" s="246" t="str">
        <f t="shared" si="30"/>
        <v>84.3024385425156-2.065925562351i</v>
      </c>
      <c r="V106" s="246">
        <f t="shared" si="42"/>
        <v>38.519410117238621</v>
      </c>
      <c r="W106" s="246">
        <f t="shared" si="43"/>
        <v>-1.4038161959874411</v>
      </c>
      <c r="X106" s="246" t="str">
        <f t="shared" si="31"/>
        <v>0.999999930663413-0.0000465776260956477i</v>
      </c>
      <c r="Y106" s="246" t="str">
        <f t="shared" si="32"/>
        <v>39.9586648431137+1.94674984430906i</v>
      </c>
      <c r="Z106" s="246" t="str">
        <f t="shared" si="33"/>
        <v>24.9985985331346+1.21674187004375i</v>
      </c>
      <c r="AA106" s="246" t="str">
        <f t="shared" si="34"/>
        <v>15.1637510244443-1.08251410846914i</v>
      </c>
      <c r="AB106" s="246">
        <f t="shared" si="44"/>
        <v>23.638209585965345</v>
      </c>
      <c r="AC106" s="246">
        <f t="shared" si="45"/>
        <v>-4.083319979875772</v>
      </c>
      <c r="AD106" s="248">
        <f t="shared" si="46"/>
        <v>8.8053109220950212</v>
      </c>
      <c r="AE106" s="248">
        <f t="shared" si="47"/>
        <v>97.098449816692707</v>
      </c>
      <c r="AF106" s="246">
        <f t="shared" si="35"/>
        <v>32.443520508060367</v>
      </c>
      <c r="AG106" s="246">
        <f t="shared" si="36"/>
        <v>93.015129836816939</v>
      </c>
      <c r="AH106" s="249" t="str">
        <f t="shared" si="37"/>
        <v>0.340560958224323-2.73478997179251i</v>
      </c>
    </row>
    <row r="107" spans="9:34" x14ac:dyDescent="0.2">
      <c r="I107" s="246">
        <v>103</v>
      </c>
      <c r="J107" s="246">
        <f t="shared" si="25"/>
        <v>2.0042626202586904</v>
      </c>
      <c r="K107" s="246">
        <f t="shared" si="48"/>
        <v>100.98633714038108</v>
      </c>
      <c r="L107" s="246">
        <f t="shared" si="38"/>
        <v>634.51586974632653</v>
      </c>
      <c r="M107" s="246">
        <f t="shared" si="26"/>
        <v>8715.1463107170475</v>
      </c>
      <c r="N107" s="246">
        <f>SQRT((ABS(AC107)-171.5+'Small Signal'!C$59)^2)</f>
        <v>97.324251933652079</v>
      </c>
      <c r="O107" s="246">
        <f t="shared" si="39"/>
        <v>93.069748368121623</v>
      </c>
      <c r="P107" s="246">
        <f t="shared" si="40"/>
        <v>32.250472553589475</v>
      </c>
      <c r="Q107" s="246">
        <f t="shared" si="41"/>
        <v>100.98633714038108</v>
      </c>
      <c r="R107" s="246" t="str">
        <f t="shared" si="27"/>
        <v>0.161233333333333+0.00298222458780773i</v>
      </c>
      <c r="S107" s="246" t="str">
        <f t="shared" si="28"/>
        <v>0.025-167.660075650961i</v>
      </c>
      <c r="T107" s="246" t="str">
        <f t="shared" si="29"/>
        <v>23.5176089869002-3.36639807490771i</v>
      </c>
      <c r="U107" s="246" t="str">
        <f t="shared" si="30"/>
        <v>84.3017309796179-2.11284868126947i</v>
      </c>
      <c r="V107" s="246">
        <f t="shared" si="42"/>
        <v>38.519457010064457</v>
      </c>
      <c r="W107" s="246">
        <f t="shared" si="43"/>
        <v>-1.4356997527773825</v>
      </c>
      <c r="X107" s="246" t="str">
        <f t="shared" si="31"/>
        <v>0.99999992747918-0.0000476351429412896i</v>
      </c>
      <c r="Y107" s="246" t="str">
        <f t="shared" si="32"/>
        <v>39.9611955723204+1.99092546167361i</v>
      </c>
      <c r="Z107" s="246" t="str">
        <f t="shared" si="33"/>
        <v>25.0001843075571+1.2443520639089i</v>
      </c>
      <c r="AA107" s="246" t="str">
        <f t="shared" si="34"/>
        <v>15.1603838758783-1.1068575661226i</v>
      </c>
      <c r="AB107" s="246">
        <f t="shared" si="44"/>
        <v>23.637292290928336</v>
      </c>
      <c r="AC107" s="246">
        <f t="shared" si="45"/>
        <v>-4.1757480663479303</v>
      </c>
      <c r="AD107" s="248">
        <f t="shared" si="46"/>
        <v>8.6131802626611353</v>
      </c>
      <c r="AE107" s="248">
        <f t="shared" si="47"/>
        <v>97.245496434469558</v>
      </c>
      <c r="AF107" s="246">
        <f t="shared" si="35"/>
        <v>32.250472553589475</v>
      </c>
      <c r="AG107" s="246">
        <f t="shared" si="36"/>
        <v>93.069748368121623</v>
      </c>
      <c r="AH107" s="249" t="str">
        <f t="shared" si="37"/>
        <v>0.339974545546045-2.67409722657562i</v>
      </c>
    </row>
    <row r="108" spans="9:34" x14ac:dyDescent="0.2">
      <c r="I108" s="246">
        <v>104</v>
      </c>
      <c r="J108" s="246">
        <f t="shared" si="25"/>
        <v>2.0140127427854737</v>
      </c>
      <c r="K108" s="246">
        <f t="shared" si="48"/>
        <v>103.27917088176403</v>
      </c>
      <c r="L108" s="246">
        <f t="shared" si="38"/>
        <v>648.92216902198948</v>
      </c>
      <c r="M108" s="246">
        <f t="shared" si="26"/>
        <v>8712.8014195715205</v>
      </c>
      <c r="N108" s="246">
        <f>SQRT((ABS(AC108)-171.5+'Small Signal'!C$59)^2)</f>
        <v>97.229744838526102</v>
      </c>
      <c r="O108" s="246">
        <f t="shared" si="39"/>
        <v>93.125798588907315</v>
      </c>
      <c r="P108" s="246">
        <f t="shared" si="40"/>
        <v>32.057512133163883</v>
      </c>
      <c r="Q108" s="246">
        <f t="shared" si="41"/>
        <v>103.27917088176403</v>
      </c>
      <c r="R108" s="246" t="str">
        <f t="shared" si="27"/>
        <v>0.161233333333333+0.00304993419440335i</v>
      </c>
      <c r="S108" s="246" t="str">
        <f t="shared" si="28"/>
        <v>0.025-163.937963290324i</v>
      </c>
      <c r="T108" s="246" t="str">
        <f t="shared" si="29"/>
        <v>23.4959213066267-3.43965179311819i</v>
      </c>
      <c r="U108" s="246" t="str">
        <f t="shared" si="30"/>
        <v>84.300990862853-2.16083838169577i</v>
      </c>
      <c r="V108" s="246">
        <f t="shared" si="42"/>
        <v>38.519506054638953</v>
      </c>
      <c r="W108" s="246">
        <f t="shared" si="43"/>
        <v>-1.4683079560324481</v>
      </c>
      <c r="X108" s="246" t="str">
        <f t="shared" si="31"/>
        <v>0.999999924148714-0.0000487166700676726i</v>
      </c>
      <c r="Y108" s="246" t="str">
        <f t="shared" si="32"/>
        <v>39.9638425583737+2.03610237478654i</v>
      </c>
      <c r="Z108" s="246" t="str">
        <f t="shared" si="33"/>
        <v>25.0018429293022+1.27258807088843i</v>
      </c>
      <c r="AA108" s="246" t="str">
        <f t="shared" si="34"/>
        <v>15.1568636184789-1.1317375068938i</v>
      </c>
      <c r="AB108" s="246">
        <f t="shared" si="44"/>
        <v>23.636333078029676</v>
      </c>
      <c r="AC108" s="246">
        <f t="shared" si="45"/>
        <v>-4.2702551614739006</v>
      </c>
      <c r="AD108" s="248">
        <f t="shared" si="46"/>
        <v>8.4211790551342052</v>
      </c>
      <c r="AE108" s="248">
        <f t="shared" si="47"/>
        <v>97.396053750381213</v>
      </c>
      <c r="AF108" s="246">
        <f t="shared" si="35"/>
        <v>32.057512133163883</v>
      </c>
      <c r="AG108" s="246">
        <f t="shared" si="36"/>
        <v>93.125798588907315</v>
      </c>
      <c r="AH108" s="249" t="str">
        <f t="shared" si="37"/>
        <v>0.339413877866013-2.61475210212114i</v>
      </c>
    </row>
    <row r="109" spans="9:34" x14ac:dyDescent="0.2">
      <c r="I109" s="246">
        <v>105</v>
      </c>
      <c r="J109" s="246">
        <f t="shared" si="25"/>
        <v>2.023762865312257</v>
      </c>
      <c r="K109" s="246">
        <f t="shared" si="48"/>
        <v>105.6240620272918</v>
      </c>
      <c r="L109" s="246">
        <f t="shared" si="38"/>
        <v>663.65555461450515</v>
      </c>
      <c r="M109" s="246">
        <f t="shared" si="26"/>
        <v>8710.4032890899525</v>
      </c>
      <c r="N109" s="246">
        <f>SQRT((ABS(AC109)-171.5+'Small Signal'!C$59)^2)</f>
        <v>97.133112882515007</v>
      </c>
      <c r="O109" s="246">
        <f t="shared" si="39"/>
        <v>93.1833008746042</v>
      </c>
      <c r="P109" s="246">
        <f t="shared" si="40"/>
        <v>31.86464311697776</v>
      </c>
      <c r="Q109" s="246">
        <f t="shared" si="41"/>
        <v>105.6240620272918</v>
      </c>
      <c r="R109" s="246" t="str">
        <f t="shared" si="27"/>
        <v>0.161233333333333+0.00311918110668817i</v>
      </c>
      <c r="S109" s="246" t="str">
        <f t="shared" si="28"/>
        <v>0.025-160.298483126836i</v>
      </c>
      <c r="T109" s="246" t="str">
        <f t="shared" si="29"/>
        <v>23.473280437344-3.51435367021809i</v>
      </c>
      <c r="U109" s="246" t="str">
        <f t="shared" si="30"/>
        <v>84.3002166916109-2.20991896466224i</v>
      </c>
      <c r="V109" s="246">
        <f t="shared" si="42"/>
        <v>38.519557349613073</v>
      </c>
      <c r="W109" s="246">
        <f t="shared" si="43"/>
        <v>-1.5016573106383735</v>
      </c>
      <c r="X109" s="246" t="str">
        <f t="shared" si="31"/>
        <v>0.999999920665298-0.0000498227526137076i</v>
      </c>
      <c r="Y109" s="246" t="str">
        <f t="shared" si="32"/>
        <v>39.9666111435631+2.08230319987977i</v>
      </c>
      <c r="Z109" s="246" t="str">
        <f t="shared" si="33"/>
        <v>25.0035777458739+1.30146402574429i</v>
      </c>
      <c r="AA109" s="246" t="str">
        <f t="shared" si="34"/>
        <v>15.1531833630139-1.157164994028i</v>
      </c>
      <c r="AB109" s="246">
        <f t="shared" si="44"/>
        <v>23.635330041687752</v>
      </c>
      <c r="AC109" s="246">
        <f t="shared" si="45"/>
        <v>-4.3668871174850006</v>
      </c>
      <c r="AD109" s="248">
        <f t="shared" si="46"/>
        <v>8.2293130752900083</v>
      </c>
      <c r="AE109" s="248">
        <f t="shared" si="47"/>
        <v>97.550187992089207</v>
      </c>
      <c r="AF109" s="246">
        <f t="shared" si="35"/>
        <v>31.86464311697776</v>
      </c>
      <c r="AG109" s="246">
        <f t="shared" si="36"/>
        <v>93.1833008746042</v>
      </c>
      <c r="AH109" s="249" t="str">
        <f t="shared" si="37"/>
        <v>0.338877824785051-2.5567247018053i</v>
      </c>
    </row>
    <row r="110" spans="9:34" x14ac:dyDescent="0.2">
      <c r="I110" s="246">
        <v>106</v>
      </c>
      <c r="J110" s="246">
        <f t="shared" si="25"/>
        <v>2.0335129878390403</v>
      </c>
      <c r="K110" s="246">
        <f t="shared" si="48"/>
        <v>108.0221925088584</v>
      </c>
      <c r="L110" s="246">
        <f t="shared" si="38"/>
        <v>678.72345282098388</v>
      </c>
      <c r="M110" s="246">
        <f t="shared" si="26"/>
        <v>8707.9507105054054</v>
      </c>
      <c r="N110" s="246">
        <f>SQRT((ABS(AC110)-171.5+'Small Signal'!C$59)^2)</f>
        <v>97.034309265333292</v>
      </c>
      <c r="O110" s="246">
        <f t="shared" si="39"/>
        <v>93.242275804287729</v>
      </c>
      <c r="P110" s="246">
        <f t="shared" si="40"/>
        <v>31.67186953683704</v>
      </c>
      <c r="Q110" s="246">
        <f t="shared" si="41"/>
        <v>108.0221925088584</v>
      </c>
      <c r="R110" s="246" t="str">
        <f t="shared" si="27"/>
        <v>0.161233333333333+0.00319000022825862i</v>
      </c>
      <c r="S110" s="246" t="str">
        <f t="shared" si="28"/>
        <v>0.025-156.739800696799i</v>
      </c>
      <c r="T110" s="246" t="str">
        <f t="shared" si="29"/>
        <v>23.4496464906581-3.59052234618258i</v>
      </c>
      <c r="U110" s="246" t="str">
        <f t="shared" si="30"/>
        <v>84.2994068958427-2.26011528884947i</v>
      </c>
      <c r="V110" s="246">
        <f t="shared" si="42"/>
        <v>38.519610998152764</v>
      </c>
      <c r="W110" s="246">
        <f t="shared" si="43"/>
        <v>-1.5357646998532566</v>
      </c>
      <c r="X110" s="246" t="str">
        <f t="shared" si="31"/>
        <v>0.999999917021909-0.0000509539480953547i</v>
      </c>
      <c r="Y110" s="246" t="str">
        <f t="shared" si="32"/>
        <v>39.9695069158279+2.12955105845834i</v>
      </c>
      <c r="Z110" s="246" t="str">
        <f t="shared" si="33"/>
        <v>25.0053922587003+1.3309943789936i</v>
      </c>
      <c r="AA110" s="246" t="str">
        <f t="shared" si="34"/>
        <v>15.1493359170685-1.18315126562121i</v>
      </c>
      <c r="AB110" s="246">
        <f t="shared" si="44"/>
        <v>23.634281190623074</v>
      </c>
      <c r="AC110" s="246">
        <f t="shared" si="45"/>
        <v>-4.465690734666695</v>
      </c>
      <c r="AD110" s="248">
        <f t="shared" si="46"/>
        <v>8.0375883462139655</v>
      </c>
      <c r="AE110" s="248">
        <f t="shared" si="47"/>
        <v>97.707966538954423</v>
      </c>
      <c r="AF110" s="246">
        <f t="shared" si="35"/>
        <v>31.67186953683704</v>
      </c>
      <c r="AG110" s="246">
        <f t="shared" si="36"/>
        <v>93.242275804287729</v>
      </c>
      <c r="AH110" s="249" t="str">
        <f t="shared" si="37"/>
        <v>0.338365305524737-2.49998579215384i</v>
      </c>
    </row>
    <row r="111" spans="9:34" x14ac:dyDescent="0.2">
      <c r="I111" s="246">
        <v>107</v>
      </c>
      <c r="J111" s="246">
        <f t="shared" si="25"/>
        <v>2.0432631103658236</v>
      </c>
      <c r="K111" s="246">
        <f t="shared" si="48"/>
        <v>110.4747710934067</v>
      </c>
      <c r="L111" s="246">
        <f t="shared" si="38"/>
        <v>694.1334585481211</v>
      </c>
      <c r="M111" s="246">
        <f t="shared" si="26"/>
        <v>8705.4424476066088</v>
      </c>
      <c r="N111" s="246">
        <f>SQRT((ABS(AC111)-171.5+'Small Signal'!C$59)^2)</f>
        <v>96.933286223467064</v>
      </c>
      <c r="O111" s="246">
        <f t="shared" si="39"/>
        <v>93.302744136626785</v>
      </c>
      <c r="P111" s="246">
        <f t="shared" si="40"/>
        <v>31.479195592233708</v>
      </c>
      <c r="Q111" s="246">
        <f t="shared" si="41"/>
        <v>110.4747710934067</v>
      </c>
      <c r="R111" s="246" t="str">
        <f t="shared" si="27"/>
        <v>0.161233333333333+0.00326242725517617i</v>
      </c>
      <c r="S111" s="246" t="str">
        <f t="shared" si="28"/>
        <v>0.025-153.260122262251i</v>
      </c>
      <c r="T111" s="246" t="str">
        <f t="shared" si="29"/>
        <v>23.4249780925389-3.66817597673101i</v>
      </c>
      <c r="U111" s="246" t="str">
        <f t="shared" si="30"/>
        <v>84.2985598328204-2.31145278365749i</v>
      </c>
      <c r="V111" s="246">
        <f t="shared" si="42"/>
        <v>38.519667108144645</v>
      </c>
      <c r="W111" s="246">
        <f t="shared" si="43"/>
        <v>-1.5706473941516699</v>
      </c>
      <c r="X111" s="246" t="str">
        <f t="shared" si="31"/>
        <v>0.9999999132112-0.0000521108266866368i</v>
      </c>
      <c r="Y111" s="246" t="str">
        <f t="shared" si="32"/>
        <v>39.9725357200651+2.17786958819724i</v>
      </c>
      <c r="Z111" s="246" t="str">
        <f t="shared" si="33"/>
        <v>25.0072901302195+1.36119390371595i</v>
      </c>
      <c r="AA111" s="246" t="str">
        <f t="shared" si="34"/>
        <v>15.1453137723391-1.20970773344868i</v>
      </c>
      <c r="AB111" s="246">
        <f t="shared" si="44"/>
        <v>23.63318444409089</v>
      </c>
      <c r="AC111" s="246">
        <f t="shared" si="45"/>
        <v>-4.5667137765329393</v>
      </c>
      <c r="AD111" s="248">
        <f t="shared" si="46"/>
        <v>7.8460111481428179</v>
      </c>
      <c r="AE111" s="248">
        <f t="shared" si="47"/>
        <v>97.869457913159721</v>
      </c>
      <c r="AF111" s="246">
        <f t="shared" si="35"/>
        <v>31.479195592233708</v>
      </c>
      <c r="AG111" s="246">
        <f t="shared" si="36"/>
        <v>93.302744136626785</v>
      </c>
      <c r="AH111" s="249" t="str">
        <f t="shared" si="37"/>
        <v>0.33787528674921-2.44450678817496i</v>
      </c>
    </row>
    <row r="112" spans="9:34" x14ac:dyDescent="0.2">
      <c r="I112" s="246">
        <v>108</v>
      </c>
      <c r="J112" s="246">
        <f t="shared" si="25"/>
        <v>2.0530132328926074</v>
      </c>
      <c r="K112" s="246">
        <f t="shared" si="48"/>
        <v>112.98303399220288</v>
      </c>
      <c r="L112" s="246">
        <f t="shared" si="38"/>
        <v>709.89333914038082</v>
      </c>
      <c r="M112" s="246">
        <f t="shared" si="26"/>
        <v>8702.8772361148694</v>
      </c>
      <c r="N112" s="246">
        <f>SQRT((ABS(AC112)-171.5+'Small Signal'!C$59)^2)</f>
        <v>96.829995015082233</v>
      </c>
      <c r="O112" s="246">
        <f t="shared" si="39"/>
        <v>93.364726783794026</v>
      </c>
      <c r="P112" s="246">
        <f t="shared" si="40"/>
        <v>31.28662565657627</v>
      </c>
      <c r="Q112" s="246">
        <f t="shared" si="41"/>
        <v>112.98303399220288</v>
      </c>
      <c r="R112" s="246" t="str">
        <f t="shared" si="27"/>
        <v>0.161233333333333+0.00333649869395979i</v>
      </c>
      <c r="S112" s="246" t="str">
        <f t="shared" si="28"/>
        <v>0.025-149.857693906841i</v>
      </c>
      <c r="T112" s="246" t="str">
        <f t="shared" si="29"/>
        <v>23.3992323450105-3.74733216859706i</v>
      </c>
      <c r="U112" s="246" t="str">
        <f t="shared" si="30"/>
        <v>84.2976737837448-2.36395746260253i</v>
      </c>
      <c r="V112" s="246">
        <f t="shared" si="42"/>
        <v>38.519725792411116</v>
      </c>
      <c r="W112" s="246">
        <f t="shared" si="43"/>
        <v>-1.6063230602874585</v>
      </c>
      <c r="X112" s="246" t="str">
        <f t="shared" si="31"/>
        <v>0.999999909225486-0.0000532939715070336i</v>
      </c>
      <c r="Y112" s="246" t="str">
        <f t="shared" si="32"/>
        <v>39.9757036699631+2.22728295404532i</v>
      </c>
      <c r="Z112" s="246" t="str">
        <f t="shared" si="33"/>
        <v>25.0092751912941+1.39207770248999i</v>
      </c>
      <c r="AA112" s="246" t="str">
        <f t="shared" si="34"/>
        <v>15.1411090914553-1.23684598142928i</v>
      </c>
      <c r="AB112" s="246">
        <f t="shared" si="44"/>
        <v>23.632037627956567</v>
      </c>
      <c r="AC112" s="246">
        <f t="shared" si="45"/>
        <v>-4.6700049849177585</v>
      </c>
      <c r="AD112" s="248">
        <f t="shared" si="46"/>
        <v>7.6545880286197043</v>
      </c>
      <c r="AE112" s="248">
        <f t="shared" si="47"/>
        <v>98.034731768711779</v>
      </c>
      <c r="AF112" s="246">
        <f t="shared" si="35"/>
        <v>31.28662565657627</v>
      </c>
      <c r="AG112" s="246">
        <f t="shared" si="36"/>
        <v>93.364726783794026</v>
      </c>
      <c r="AH112" s="249" t="str">
        <f t="shared" si="37"/>
        <v>0.33740678048254-2.39025973901473i</v>
      </c>
    </row>
    <row r="113" spans="9:34" x14ac:dyDescent="0.2">
      <c r="I113" s="246">
        <v>109</v>
      </c>
      <c r="J113" s="246">
        <f t="shared" si="25"/>
        <v>2.0627633554193903</v>
      </c>
      <c r="K113" s="246">
        <f t="shared" si="48"/>
        <v>115.54824548394181</v>
      </c>
      <c r="L113" s="246">
        <f t="shared" si="38"/>
        <v>726.01103829508315</v>
      </c>
      <c r="M113" s="246">
        <f t="shared" si="26"/>
        <v>8700.2537830468082</v>
      </c>
      <c r="N113" s="246">
        <f>SQRT((ABS(AC113)-171.5+'Small Signal'!C$59)^2)</f>
        <v>96.72438590504558</v>
      </c>
      <c r="O113" s="246">
        <f t="shared" si="39"/>
        <v>93.428244783206637</v>
      </c>
      <c r="P113" s="246">
        <f t="shared" si="40"/>
        <v>31.094164283573107</v>
      </c>
      <c r="Q113" s="246">
        <f t="shared" si="41"/>
        <v>115.54824548394181</v>
      </c>
      <c r="R113" s="246" t="str">
        <f t="shared" si="27"/>
        <v>0.161233333333333+0.00341225187998689i</v>
      </c>
      <c r="S113" s="246" t="str">
        <f t="shared" si="28"/>
        <v>0.025-146.530800651774i</v>
      </c>
      <c r="T113" s="246" t="str">
        <f t="shared" si="29"/>
        <v>23.3723647885387-3.82800791062115i</v>
      </c>
      <c r="U113" s="246" t="str">
        <f t="shared" si="30"/>
        <v>84.296746950195-2.41765593704831i</v>
      </c>
      <c r="V113" s="246">
        <f t="shared" si="42"/>
        <v>38.519787168935558</v>
      </c>
      <c r="W113" s="246">
        <f t="shared" si="43"/>
        <v>-1.6428097705811238</v>
      </c>
      <c r="X113" s="246" t="str">
        <f t="shared" si="31"/>
        <v>0.999999905056732-0.0000545039789153998i</v>
      </c>
      <c r="Y113" s="246" t="str">
        <f t="shared" si="32"/>
        <v>39.9790171603785+2.27781585953817i</v>
      </c>
      <c r="Z113" s="246" t="str">
        <f t="shared" si="33"/>
        <v>25.0113514489667+1.42366121446038i</v>
      </c>
      <c r="AA113" s="246" t="str">
        <f t="shared" si="34"/>
        <v>15.1367136943181-1.26457776369643i</v>
      </c>
      <c r="AB113" s="246">
        <f t="shared" si="44"/>
        <v>23.630838470607877</v>
      </c>
      <c r="AC113" s="246">
        <f t="shared" si="45"/>
        <v>-4.7756140949544283</v>
      </c>
      <c r="AD113" s="248">
        <f t="shared" si="46"/>
        <v>7.4633258129652305</v>
      </c>
      <c r="AE113" s="248">
        <f t="shared" si="47"/>
        <v>98.203858878161071</v>
      </c>
      <c r="AF113" s="246">
        <f t="shared" si="35"/>
        <v>31.094164283573107</v>
      </c>
      <c r="AG113" s="246">
        <f t="shared" si="36"/>
        <v>93.428244783206637</v>
      </c>
      <c r="AH113" s="249" t="str">
        <f t="shared" si="37"/>
        <v>0.336958842117463-2.33721731392798i</v>
      </c>
    </row>
    <row r="114" spans="9:34" x14ac:dyDescent="0.2">
      <c r="I114" s="246">
        <v>110</v>
      </c>
      <c r="J114" s="246">
        <f t="shared" si="25"/>
        <v>2.072513477946174</v>
      </c>
      <c r="K114" s="246">
        <f t="shared" si="48"/>
        <v>118.17169855200297</v>
      </c>
      <c r="L114" s="246">
        <f t="shared" si="38"/>
        <v>742.49468006640018</v>
      </c>
      <c r="M114" s="246">
        <f t="shared" si="26"/>
        <v>8697.5707660626394</v>
      </c>
      <c r="N114" s="246">
        <f>SQRT((ABS(AC114)-171.5+'Small Signal'!C$59)^2)</f>
        <v>96.616408150091104</v>
      </c>
      <c r="O114" s="246">
        <f t="shared" si="39"/>
        <v>93.493319266962459</v>
      </c>
      <c r="P114" s="246">
        <f t="shared" si="40"/>
        <v>30.901816213763706</v>
      </c>
      <c r="Q114" s="246">
        <f t="shared" si="41"/>
        <v>118.17169855200297</v>
      </c>
      <c r="R114" s="246" t="str">
        <f t="shared" si="27"/>
        <v>0.161233333333333+0.00348972499631208i</v>
      </c>
      <c r="S114" s="246" t="str">
        <f t="shared" si="28"/>
        <v>0.025-143.277765591385i</v>
      </c>
      <c r="T114" s="246" t="str">
        <f t="shared" si="29"/>
        <v>23.3443293653309-3.91021950049004i</v>
      </c>
      <c r="U114" s="246" t="str">
        <f t="shared" si="30"/>
        <v>84.2957774504041-2.47257543028147i</v>
      </c>
      <c r="V114" s="246">
        <f t="shared" si="42"/>
        <v>38.519851361097082</v>
      </c>
      <c r="W114" s="246">
        <f t="shared" si="43"/>
        <v>-1.6801260124382933</v>
      </c>
      <c r="X114" s="246" t="str">
        <f t="shared" si="31"/>
        <v>0.999999900696531-0.0000557414588105577i</v>
      </c>
      <c r="Y114" s="246" t="str">
        <f t="shared" si="32"/>
        <v>39.982482880288+2.32949355832135i</v>
      </c>
      <c r="Z114" s="246" t="str">
        <f t="shared" si="33"/>
        <v>25.0135230945753+1.45596022253591i</v>
      </c>
      <c r="AA114" s="246" t="str">
        <f t="shared" si="34"/>
        <v>15.1321190439414-1.29291500224391i</v>
      </c>
      <c r="AB114" s="246">
        <f t="shared" si="44"/>
        <v>23.629584598697218</v>
      </c>
      <c r="AC114" s="246">
        <f t="shared" si="45"/>
        <v>-4.8835918499089086</v>
      </c>
      <c r="AD114" s="248">
        <f t="shared" si="46"/>
        <v>7.272231615066489</v>
      </c>
      <c r="AE114" s="248">
        <f t="shared" si="47"/>
        <v>98.376911116871369</v>
      </c>
      <c r="AF114" s="246">
        <f t="shared" si="35"/>
        <v>30.901816213763706</v>
      </c>
      <c r="AG114" s="246">
        <f t="shared" si="36"/>
        <v>93.493319266962459</v>
      </c>
      <c r="AH114" s="249" t="str">
        <f t="shared" si="37"/>
        <v>0.336530568511493-2.28535278855787i</v>
      </c>
    </row>
    <row r="115" spans="9:34" x14ac:dyDescent="0.2">
      <c r="I115" s="246">
        <v>111</v>
      </c>
      <c r="J115" s="246">
        <f t="shared" si="25"/>
        <v>2.0822636004729578</v>
      </c>
      <c r="K115" s="246">
        <f t="shared" si="48"/>
        <v>120.85471553617126</v>
      </c>
      <c r="L115" s="246">
        <f t="shared" si="38"/>
        <v>759.35257296023974</v>
      </c>
      <c r="M115" s="246">
        <f t="shared" si="26"/>
        <v>8694.8268327996557</v>
      </c>
      <c r="N115" s="246">
        <f>SQRT((ABS(AC115)-171.5+'Small Signal'!C$59)^2)</f>
        <v>96.506009984166354</v>
      </c>
      <c r="O115" s="246">
        <f t="shared" si="39"/>
        <v>93.559971428826401</v>
      </c>
      <c r="P115" s="246">
        <f t="shared" si="40"/>
        <v>30.709586381194768</v>
      </c>
      <c r="Q115" s="246">
        <f t="shared" si="41"/>
        <v>120.85471553617126</v>
      </c>
      <c r="R115" s="246" t="str">
        <f t="shared" si="27"/>
        <v>0.161233333333333+0.00356895709291313i</v>
      </c>
      <c r="S115" s="246" t="str">
        <f t="shared" si="28"/>
        <v>0.025-140.096949047902i</v>
      </c>
      <c r="T115" s="246" t="str">
        <f t="shared" si="29"/>
        <v>23.3150783837865-3.99398246694974i</v>
      </c>
      <c r="U115" s="246" t="str">
        <f t="shared" si="30"/>
        <v>84.2947633153621-2.52874379194136i</v>
      </c>
      <c r="V115" s="246">
        <f t="shared" si="42"/>
        <v>38.519918497916343</v>
      </c>
      <c r="W115" s="246">
        <f t="shared" si="43"/>
        <v>-1.7182906981058723</v>
      </c>
      <c r="X115" s="246" t="str">
        <f t="shared" si="31"/>
        <v>0.999999896136091-0.0000570070349387135i</v>
      </c>
      <c r="Y115" s="246" t="str">
        <f t="shared" si="32"/>
        <v>39.9861078263354+2.38234186588586i</v>
      </c>
      <c r="Z115" s="246" t="str">
        <f t="shared" si="33"/>
        <v>25.0157945122414+1.48899086072005i</v>
      </c>
      <c r="AA115" s="246" t="str">
        <f t="shared" si="34"/>
        <v>15.1273162317892-1.32186978411387i</v>
      </c>
      <c r="AB115" s="246">
        <f t="shared" si="44"/>
        <v>23.628273532709731</v>
      </c>
      <c r="AC115" s="246">
        <f t="shared" si="45"/>
        <v>-4.9939900158336465</v>
      </c>
      <c r="AD115" s="248">
        <f t="shared" si="46"/>
        <v>7.0813128484850374</v>
      </c>
      <c r="AE115" s="248">
        <f t="shared" si="47"/>
        <v>98.553961444660047</v>
      </c>
      <c r="AF115" s="246">
        <f t="shared" si="35"/>
        <v>30.709586381194768</v>
      </c>
      <c r="AG115" s="246">
        <f t="shared" si="36"/>
        <v>93.559971428826401</v>
      </c>
      <c r="AH115" s="249" t="str">
        <f t="shared" si="37"/>
        <v>0.336121096166581-2.23464003151749i</v>
      </c>
    </row>
    <row r="116" spans="9:34" x14ac:dyDescent="0.2">
      <c r="I116" s="246">
        <v>112</v>
      </c>
      <c r="J116" s="246">
        <f t="shared" si="25"/>
        <v>2.0920137229997406</v>
      </c>
      <c r="K116" s="246">
        <f t="shared" si="48"/>
        <v>123.59864879915676</v>
      </c>
      <c r="L116" s="246">
        <f t="shared" si="38"/>
        <v>776.59321412211159</v>
      </c>
      <c r="M116" s="246">
        <f t="shared" si="26"/>
        <v>8692.0206001905626</v>
      </c>
      <c r="N116" s="246">
        <f>SQRT((ABS(AC116)-171.5+'Small Signal'!C$59)^2)</f>
        <v>96.39313860399605</v>
      </c>
      <c r="O116" s="246">
        <f t="shared" si="39"/>
        <v>93.628222488617666</v>
      </c>
      <c r="P116" s="246">
        <f t="shared" si="40"/>
        <v>30.517479920232788</v>
      </c>
      <c r="Q116" s="246">
        <f t="shared" si="41"/>
        <v>123.59864879915676</v>
      </c>
      <c r="R116" s="246" t="str">
        <f t="shared" si="27"/>
        <v>0.161233333333333+0.00364998810637392i</v>
      </c>
      <c r="S116" s="246" t="str">
        <f t="shared" si="28"/>
        <v>0.025-136.986747744974i</v>
      </c>
      <c r="T116" s="246" t="str">
        <f t="shared" si="29"/>
        <v>23.2845624843557-4.07931148731976i</v>
      </c>
      <c r="U116" s="246" t="str">
        <f t="shared" si="30"/>
        <v>84.2937024847349-2.58618951281487i</v>
      </c>
      <c r="V116" s="246">
        <f t="shared" si="42"/>
        <v>38.519988714312618</v>
      </c>
      <c r="W116" s="246">
        <f t="shared" si="43"/>
        <v>-1.7573231746729761</v>
      </c>
      <c r="X116" s="246" t="str">
        <f t="shared" si="31"/>
        <v>0.999999891366215-0.000058301345207854i</v>
      </c>
      <c r="Y116" s="246" t="str">
        <f t="shared" si="32"/>
        <v>39.9898993170076+2.43638717151702i</v>
      </c>
      <c r="Z116" s="246" t="str">
        <f t="shared" si="33"/>
        <v>25.0181702877533+1.52276962157449i</v>
      </c>
      <c r="AA116" s="246" t="str">
        <f t="shared" si="34"/>
        <v>15.122295962594-1.35145435809136i</v>
      </c>
      <c r="AB116" s="246">
        <f t="shared" si="44"/>
        <v>23.626902682348636</v>
      </c>
      <c r="AC116" s="246">
        <f t="shared" si="45"/>
        <v>-5.1068613960039393</v>
      </c>
      <c r="AD116" s="248">
        <f t="shared" si="46"/>
        <v>6.8905772378841519</v>
      </c>
      <c r="AE116" s="248">
        <f t="shared" si="47"/>
        <v>98.735083884621602</v>
      </c>
      <c r="AF116" s="246">
        <f t="shared" si="35"/>
        <v>30.517479920232788</v>
      </c>
      <c r="AG116" s="246">
        <f t="shared" si="36"/>
        <v>93.628222488617666</v>
      </c>
      <c r="AH116" s="249" t="str">
        <f t="shared" si="37"/>
        <v>0.335729599488631-2.18505349126704i</v>
      </c>
    </row>
    <row r="117" spans="9:34" x14ac:dyDescent="0.2">
      <c r="I117" s="246">
        <v>113</v>
      </c>
      <c r="J117" s="246">
        <f t="shared" si="25"/>
        <v>2.1017638455265244</v>
      </c>
      <c r="K117" s="246">
        <f t="shared" si="48"/>
        <v>126.40488140824849</v>
      </c>
      <c r="L117" s="246">
        <f t="shared" si="38"/>
        <v>794.22529362008493</v>
      </c>
      <c r="M117" s="246">
        <f t="shared" si="26"/>
        <v>8689.1506537663699</v>
      </c>
      <c r="N117" s="246">
        <f>SQRT((ABS(AC117)-171.5+'Small Signal'!C$59)^2)</f>
        <v>96.27774015490462</v>
      </c>
      <c r="O117" s="246">
        <f t="shared" si="39"/>
        <v>93.698093653844339</v>
      </c>
      <c r="P117" s="246">
        <f t="shared" si="40"/>
        <v>30.325502172506852</v>
      </c>
      <c r="Q117" s="246">
        <f t="shared" si="41"/>
        <v>126.40488140824849</v>
      </c>
      <c r="R117" s="246" t="str">
        <f t="shared" si="27"/>
        <v>0.161233333333333+0.0037328588800144i</v>
      </c>
      <c r="S117" s="246" t="str">
        <f t="shared" si="28"/>
        <v>0.025-133.945593999544i</v>
      </c>
      <c r="T117" s="246" t="str">
        <f t="shared" si="29"/>
        <v>23.2527306070909-4.16622030014111i</v>
      </c>
      <c r="U117" s="246" t="str">
        <f t="shared" si="30"/>
        <v>84.2925928025785-2.6449417400063i</v>
      </c>
      <c r="V117" s="246">
        <f t="shared" si="42"/>
        <v>38.520062151371476</v>
      </c>
      <c r="W117" s="246">
        <f t="shared" si="43"/>
        <v>-1.7972432343234839</v>
      </c>
      <c r="X117" s="246" t="str">
        <f t="shared" si="31"/>
        <v>0.999999886377287-0.0000596250420092814i</v>
      </c>
      <c r="Y117" s="246" t="str">
        <f t="shared" si="32"/>
        <v>39.9938650074622+2.49165645045759i</v>
      </c>
      <c r="Z117" s="246" t="str">
        <f t="shared" si="33"/>
        <v>25.0206552178559+1.55731336381639i</v>
      </c>
      <c r="AA117" s="246" t="str">
        <f t="shared" si="34"/>
        <v>15.1170485386503-1.38168113086801i</v>
      </c>
      <c r="AB117" s="246">
        <f t="shared" si="44"/>
        <v>23.62546934173357</v>
      </c>
      <c r="AC117" s="246">
        <f t="shared" si="45"/>
        <v>-5.2222598450953903</v>
      </c>
      <c r="AD117" s="248">
        <f t="shared" si="46"/>
        <v>6.7000328307732824</v>
      </c>
      <c r="AE117" s="248">
        <f t="shared" si="47"/>
        <v>98.920353498939733</v>
      </c>
      <c r="AF117" s="246">
        <f t="shared" si="35"/>
        <v>30.325502172506852</v>
      </c>
      <c r="AG117" s="246">
        <f t="shared" si="36"/>
        <v>93.698093653844339</v>
      </c>
      <c r="AH117" s="249" t="str">
        <f t="shared" si="37"/>
        <v>0.335355289123399-2.13656818327996i</v>
      </c>
    </row>
    <row r="118" spans="9:34" x14ac:dyDescent="0.2">
      <c r="I118" s="246">
        <v>114</v>
      </c>
      <c r="J118" s="246">
        <f t="shared" si="25"/>
        <v>2.1115139680533073</v>
      </c>
      <c r="K118" s="246">
        <f t="shared" si="48"/>
        <v>129.27482783244093</v>
      </c>
      <c r="L118" s="246">
        <f t="shared" si="38"/>
        <v>812.25769882496354</v>
      </c>
      <c r="M118" s="246">
        <f t="shared" si="26"/>
        <v>8686.2155469434183</v>
      </c>
      <c r="N118" s="246">
        <f>SQRT((ABS(AC118)-171.5+'Small Signal'!C$59)^2)</f>
        <v>96.159759716939732</v>
      </c>
      <c r="O118" s="246">
        <f t="shared" si="39"/>
        <v>93.769606078420324</v>
      </c>
      <c r="P118" s="246">
        <f t="shared" si="40"/>
        <v>30.1336586939725</v>
      </c>
      <c r="Q118" s="246">
        <f t="shared" si="41"/>
        <v>129.27482783244093</v>
      </c>
      <c r="R118" s="246" t="str">
        <f t="shared" si="27"/>
        <v>0.161233333333333+0.00381761118447733i</v>
      </c>
      <c r="S118" s="246" t="str">
        <f t="shared" si="28"/>
        <v>0.025-130.971954931669i</v>
      </c>
      <c r="T118" s="246" t="str">
        <f t="shared" si="29"/>
        <v>23.2195299611987-4.25472161279511i</v>
      </c>
      <c r="U118" s="246" t="str">
        <f t="shared" si="30"/>
        <v>84.291432012863-2.70503029249482i</v>
      </c>
      <c r="V118" s="246">
        <f t="shared" si="42"/>
        <v>38.520138956625971</v>
      </c>
      <c r="W118" s="246">
        <f t="shared" si="43"/>
        <v>-1.8380711248480346</v>
      </c>
      <c r="X118" s="246" t="str">
        <f t="shared" si="31"/>
        <v>0.999999881159245-0.0000609787925464477i</v>
      </c>
      <c r="Y118" s="246" t="str">
        <f t="shared" si="32"/>
        <v>39.9980129050452+2.54817727628647i</v>
      </c>
      <c r="Z118" s="246" t="str">
        <f t="shared" si="33"/>
        <v>25.0232543199746+1.59263932004988i</v>
      </c>
      <c r="AA118" s="246" t="str">
        <f t="shared" si="34"/>
        <v>15.1115638435713-1.41256266263528i</v>
      </c>
      <c r="AB118" s="246">
        <f t="shared" si="44"/>
        <v>23.62397068440395</v>
      </c>
      <c r="AC118" s="246">
        <f t="shared" si="45"/>
        <v>-5.3402402830602744</v>
      </c>
      <c r="AD118" s="248">
        <f t="shared" si="46"/>
        <v>6.509688009568551</v>
      </c>
      <c r="AE118" s="248">
        <f t="shared" si="47"/>
        <v>99.109846361480592</v>
      </c>
      <c r="AF118" s="246">
        <f t="shared" si="35"/>
        <v>30.1336586939725</v>
      </c>
      <c r="AG118" s="246">
        <f t="shared" si="36"/>
        <v>93.769606078420324</v>
      </c>
      <c r="AH118" s="249" t="str">
        <f t="shared" si="37"/>
        <v>0.334997410365398-2.08915967749211i</v>
      </c>
    </row>
    <row r="119" spans="9:34" x14ac:dyDescent="0.2">
      <c r="I119" s="246">
        <v>115</v>
      </c>
      <c r="J119" s="246">
        <f t="shared" si="25"/>
        <v>2.121264090580091</v>
      </c>
      <c r="K119" s="246">
        <f t="shared" si="48"/>
        <v>132.20993465539331</v>
      </c>
      <c r="L119" s="246">
        <f t="shared" si="38"/>
        <v>830.69951888994046</v>
      </c>
      <c r="M119" s="246">
        <f t="shared" si="26"/>
        <v>8683.2138002942393</v>
      </c>
      <c r="N119" s="246">
        <f>SQRT((ABS(AC119)-171.5+'Small Signal'!C$59)^2)</f>
        <v>96.039141291345885</v>
      </c>
      <c r="O119" s="246">
        <f t="shared" si="39"/>
        <v>93.842780818301236</v>
      </c>
      <c r="P119" s="246">
        <f t="shared" si="40"/>
        <v>29.941955262085827</v>
      </c>
      <c r="Q119" s="246">
        <f t="shared" si="41"/>
        <v>132.20993465539331</v>
      </c>
      <c r="R119" s="246" t="str">
        <f t="shared" si="27"/>
        <v>0.161233333333333+0.00390428773878272i</v>
      </c>
      <c r="S119" s="246" t="str">
        <f t="shared" si="28"/>
        <v>0.025-128.064331691877i</v>
      </c>
      <c r="T119" s="246" t="str">
        <f t="shared" si="29"/>
        <v>23.1849059969269-4.34482700393822i</v>
      </c>
      <c r="U119" s="246" t="str">
        <f t="shared" si="30"/>
        <v>84.2902177547704-2.76648567708992i</v>
      </c>
      <c r="V119" s="246">
        <f t="shared" si="42"/>
        <v>38.520219284349238</v>
      </c>
      <c r="W119" s="246">
        <f t="shared" si="43"/>
        <v>-1.8798275604228341</v>
      </c>
      <c r="X119" s="246" t="str">
        <f t="shared" si="31"/>
        <v>0.999999875701569-0.0000623632791712565i</v>
      </c>
      <c r="Y119" s="246" t="str">
        <f t="shared" si="32"/>
        <v>40.0023513855228+2.6059778335131i</v>
      </c>
      <c r="Z119" s="246" t="str">
        <f t="shared" si="33"/>
        <v>25.0259728423858+1.62876510463214i</v>
      </c>
      <c r="AA119" s="246" t="str">
        <f t="shared" si="34"/>
        <v>15.1058313255029-1.44411166206494i</v>
      </c>
      <c r="AB119" s="246">
        <f t="shared" si="44"/>
        <v>23.622403758121912</v>
      </c>
      <c r="AC119" s="246">
        <f t="shared" si="45"/>
        <v>-5.4608587086541274</v>
      </c>
      <c r="AD119" s="248">
        <f t="shared" si="46"/>
        <v>6.3195515039639165</v>
      </c>
      <c r="AE119" s="248">
        <f t="shared" si="47"/>
        <v>99.303639526955365</v>
      </c>
      <c r="AF119" s="246">
        <f t="shared" si="35"/>
        <v>29.941955262085827</v>
      </c>
      <c r="AG119" s="246">
        <f t="shared" si="36"/>
        <v>93.842780818301236</v>
      </c>
      <c r="AH119" s="249" t="str">
        <f t="shared" si="37"/>
        <v>0.334655241636645-2.04280408602745i</v>
      </c>
    </row>
    <row r="120" spans="9:34" x14ac:dyDescent="0.2">
      <c r="I120" s="246">
        <v>116</v>
      </c>
      <c r="J120" s="246">
        <f t="shared" si="25"/>
        <v>2.1310142131068743</v>
      </c>
      <c r="K120" s="246">
        <f t="shared" si="48"/>
        <v>135.21168130457164</v>
      </c>
      <c r="L120" s="246">
        <f t="shared" si="38"/>
        <v>849.56004933193333</v>
      </c>
      <c r="M120" s="246">
        <f t="shared" si="26"/>
        <v>8680.1439008018624</v>
      </c>
      <c r="N120" s="246">
        <f>SQRT((ABS(AC120)-171.5+'Small Signal'!C$59)^2)</f>
        <v>95.91582778743583</v>
      </c>
      <c r="O120" s="246">
        <f t="shared" si="39"/>
        <v>93.91763878386034</v>
      </c>
      <c r="P120" s="246">
        <f t="shared" si="40"/>
        <v>29.750397883076072</v>
      </c>
      <c r="Q120" s="246">
        <f t="shared" si="41"/>
        <v>135.21168130457164</v>
      </c>
      <c r="R120" s="246" t="str">
        <f t="shared" si="27"/>
        <v>0.161233333333333+0.00399293223186009i</v>
      </c>
      <c r="S120" s="246" t="str">
        <f t="shared" si="28"/>
        <v>0.025-125.22125870568i</v>
      </c>
      <c r="T120" s="246" t="str">
        <f t="shared" si="29"/>
        <v>23.1488023801485-4.43654682060682i</v>
      </c>
      <c r="U120" s="246" t="str">
        <f t="shared" si="30"/>
        <v>84.2889475577717-2.82933910479784i</v>
      </c>
      <c r="V120" s="246">
        <f t="shared" si="42"/>
        <v>38.520303295860778</v>
      </c>
      <c r="W120" s="246">
        <f t="shared" si="43"/>
        <v>-1.9225337326635359</v>
      </c>
      <c r="X120" s="246" t="str">
        <f t="shared" si="31"/>
        <v>0.999999869993253-0.0000637791997279985i</v>
      </c>
      <c r="Y120" s="246" t="str">
        <f t="shared" si="32"/>
        <v>40.0068892100644+2.665086930388i</v>
      </c>
      <c r="Z120" s="246" t="str">
        <f t="shared" si="33"/>
        <v>25.0288162748579+1.66570872167412i</v>
      </c>
      <c r="AA120" s="246" t="str">
        <f t="shared" si="34"/>
        <v>15.0998399797861-1.47634098063259i</v>
      </c>
      <c r="AB120" s="246">
        <f t="shared" si="44"/>
        <v>23.620765479467217</v>
      </c>
      <c r="AC120" s="246">
        <f t="shared" si="45"/>
        <v>-5.5841722125641802</v>
      </c>
      <c r="AD120" s="248">
        <f t="shared" si="46"/>
        <v>6.1296324036088548</v>
      </c>
      <c r="AE120" s="248">
        <f t="shared" si="47"/>
        <v>99.501810996424524</v>
      </c>
      <c r="AF120" s="246">
        <f t="shared" si="35"/>
        <v>29.750397883076072</v>
      </c>
      <c r="AG120" s="246">
        <f t="shared" si="36"/>
        <v>93.91763878386034</v>
      </c>
      <c r="AH120" s="249" t="str">
        <f t="shared" si="37"/>
        <v>0.334328093032117-1.99747805119459i</v>
      </c>
    </row>
    <row r="121" spans="9:34" x14ac:dyDescent="0.2">
      <c r="I121" s="246">
        <v>117</v>
      </c>
      <c r="J121" s="246">
        <f t="shared" si="25"/>
        <v>2.1407643356336576</v>
      </c>
      <c r="K121" s="246">
        <f t="shared" si="48"/>
        <v>138.28158079694836</v>
      </c>
      <c r="L121" s="246">
        <f t="shared" si="38"/>
        <v>868.84879671695273</v>
      </c>
      <c r="M121" s="246">
        <f t="shared" si="26"/>
        <v>8677.0043010971785</v>
      </c>
      <c r="N121" s="246">
        <f>SQRT((ABS(AC121)-171.5+'Small Signal'!C$59)^2)</f>
        <v>95.78976100991639</v>
      </c>
      <c r="O121" s="246">
        <f t="shared" si="39"/>
        <v>93.994200688830375</v>
      </c>
      <c r="P121" s="246">
        <f t="shared" si="40"/>
        <v>29.558992799303045</v>
      </c>
      <c r="Q121" s="246">
        <f t="shared" si="41"/>
        <v>138.28158079694836</v>
      </c>
      <c r="R121" s="246" t="str">
        <f t="shared" si="27"/>
        <v>0.161233333333333+0.00408358934456968i</v>
      </c>
      <c r="S121" s="246" t="str">
        <f t="shared" si="28"/>
        <v>0.025-122.441302934854i</v>
      </c>
      <c r="T121" s="246" t="str">
        <f t="shared" si="29"/>
        <v>23.1111609700344-4.52989006985806i</v>
      </c>
      <c r="U121" s="246" t="str">
        <f t="shared" si="30"/>
        <v>84.2876188364682-2.89362250761152i</v>
      </c>
      <c r="V121" s="246">
        <f t="shared" si="42"/>
        <v>38.520391159846554</v>
      </c>
      <c r="W121" s="246">
        <f t="shared" si="43"/>
        <v>-1.9662113219625392</v>
      </c>
      <c r="X121" s="246" t="str">
        <f t="shared" si="31"/>
        <v>0.999999864022787-0.0000652272679050973i</v>
      </c>
      <c r="Y121" s="246" t="str">
        <f t="shared" si="32"/>
        <v>40.0116355430138+2.72553401192976i</v>
      </c>
      <c r="Z121" s="246" t="str">
        <f t="shared" si="33"/>
        <v>25.0317903597867+1.70348857317605i</v>
      </c>
      <c r="AA121" s="246" t="str">
        <f t="shared" si="34"/>
        <v>15.0935783310633-1.50926360623672i</v>
      </c>
      <c r="AB121" s="246">
        <f t="shared" si="44"/>
        <v>23.619052628218313</v>
      </c>
      <c r="AC121" s="246">
        <f t="shared" si="45"/>
        <v>-5.7102389900836057</v>
      </c>
      <c r="AD121" s="248">
        <f t="shared" si="46"/>
        <v>5.939940171084733</v>
      </c>
      <c r="AE121" s="248">
        <f t="shared" si="47"/>
        <v>99.704439678913985</v>
      </c>
      <c r="AF121" s="246">
        <f t="shared" si="35"/>
        <v>29.558992799303045</v>
      </c>
      <c r="AG121" s="246">
        <f t="shared" si="36"/>
        <v>93.994200688830375</v>
      </c>
      <c r="AH121" s="249" t="str">
        <f t="shared" si="37"/>
        <v>0.334015304929081-1.95315873374814i</v>
      </c>
    </row>
    <row r="122" spans="9:34" x14ac:dyDescent="0.2">
      <c r="I122" s="246">
        <v>118</v>
      </c>
      <c r="J122" s="246">
        <f t="shared" si="25"/>
        <v>2.1505144581604414</v>
      </c>
      <c r="K122" s="246">
        <f t="shared" si="48"/>
        <v>141.42118050163216</v>
      </c>
      <c r="L122" s="246">
        <f t="shared" si="38"/>
        <v>888.57548345184739</v>
      </c>
      <c r="M122" s="246">
        <f t="shared" si="26"/>
        <v>8673.7934186790008</v>
      </c>
      <c r="N122" s="246">
        <f>SQRT((ABS(AC122)-171.5+'Small Signal'!C$59)^2)</f>
        <v>95.660881646725585</v>
      </c>
      <c r="O122" s="246">
        <f t="shared" si="39"/>
        <v>94.072486995623862</v>
      </c>
      <c r="P122" s="246">
        <f t="shared" si="40"/>
        <v>29.367746496682244</v>
      </c>
      <c r="Q122" s="246">
        <f t="shared" si="41"/>
        <v>141.42118050163216</v>
      </c>
      <c r="R122" s="246" t="str">
        <f t="shared" si="27"/>
        <v>0.161233333333333+0.00417630477222368i</v>
      </c>
      <c r="S122" s="246" t="str">
        <f t="shared" si="28"/>
        <v>0.025-119.723063155128i</v>
      </c>
      <c r="T122" s="246" t="str">
        <f t="shared" si="29"/>
        <v>23.0719218002342-4.62486430482639i</v>
      </c>
      <c r="U122" s="246" t="str">
        <f t="shared" si="30"/>
        <v>84.2862288851827-2.95936855573696i</v>
      </c>
      <c r="V122" s="246">
        <f t="shared" si="42"/>
        <v>38.520483052693251</v>
      </c>
      <c r="W122" s="246">
        <f t="shared" si="43"/>
        <v>-2.0108825091182632</v>
      </c>
      <c r="X122" s="246" t="str">
        <f t="shared" si="31"/>
        <v>0.999999857778131-0.000066708213594841i</v>
      </c>
      <c r="Y122" s="246" t="str">
        <f t="shared" si="32"/>
        <v>40.0165999704816+2.78734917316711i</v>
      </c>
      <c r="Z122" s="246" t="str">
        <f t="shared" si="33"/>
        <v>25.0349011038447+1.74212346729709i</v>
      </c>
      <c r="AA122" s="246" t="str">
        <f t="shared" si="34"/>
        <v>15.0870344148233-1.54289265606364i</v>
      </c>
      <c r="AB122" s="246">
        <f t="shared" si="44"/>
        <v>23.617261841512157</v>
      </c>
      <c r="AC122" s="246">
        <f t="shared" si="45"/>
        <v>-5.8391183532744169</v>
      </c>
      <c r="AD122" s="248">
        <f t="shared" si="46"/>
        <v>5.7504846551700863</v>
      </c>
      <c r="AE122" s="248">
        <f t="shared" si="47"/>
        <v>99.911605348898277</v>
      </c>
      <c r="AF122" s="246">
        <f t="shared" si="35"/>
        <v>29.367746496682244</v>
      </c>
      <c r="AG122" s="246">
        <f t="shared" si="36"/>
        <v>94.072486995623862</v>
      </c>
      <c r="AH122" s="249" t="str">
        <f t="shared" si="37"/>
        <v>0.333716246657404-1.90982380140896i</v>
      </c>
    </row>
    <row r="123" spans="9:34" x14ac:dyDescent="0.2">
      <c r="I123" s="246">
        <v>119</v>
      </c>
      <c r="J123" s="246">
        <f t="shared" si="25"/>
        <v>2.1602645806872247</v>
      </c>
      <c r="K123" s="246">
        <f t="shared" si="48"/>
        <v>144.63206291981118</v>
      </c>
      <c r="L123" s="246">
        <f t="shared" si="38"/>
        <v>908.75005268483108</v>
      </c>
      <c r="M123" s="246">
        <f t="shared" si="26"/>
        <v>8670.5096351164048</v>
      </c>
      <c r="N123" s="246">
        <f>SQRT((ABS(AC123)-171.5+'Small Signal'!C$59)^2)</f>
        <v>95.529129257442008</v>
      </c>
      <c r="O123" s="246">
        <f t="shared" si="39"/>
        <v>94.152517856840888</v>
      </c>
      <c r="P123" s="246">
        <f t="shared" si="40"/>
        <v>29.176665712161217</v>
      </c>
      <c r="Q123" s="246">
        <f t="shared" si="41"/>
        <v>144.63206291981118</v>
      </c>
      <c r="R123" s="246" t="str">
        <f t="shared" si="27"/>
        <v>0.161233333333333+0.00427112524761871i</v>
      </c>
      <c r="S123" s="246" t="str">
        <f t="shared" si="28"/>
        <v>0.025-117.065169249899i</v>
      </c>
      <c r="T123" s="246" t="str">
        <f t="shared" si="29"/>
        <v>23.0310230640189-4.72147550509377i</v>
      </c>
      <c r="U123" s="246" t="str">
        <f t="shared" si="30"/>
        <v>84.2847748722921-3.02661067527011i</v>
      </c>
      <c r="V123" s="246">
        <f t="shared" si="42"/>
        <v>38.520579158837776</v>
      </c>
      <c r="W123" s="246">
        <f t="shared" si="43"/>
        <v>-2.0565699872656187</v>
      </c>
      <c r="X123" s="246" t="str">
        <f t="shared" si="31"/>
        <v>0.999999851246694-0.0000682227832612802i</v>
      </c>
      <c r="Y123" s="246" t="str">
        <f t="shared" si="32"/>
        <v>40.0217925197986+2.85056317259668i</v>
      </c>
      <c r="Z123" s="246" t="str">
        <f t="shared" si="33"/>
        <v>25.0381547901709+1.78163262675914i</v>
      </c>
      <c r="AA123" s="246" t="str">
        <f t="shared" si="34"/>
        <v>15.0801957583812-1.57724136864589i</v>
      </c>
      <c r="AB123" s="246">
        <f t="shared" si="44"/>
        <v>23.615389607775747</v>
      </c>
      <c r="AC123" s="246">
        <f t="shared" si="45"/>
        <v>-5.9708707425580005</v>
      </c>
      <c r="AD123" s="248">
        <f t="shared" si="46"/>
        <v>5.5612761043854704</v>
      </c>
      <c r="AE123" s="248">
        <f t="shared" si="47"/>
        <v>100.12338859939889</v>
      </c>
      <c r="AF123" s="246">
        <f t="shared" si="35"/>
        <v>29.176665712161217</v>
      </c>
      <c r="AG123" s="246">
        <f t="shared" si="36"/>
        <v>94.152517856840888</v>
      </c>
      <c r="AH123" s="249" t="str">
        <f t="shared" si="37"/>
        <v>0.333430315228242-1.86745141763812i</v>
      </c>
    </row>
    <row r="124" spans="9:34" x14ac:dyDescent="0.2">
      <c r="I124" s="246">
        <v>120</v>
      </c>
      <c r="J124" s="246">
        <f t="shared" si="25"/>
        <v>2.170014703214008</v>
      </c>
      <c r="K124" s="246">
        <f t="shared" si="48"/>
        <v>147.9158464824072</v>
      </c>
      <c r="L124" s="246">
        <f t="shared" si="38"/>
        <v>929.38267331729219</v>
      </c>
      <c r="M124" s="246">
        <f t="shared" si="26"/>
        <v>8667.151295232974</v>
      </c>
      <c r="N124" s="246">
        <f>SQRT((ABS(AC124)-171.5+'Small Signal'!C$59)^2)</f>
        <v>95.394442262335389</v>
      </c>
      <c r="O124" s="246">
        <f t="shared" si="39"/>
        <v>94.234313052773459</v>
      </c>
      <c r="P124" s="246">
        <f t="shared" si="40"/>
        <v>28.98575744122531</v>
      </c>
      <c r="Q124" s="246">
        <f t="shared" si="41"/>
        <v>147.9158464824072</v>
      </c>
      <c r="R124" s="246" t="str">
        <f t="shared" si="27"/>
        <v>0.161233333333333+0.00436809856459127i</v>
      </c>
      <c r="S124" s="246" t="str">
        <f t="shared" si="28"/>
        <v>0.025-114.466281519631i</v>
      </c>
      <c r="T124" s="246" t="str">
        <f t="shared" si="29"/>
        <v>22.9884011038667-4.81972795129001i</v>
      </c>
      <c r="U124" s="246" t="str">
        <f t="shared" si="30"/>
        <v>84.2832538342816-3.09538306633807i</v>
      </c>
      <c r="V124" s="246">
        <f t="shared" si="42"/>
        <v>38.520679671131916</v>
      </c>
      <c r="W124" s="246">
        <f t="shared" si="43"/>
        <v>-2.1032969741169181</v>
      </c>
      <c r="X124" s="246" t="str">
        <f t="shared" si="31"/>
        <v>0.999999844415306-0.0000697717403164814i</v>
      </c>
      <c r="Y124" s="246" t="str">
        <f t="shared" si="32"/>
        <v>40.0272236798703+2.91520744585373i</v>
      </c>
      <c r="Z124" s="246" t="str">
        <f t="shared" si="33"/>
        <v>25.0415579911238+1.82203569738336i</v>
      </c>
      <c r="AA124" s="246" t="str">
        <f t="shared" si="34"/>
        <v>15.0730493612938-1.61232309505821i</v>
      </c>
      <c r="AB124" s="246">
        <f t="shared" si="44"/>
        <v>23.613432260423345</v>
      </c>
      <c r="AC124" s="246">
        <f t="shared" si="45"/>
        <v>-6.1055577376646033</v>
      </c>
      <c r="AD124" s="248">
        <f t="shared" si="46"/>
        <v>5.3723251808019636</v>
      </c>
      <c r="AE124" s="248">
        <f t="shared" si="47"/>
        <v>100.33987079043806</v>
      </c>
      <c r="AF124" s="246">
        <f t="shared" si="35"/>
        <v>28.98575744122531</v>
      </c>
      <c r="AG124" s="246">
        <f t="shared" si="36"/>
        <v>94.234313052773459</v>
      </c>
      <c r="AH124" s="249" t="str">
        <f t="shared" si="37"/>
        <v>0.333156934118488-1.82602023065847i</v>
      </c>
    </row>
    <row r="125" spans="9:34" x14ac:dyDescent="0.2">
      <c r="I125" s="246">
        <v>121</v>
      </c>
      <c r="J125" s="246">
        <f t="shared" si="25"/>
        <v>2.1797648257407913</v>
      </c>
      <c r="K125" s="246">
        <f t="shared" si="48"/>
        <v>151.27418636583766</v>
      </c>
      <c r="L125" s="246">
        <f t="shared" si="38"/>
        <v>950.48374512937767</v>
      </c>
      <c r="M125" s="246">
        <f t="shared" si="26"/>
        <v>8663.7167062725111</v>
      </c>
      <c r="N125" s="246">
        <f>SQRT((ABS(AC125)-171.5+'Small Signal'!C$59)^2)</f>
        <v>95.256757932127499</v>
      </c>
      <c r="O125" s="246">
        <f t="shared" si="39"/>
        <v>94.317891924704256</v>
      </c>
      <c r="P125" s="246">
        <f t="shared" si="40"/>
        <v>28.795028945411417</v>
      </c>
      <c r="Q125" s="246">
        <f t="shared" si="41"/>
        <v>151.27418636583766</v>
      </c>
      <c r="R125" s="246" t="str">
        <f t="shared" si="27"/>
        <v>0.161233333333333+0.00446727360210808i</v>
      </c>
      <c r="S125" s="246" t="str">
        <f t="shared" si="28"/>
        <v>0.025-111.925090006588i</v>
      </c>
      <c r="T125" s="246" t="str">
        <f t="shared" si="29"/>
        <v>22.9439904060104-4.91962409386483i</v>
      </c>
      <c r="U125" s="246" t="str">
        <f t="shared" si="30"/>
        <v>84.2816626695146-3.1657207217199i</v>
      </c>
      <c r="V125" s="246">
        <f t="shared" si="42"/>
        <v>38.52078479122369</v>
      </c>
      <c r="W125" s="246">
        <f t="shared" si="43"/>
        <v>-2.1510872245231161</v>
      </c>
      <c r="X125" s="246" t="str">
        <f t="shared" si="31"/>
        <v>0.99999983727019-0.0000713558655053202i</v>
      </c>
      <c r="Y125" s="246" t="str">
        <f t="shared" si="32"/>
        <v>40.0329044224755+2.98131411959526i</v>
      </c>
      <c r="Z125" s="246" t="str">
        <f t="shared" si="33"/>
        <v>25.045117581627+1.8633527567588i</v>
      </c>
      <c r="AA125" s="246" t="str">
        <f t="shared" si="34"/>
        <v>15.0655816752102-1.64815128919296i</v>
      </c>
      <c r="AB125" s="246">
        <f t="shared" si="44"/>
        <v>23.611385971312004</v>
      </c>
      <c r="AC125" s="246">
        <f t="shared" si="45"/>
        <v>-6.2432420678724956</v>
      </c>
      <c r="AD125" s="248">
        <f t="shared" si="46"/>
        <v>5.1836429740994152</v>
      </c>
      <c r="AE125" s="248">
        <f t="shared" si="47"/>
        <v>100.56113399257676</v>
      </c>
      <c r="AF125" s="246">
        <f t="shared" si="35"/>
        <v>28.795028945411417</v>
      </c>
      <c r="AG125" s="246">
        <f t="shared" si="36"/>
        <v>94.317891924704256</v>
      </c>
      <c r="AH125" s="249" t="str">
        <f t="shared" si="37"/>
        <v>0.332895552108575-1.78550936271891i</v>
      </c>
    </row>
    <row r="126" spans="9:34" x14ac:dyDescent="0.2">
      <c r="I126" s="246">
        <v>122</v>
      </c>
      <c r="J126" s="246">
        <f t="shared" si="25"/>
        <v>2.1895149482675746</v>
      </c>
      <c r="K126" s="246">
        <f t="shared" si="48"/>
        <v>154.70877532629962</v>
      </c>
      <c r="L126" s="246">
        <f t="shared" si="38"/>
        <v>972.06390402195348</v>
      </c>
      <c r="M126" s="246">
        <f t="shared" si="26"/>
        <v>8660.2041370458137</v>
      </c>
      <c r="N126" s="246">
        <f>SQRT((ABS(AC126)-171.5+'Small Signal'!C$59)^2)</f>
        <v>95.116012378538727</v>
      </c>
      <c r="O126" s="246">
        <f t="shared" si="39"/>
        <v>94.403273303798429</v>
      </c>
      <c r="P126" s="246">
        <f t="shared" si="40"/>
        <v>28.604487759803</v>
      </c>
      <c r="Q126" s="246">
        <f t="shared" si="41"/>
        <v>154.70877532629962</v>
      </c>
      <c r="R126" s="246" t="str">
        <f t="shared" si="27"/>
        <v>0.161233333333333+0.00456870034890318i</v>
      </c>
      <c r="S126" s="246" t="str">
        <f t="shared" si="28"/>
        <v>0.025-109.440313834554i</v>
      </c>
      <c r="T126" s="246" t="str">
        <f t="shared" si="29"/>
        <v>22.8977236004938-5.02116441599935i</v>
      </c>
      <c r="U126" s="246" t="str">
        <f t="shared" si="30"/>
        <v>84.2799981317021-3.23765944596274i</v>
      </c>
      <c r="V126" s="246">
        <f t="shared" si="42"/>
        <v>38.520894729955934</v>
      </c>
      <c r="W126" s="246">
        <f t="shared" si="43"/>
        <v>-2.1999650433657805</v>
      </c>
      <c r="X126" s="246" t="str">
        <f t="shared" si="31"/>
        <v>0.999999829796941-0.0000729759572990125i</v>
      </c>
      <c r="Y126" s="246" t="str">
        <f t="shared" si="32"/>
        <v>40.0388462245523+3.048916025593i</v>
      </c>
      <c r="Z126" s="246" t="str">
        <f t="shared" si="33"/>
        <v>25.0488407531331+1.90560432304169i</v>
      </c>
      <c r="AA126" s="246" t="str">
        <f t="shared" si="34"/>
        <v>15.0577785831603-1.68473949705345i</v>
      </c>
      <c r="AB126" s="246">
        <f t="shared" si="44"/>
        <v>23.609246743948397</v>
      </c>
      <c r="AC126" s="246">
        <f t="shared" si="45"/>
        <v>-6.3839876214612685</v>
      </c>
      <c r="AD126" s="248">
        <f t="shared" si="46"/>
        <v>4.9952410158546048</v>
      </c>
      <c r="AE126" s="248">
        <f t="shared" si="47"/>
        <v>100.7872609252597</v>
      </c>
      <c r="AF126" s="246">
        <f t="shared" si="35"/>
        <v>28.604487759803</v>
      </c>
      <c r="AG126" s="246">
        <f t="shared" si="36"/>
        <v>94.403273303798429</v>
      </c>
      <c r="AH126" s="249" t="str">
        <f t="shared" si="37"/>
        <v>0.332645642171258-1.74589839959579i</v>
      </c>
    </row>
    <row r="127" spans="9:34" x14ac:dyDescent="0.2">
      <c r="I127" s="246">
        <v>123</v>
      </c>
      <c r="J127" s="246">
        <f t="shared" si="25"/>
        <v>2.1992650707943584</v>
      </c>
      <c r="K127" s="246">
        <f t="shared" si="48"/>
        <v>158.22134455299712</v>
      </c>
      <c r="L127" s="246">
        <f t="shared" si="38"/>
        <v>994.13402737759043</v>
      </c>
      <c r="M127" s="246">
        <f t="shared" si="26"/>
        <v>8656.6118170580739</v>
      </c>
      <c r="N127" s="246">
        <f>SQRT((ABS(AC127)-171.5+'Small Signal'!C$59)^2)</f>
        <v>94.972140545703581</v>
      </c>
      <c r="O127" s="246">
        <f t="shared" si="39"/>
        <v>94.490475435385378</v>
      </c>
      <c r="P127" s="246">
        <f t="shared" si="40"/>
        <v>28.414141700478247</v>
      </c>
      <c r="Q127" s="246">
        <f t="shared" si="41"/>
        <v>158.22134455299712</v>
      </c>
      <c r="R127" s="246" t="str">
        <f t="shared" si="27"/>
        <v>0.161233333333333+0.00467242992867467i</v>
      </c>
      <c r="S127" s="246" t="str">
        <f t="shared" si="28"/>
        <v>0.025-107.010700563213i</v>
      </c>
      <c r="T127" s="246" t="str">
        <f t="shared" si="29"/>
        <v>22.8495314673199-5.12434729065656i</v>
      </c>
      <c r="U127" s="246" t="str">
        <f t="shared" si="30"/>
        <v>84.2782568230468-3.31123587500848i</v>
      </c>
      <c r="V127" s="246">
        <f t="shared" si="42"/>
        <v>38.521009707781872</v>
      </c>
      <c r="W127" s="246">
        <f t="shared" si="43"/>
        <v>-2.2499552987900397</v>
      </c>
      <c r="X127" s="246" t="str">
        <f t="shared" si="31"/>
        <v>0.999999821980488-0.0000746328322975811i</v>
      </c>
      <c r="Y127" s="246" t="str">
        <f t="shared" si="32"/>
        <v>40.0450610915166+3.11804671503306i</v>
      </c>
      <c r="Z127" s="246" t="str">
        <f t="shared" si="33"/>
        <v>25.0527350282343+1.94881136388316i</v>
      </c>
      <c r="AA127" s="246" t="str">
        <f t="shared" si="34"/>
        <v>15.0496253782872-1.72210134499998i</v>
      </c>
      <c r="AB127" s="246">
        <f t="shared" si="44"/>
        <v>23.607010406440327</v>
      </c>
      <c r="AC127" s="246">
        <f t="shared" si="45"/>
        <v>-6.5278594542964283</v>
      </c>
      <c r="AD127" s="248">
        <f t="shared" si="46"/>
        <v>4.8071312940379194</v>
      </c>
      <c r="AE127" s="248">
        <f t="shared" si="47"/>
        <v>101.01833488968181</v>
      </c>
      <c r="AF127" s="246">
        <f t="shared" si="35"/>
        <v>28.414141700478247</v>
      </c>
      <c r="AG127" s="246">
        <f t="shared" si="36"/>
        <v>94.490475435385378</v>
      </c>
      <c r="AH127" s="249" t="str">
        <f t="shared" si="37"/>
        <v>0.332406700409182-1.70716738032632i</v>
      </c>
    </row>
    <row r="128" spans="9:34" x14ac:dyDescent="0.2">
      <c r="I128" s="246">
        <v>124</v>
      </c>
      <c r="J128" s="246">
        <f t="shared" si="25"/>
        <v>2.2090151933211417</v>
      </c>
      <c r="K128" s="246">
        <f t="shared" si="48"/>
        <v>161.81366454073756</v>
      </c>
      <c r="L128" s="246">
        <f t="shared" si="38"/>
        <v>1016.7052395432487</v>
      </c>
      <c r="M128" s="246">
        <f t="shared" si="26"/>
        <v>8652.9379356164682</v>
      </c>
      <c r="N128" s="246">
        <f>SQRT((ABS(AC128)-171.5+'Small Signal'!C$59)^2)</f>
        <v>94.825076202538753</v>
      </c>
      <c r="O128" s="246">
        <f t="shared" si="39"/>
        <v>94.5795158984198</v>
      </c>
      <c r="P128" s="246">
        <f t="shared" si="40"/>
        <v>28.223998871880671</v>
      </c>
      <c r="Q128" s="246">
        <f t="shared" si="41"/>
        <v>161.81366454073756</v>
      </c>
      <c r="R128" s="246" t="str">
        <f t="shared" si="27"/>
        <v>0.161233333333333+0.00477851462585327i</v>
      </c>
      <c r="S128" s="246" t="str">
        <f t="shared" si="28"/>
        <v>0.025-104.635025556863i</v>
      </c>
      <c r="T128" s="246" t="str">
        <f t="shared" si="29"/>
        <v>22.7993429493085-5.22916883180566i</v>
      </c>
      <c r="U128" s="246" t="str">
        <f t="shared" si="30"/>
        <v>84.2764351870616-3.38648749634917i</v>
      </c>
      <c r="V128" s="246">
        <f t="shared" si="42"/>
        <v>38.521129955200088</v>
      </c>
      <c r="W128" s="246">
        <f t="shared" si="43"/>
        <v>-2.3010834357901255</v>
      </c>
      <c r="X128" s="246" t="str">
        <f t="shared" si="31"/>
        <v>0.99999981380507-0.0000763273256414578i</v>
      </c>
      <c r="Y128" s="246" t="str">
        <f t="shared" si="32"/>
        <v>40.051561581665+3.18874047301945i</v>
      </c>
      <c r="Z128" s="246" t="str">
        <f t="shared" si="33"/>
        <v>25.0568082759529+1.99299530548384i</v>
      </c>
      <c r="AA128" s="246" t="str">
        <f t="shared" si="34"/>
        <v>15.0411067420325-1.76025052688125i</v>
      </c>
      <c r="AB128" s="246">
        <f t="shared" si="44"/>
        <v>23.604672604186661</v>
      </c>
      <c r="AC128" s="246">
        <f t="shared" si="45"/>
        <v>-6.6749237974612488</v>
      </c>
      <c r="AD128" s="248">
        <f t="shared" si="46"/>
        <v>4.6193262676940101</v>
      </c>
      <c r="AE128" s="248">
        <f t="shared" si="47"/>
        <v>101.25443969588105</v>
      </c>
      <c r="AF128" s="246">
        <f t="shared" si="35"/>
        <v>28.223998871880671</v>
      </c>
      <c r="AG128" s="246">
        <f t="shared" si="36"/>
        <v>94.5795158984198</v>
      </c>
      <c r="AH128" s="249" t="str">
        <f t="shared" si="37"/>
        <v>0.332178245039022-1.66929678716898i</v>
      </c>
    </row>
    <row r="129" spans="9:34" x14ac:dyDescent="0.2">
      <c r="I129" s="246">
        <v>125</v>
      </c>
      <c r="J129" s="246">
        <f t="shared" si="25"/>
        <v>2.218765315847925</v>
      </c>
      <c r="K129" s="246">
        <f t="shared" si="48"/>
        <v>165.48754598234368</v>
      </c>
      <c r="L129" s="246">
        <f t="shared" si="38"/>
        <v>1039.7889174374679</v>
      </c>
      <c r="M129" s="246">
        <f t="shared" si="26"/>
        <v>8649.1806409174878</v>
      </c>
      <c r="N129" s="246">
        <f>SQRT((ABS(AC129)-171.5+'Small Signal'!C$59)^2)</f>
        <v>94.674751936157122</v>
      </c>
      <c r="O129" s="246">
        <f t="shared" si="39"/>
        <v>94.670411519917153</v>
      </c>
      <c r="P129" s="246">
        <f t="shared" si="40"/>
        <v>28.034067674076294</v>
      </c>
      <c r="Q129" s="246">
        <f t="shared" si="41"/>
        <v>165.48754598234368</v>
      </c>
      <c r="R129" s="246" t="str">
        <f t="shared" si="27"/>
        <v>0.161233333333333+0.0048870079119561i</v>
      </c>
      <c r="S129" s="246" t="str">
        <f t="shared" si="28"/>
        <v>0.025-102.312091367142i</v>
      </c>
      <c r="T129" s="246" t="str">
        <f t="shared" si="29"/>
        <v>22.747085172309-5.33562273989485i</v>
      </c>
      <c r="U129" s="246" t="str">
        <f t="shared" si="30"/>
        <v>84.2745295010302-3.46345266972777i</v>
      </c>
      <c r="V129" s="246">
        <f t="shared" si="42"/>
        <v>38.521255713208191</v>
      </c>
      <c r="W129" s="246">
        <f t="shared" si="43"/>
        <v>-2.3533754901588155</v>
      </c>
      <c r="X129" s="246" t="str">
        <f t="shared" si="31"/>
        <v>0.999999805254202-0.0000780602914324339i</v>
      </c>
      <c r="Y129" s="246" t="str">
        <f t="shared" si="32"/>
        <v>40.0583608317094+3.26103233327725i</v>
      </c>
      <c r="Z129" s="246" t="str">
        <f t="shared" si="33"/>
        <v>25.0610687277404+2.03817804177236i</v>
      </c>
      <c r="AA129" s="246" t="str">
        <f t="shared" si="34"/>
        <v>15.0322067217841-1.79920078997928i</v>
      </c>
      <c r="AB129" s="246">
        <f t="shared" si="44"/>
        <v>23.602228792298025</v>
      </c>
      <c r="AC129" s="246">
        <f t="shared" si="45"/>
        <v>-6.8252480638428796</v>
      </c>
      <c r="AD129" s="248">
        <f t="shared" si="46"/>
        <v>4.431838881778269</v>
      </c>
      <c r="AE129" s="248">
        <f t="shared" si="47"/>
        <v>101.49565958376003</v>
      </c>
      <c r="AF129" s="246">
        <f t="shared" si="35"/>
        <v>28.034067674076294</v>
      </c>
      <c r="AG129" s="246">
        <f t="shared" si="36"/>
        <v>94.670411519917153</v>
      </c>
      <c r="AH129" s="249" t="str">
        <f t="shared" si="37"/>
        <v>0.331959815420233-1.63226753578593i</v>
      </c>
    </row>
    <row r="130" spans="9:34" x14ac:dyDescent="0.2">
      <c r="I130" s="246">
        <v>126</v>
      </c>
      <c r="J130" s="246">
        <f t="shared" si="25"/>
        <v>2.2285154383747088</v>
      </c>
      <c r="K130" s="246">
        <f t="shared" si="48"/>
        <v>169.24484068132415</v>
      </c>
      <c r="L130" s="246">
        <f t="shared" si="38"/>
        <v>1063.3966962848458</v>
      </c>
      <c r="M130" s="246">
        <f t="shared" si="26"/>
        <v>8645.3380391135452</v>
      </c>
      <c r="N130" s="246">
        <f>SQRT((ABS(AC130)-171.5+'Small Signal'!C$59)^2)</f>
        <v>94.521099146424234</v>
      </c>
      <c r="O130" s="246">
        <f t="shared" si="39"/>
        <v>94.763178284154975</v>
      </c>
      <c r="P130" s="246">
        <f t="shared" si="40"/>
        <v>27.844356809860415</v>
      </c>
      <c r="Q130" s="246">
        <f t="shared" si="41"/>
        <v>169.24484068132415</v>
      </c>
      <c r="R130" s="246" t="str">
        <f t="shared" si="27"/>
        <v>0.161233333333333+0.00499796447253878i</v>
      </c>
      <c r="S130" s="246" t="str">
        <f t="shared" si="28"/>
        <v>0.025-100.040727129463i</v>
      </c>
      <c r="T130" s="246" t="str">
        <f t="shared" si="29"/>
        <v>22.6926834734526-5.4437001416927i</v>
      </c>
      <c r="U130" s="246" t="str">
        <f t="shared" si="30"/>
        <v>84.2725358681004-3.542170648403i</v>
      </c>
      <c r="V130" s="246">
        <f t="shared" si="42"/>
        <v>38.521387233776807</v>
      </c>
      <c r="W130" s="246">
        <f t="shared" si="43"/>
        <v>-2.4068581028129254</v>
      </c>
      <c r="X130" s="246" t="str">
        <f t="shared" si="31"/>
        <v>0.999999796310641-0.0000798326031641653i</v>
      </c>
      <c r="Y130" s="246" t="str">
        <f t="shared" si="32"/>
        <v>40.0654725834953+3.33495809305051i</v>
      </c>
      <c r="Z130" s="246" t="str">
        <f t="shared" si="33"/>
        <v>25.0655249942182+2.08438194370494i</v>
      </c>
      <c r="AA130" s="246" t="str">
        <f t="shared" si="34"/>
        <v>15.0229087080048-1.83896591969372i</v>
      </c>
      <c r="AB130" s="246">
        <f t="shared" si="44"/>
        <v>23.599674227743765</v>
      </c>
      <c r="AC130" s="246">
        <f t="shared" si="45"/>
        <v>-6.9789008535757731</v>
      </c>
      <c r="AD130" s="248">
        <f t="shared" si="46"/>
        <v>4.2446825821166509</v>
      </c>
      <c r="AE130" s="248">
        <f t="shared" si="47"/>
        <v>101.74207913773076</v>
      </c>
      <c r="AF130" s="246">
        <f t="shared" si="35"/>
        <v>27.844356809860415</v>
      </c>
      <c r="AG130" s="246">
        <f t="shared" si="36"/>
        <v>94.763178284154975</v>
      </c>
      <c r="AH130" s="249" t="str">
        <f t="shared" si="37"/>
        <v>0.331750971126406-1.59606096564247i</v>
      </c>
    </row>
    <row r="131" spans="9:34" x14ac:dyDescent="0.2">
      <c r="I131" s="246">
        <v>127</v>
      </c>
      <c r="J131" s="246">
        <f t="shared" si="25"/>
        <v>2.2382655609014916</v>
      </c>
      <c r="K131" s="246">
        <f t="shared" si="48"/>
        <v>173.08744248526594</v>
      </c>
      <c r="L131" s="246">
        <f t="shared" si="38"/>
        <v>1087.5404754807146</v>
      </c>
      <c r="M131" s="246">
        <f t="shared" si="26"/>
        <v>8641.4081933583893</v>
      </c>
      <c r="N131" s="246">
        <f>SQRT((ABS(AC131)-171.5+'Small Signal'!C$59)^2)</f>
        <v>94.364048041762089</v>
      </c>
      <c r="O131" s="246">
        <f t="shared" si="39"/>
        <v>94.857831236432631</v>
      </c>
      <c r="P131" s="246">
        <f t="shared" si="40"/>
        <v>27.654875291670471</v>
      </c>
      <c r="Q131" s="246">
        <f t="shared" si="41"/>
        <v>173.08744248526594</v>
      </c>
      <c r="R131" s="246" t="str">
        <f t="shared" si="27"/>
        <v>0.161233333333333+0.00511144023475936i</v>
      </c>
      <c r="S131" s="246" t="str">
        <f t="shared" si="28"/>
        <v>0.025-97.8197879728394i</v>
      </c>
      <c r="T131" s="246" t="str">
        <f t="shared" si="29"/>
        <v>22.636061438155-5.55338942466843i</v>
      </c>
      <c r="U131" s="246" t="str">
        <f t="shared" si="30"/>
        <v>84.2704502089907-3.62268160099787i</v>
      </c>
      <c r="V131" s="246">
        <f t="shared" si="42"/>
        <v>38.521524780344791</v>
      </c>
      <c r="W131" s="246">
        <f t="shared" si="43"/>
        <v>-2.4615585345077595</v>
      </c>
      <c r="X131" s="246" t="str">
        <f t="shared" si="31"/>
        <v>0.999999786956354-0.0000816451541624531i</v>
      </c>
      <c r="Y131" s="246" t="str">
        <f t="shared" si="32"/>
        <v>40.0729112119672+3.41055432818962i</v>
      </c>
      <c r="Z131" s="246" t="str">
        <f t="shared" si="33"/>
        <v>25.0701860827003+2.13162986868243i</v>
      </c>
      <c r="AA131" s="246" t="str">
        <f t="shared" si="34"/>
        <v>15.0131954108556-1.87955972288661i</v>
      </c>
      <c r="AB131" s="246">
        <f t="shared" si="44"/>
        <v>23.597003961216103</v>
      </c>
      <c r="AC131" s="246">
        <f t="shared" si="45"/>
        <v>-7.1359519582378974</v>
      </c>
      <c r="AD131" s="248">
        <f t="shared" si="46"/>
        <v>4.0578713304543665</v>
      </c>
      <c r="AE131" s="248">
        <f t="shared" si="47"/>
        <v>101.99378319467053</v>
      </c>
      <c r="AF131" s="246">
        <f t="shared" si="35"/>
        <v>27.654875291670471</v>
      </c>
      <c r="AG131" s="246">
        <f t="shared" si="36"/>
        <v>94.857831236432631</v>
      </c>
      <c r="AH131" s="249" t="str">
        <f t="shared" si="37"/>
        <v>0.331551291057354-1.56065883061902i</v>
      </c>
    </row>
    <row r="132" spans="9:34" x14ac:dyDescent="0.2">
      <c r="I132" s="246">
        <v>128</v>
      </c>
      <c r="J132" s="246">
        <f t="shared" ref="J132:J195" si="49">1+I132*(LOG(fsw)-1)/500</f>
        <v>2.2480156834282754</v>
      </c>
      <c r="K132" s="246">
        <f t="shared" si="48"/>
        <v>177.01728824042243</v>
      </c>
      <c r="L132" s="246">
        <f t="shared" si="38"/>
        <v>1112.2324245889961</v>
      </c>
      <c r="M132" s="246">
        <f t="shared" ref="M132:M195" si="50">SQRT((Fco_target-K133)^2)</f>
        <v>8637.3891228308439</v>
      </c>
      <c r="N132" s="246">
        <f>SQRT((ABS(AC132)-171.5+'Small Signal'!C$59)^2)</f>
        <v>94.203527636309843</v>
      </c>
      <c r="O132" s="246">
        <f t="shared" si="39"/>
        <v>94.954384381188333</v>
      </c>
      <c r="P132" s="246">
        <f t="shared" si="40"/>
        <v>27.465632448260909</v>
      </c>
      <c r="Q132" s="246">
        <f t="shared" si="41"/>
        <v>177.01728824042243</v>
      </c>
      <c r="R132" s="246" t="str">
        <f t="shared" ref="R132:R195" si="51">IMSUM(COMPLEX(DCRss,Lss*L132),COMPLEX(Rdsonss,0),COMPLEX(40/3*Risense,0))</f>
        <v>0.161233333333333+0.00522749239556828i</v>
      </c>
      <c r="S132" s="246" t="str">
        <f t="shared" ref="S132:S195" si="52">IMSUM(COMPLEX(ESRss,0),IMDIV(COMPLEX(1,0),COMPLEX(0,L132*Cbulkss)))</f>
        <v>0.025-95.6481544428231i</v>
      </c>
      <c r="T132" s="246" t="str">
        <f t="shared" ref="T132:T195" si="53">IMDIV(IMPRODUCT(S132,COMPLEX(Ross,0)),IMSUM(S132,COMPLEX(Ross,0)))</f>
        <v>22.577140946611-5.66467606613589i</v>
      </c>
      <c r="U132" s="246" t="str">
        <f t="shared" ref="U132:U195" si="54">IMPRODUCT(COMPLEX(Vinss,0),COMPLEX(M^2,0),IMDIV(IMSUB(COMPLEX(1,0),IMDIV(IMPRODUCT(R132,COMPLEX(M^2,0)),COMPLEX(Ross,0))),IMSUM(COMPLEX(1,0),IMDIV(IMPRODUCT(R132,COMPLEX(M^2,0)),T132))))</f>
        <v>84.2682682532845-3.70502663395133i</v>
      </c>
      <c r="V132" s="246">
        <f t="shared" si="42"/>
        <v>38.521668628336052</v>
      </c>
      <c r="W132" s="246">
        <f t="shared" si="43"/>
        <v>-2.5175046809534884</v>
      </c>
      <c r="X132" s="246" t="str">
        <f t="shared" ref="X132:X195" si="55">IMSUM(COMPLEX(1,L132/(wn*q0)),IMPOWER(COMPLEX(0,L132/wn),2))</f>
        <v>0.999999777172478-0.0000834988580355214i</v>
      </c>
      <c r="Y132" s="246" t="str">
        <f t="shared" ref="Y132:Y195" si="56">IMPRODUCT(COMPLEX(2*Ioutss*M^2,0),IMDIV(IMSUM(COMPLEX(1,0),IMDIV(COMPLEX(Ross,0),IMPRODUCT(COMPLEX(2,0),S132))),IMSUM(COMPLEX(1,0),IMDIV(IMPRODUCT(R132,COMPLEX(M^2,0)),T132))))</f>
        <v>40.0806917544294+3.48785840842132i</v>
      </c>
      <c r="Z132" s="246" t="str">
        <f t="shared" ref="Z132:Z195" si="57">IMPRODUCT(COMPLEX(Fm*40/3*Risense,0),Y132,X132)</f>
        <v>25.0750614155269+2.17994517008075i</v>
      </c>
      <c r="AA132" s="246" t="str">
        <f t="shared" ref="AA132:AA195" si="58">IMDIV(IMPRODUCT(COMPLEX(Fm,0),U132),IMSUM(COMPLEX(1,0),Z132))</f>
        <v>15.0030488363418-1.92099600980673i</v>
      </c>
      <c r="AB132" s="246">
        <f t="shared" si="44"/>
        <v>23.594212828708578</v>
      </c>
      <c r="AC132" s="246">
        <f t="shared" si="45"/>
        <v>-7.2964723636901523</v>
      </c>
      <c r="AD132" s="248">
        <f t="shared" si="46"/>
        <v>3.871419619552332</v>
      </c>
      <c r="AE132" s="248">
        <f t="shared" si="47"/>
        <v>102.25085674487849</v>
      </c>
      <c r="AF132" s="246">
        <f t="shared" ref="AF132:AF195" si="59">AD132+AB132</f>
        <v>27.465632448260909</v>
      </c>
      <c r="AG132" s="246">
        <f t="shared" ref="AG132:AG195" si="60">AE132+AC132</f>
        <v>94.954384381188333</v>
      </c>
      <c r="AH132" s="249" t="str">
        <f t="shared" ref="AH132:AH195" si="61">IMDIV(IMPRODUCT(COMPLEX(gea*Rea*Rslss/(Rslss+Rshss),0),COMPLEX(1,L132*Ccompss*Rcompss),COMPLEX(1,k_3*L132*Cffss*Rshss)),IMPRODUCT(COMPLEX(1,L132*Rea*Ccompss),COMPLEX(1,L132*Rcompss*Chfss),COMPLEX(1,k_3*L132*Rffss*Cffss)))</f>
        <v>0.331360372590159-1.52604328983073i</v>
      </c>
    </row>
    <row r="133" spans="9:34" x14ac:dyDescent="0.2">
      <c r="I133" s="246">
        <v>129</v>
      </c>
      <c r="J133" s="246">
        <f t="shared" si="49"/>
        <v>2.2577658059550583</v>
      </c>
      <c r="K133" s="246">
        <f t="shared" si="48"/>
        <v>181.03635876796847</v>
      </c>
      <c r="L133" s="246">
        <f t="shared" ref="L133:L196" si="62">2*PI()*K133</f>
        <v>1137.4849894761917</v>
      </c>
      <c r="M133" s="246">
        <f t="shared" si="50"/>
        <v>8633.2788017363837</v>
      </c>
      <c r="N133" s="246">
        <f>SQRT((ABS(AC133)-171.5+'Small Signal'!C$59)^2)</f>
        <v>94.039465748558285</v>
      </c>
      <c r="O133" s="246">
        <f t="shared" ref="O133:O196" si="63">ABS(AG133)</f>
        <v>95.052850574274643</v>
      </c>
      <c r="P133" s="246">
        <f t="shared" ref="P133:P196" si="64">ABS(AF133)</f>
        <v>27.276637931088505</v>
      </c>
      <c r="Q133" s="246">
        <f t="shared" ref="Q133:Q196" si="65">K133</f>
        <v>181.03635876796847</v>
      </c>
      <c r="R133" s="246" t="str">
        <f t="shared" si="51"/>
        <v>0.161233333333333+0.0053461794505381i</v>
      </c>
      <c r="S133" s="246" t="str">
        <f t="shared" si="52"/>
        <v>0.025-93.5247319372481i</v>
      </c>
      <c r="T133" s="246" t="str">
        <f t="shared" si="53"/>
        <v>22.5158422305519-5.77754245744922i</v>
      </c>
      <c r="U133" s="246" t="str">
        <f t="shared" si="54"/>
        <v>84.2659855302957-3.78924781459439i</v>
      </c>
      <c r="V133" s="246">
        <f t="shared" ref="V133:V196" si="66">20*LOG(IMABS(U133))</f>
        <v>38.521819065699276</v>
      </c>
      <c r="W133" s="246">
        <f t="shared" ref="W133:W196" si="67">IF(DEGREES(IMARGUMENT(U133))&gt;0,DEGREES(IMARGUMENT(U133))-360, DEGREES(IMARGUMENT(U133)))</f>
        <v>-2.5747250883473987</v>
      </c>
      <c r="X133" s="246" t="str">
        <f t="shared" si="55"/>
        <v>0.999999766939284-0.0000853946491345157i</v>
      </c>
      <c r="Y133" s="246" t="str">
        <f t="shared" si="56"/>
        <v>40.0888299411708+3.56690851279448i</v>
      </c>
      <c r="Z133" s="246" t="str">
        <f t="shared" si="57"/>
        <v>25.0801608492528+2.22935170689009i</v>
      </c>
      <c r="AA133" s="246" t="str">
        <f t="shared" si="58"/>
        <v>14.9924502620059-1.96328857450786i</v>
      </c>
      <c r="AB133" s="246">
        <f t="shared" ref="AB133:AB196" si="68">20*LOG(IMABS(AA133))</f>
        <v>23.591295442800853</v>
      </c>
      <c r="AC133" s="246">
        <f t="shared" ref="AC133:AC196" si="69">IF(DEGREES(IMARGUMENT(AA133))&gt;0,DEGREES(IMARGUMENT(AA133))-360, DEGREES(IMARGUMENT(AA133)))</f>
        <v>-7.460534251441711</v>
      </c>
      <c r="AD133" s="248">
        <f t="shared" ref="AD133:AD196" si="70">20*LOG(IMABS(AH133))</f>
        <v>3.6853424882876524</v>
      </c>
      <c r="AE133" s="248">
        <f t="shared" ref="AE133:AE196" si="71">180+DEGREES(IMARGUMENT(AH133))</f>
        <v>102.51338482571636</v>
      </c>
      <c r="AF133" s="246">
        <f t="shared" si="59"/>
        <v>27.276637931088505</v>
      </c>
      <c r="AG133" s="246">
        <f t="shared" si="60"/>
        <v>95.052850574274643</v>
      </c>
      <c r="AH133" s="249" t="str">
        <f t="shared" si="61"/>
        <v>0.331177830767467-1.49219689865029i</v>
      </c>
    </row>
    <row r="134" spans="9:34" x14ac:dyDescent="0.2">
      <c r="I134" s="246">
        <v>130</v>
      </c>
      <c r="J134" s="246">
        <f t="shared" si="49"/>
        <v>2.267515928481842</v>
      </c>
      <c r="K134" s="246">
        <f t="shared" si="48"/>
        <v>185.14667986242827</v>
      </c>
      <c r="L134" s="246">
        <f t="shared" si="62"/>
        <v>1163.3108985846918</v>
      </c>
      <c r="M134" s="246">
        <f t="shared" si="50"/>
        <v>8629.0751582860466</v>
      </c>
      <c r="N134" s="246">
        <f>SQRT((ABS(AC134)-171.5+'Small Signal'!C$59)^2)</f>
        <v>93.871789001581391</v>
      </c>
      <c r="O134" s="246">
        <f t="shared" si="63"/>
        <v>95.153241409199637</v>
      </c>
      <c r="P134" s="246">
        <f t="shared" si="64"/>
        <v>27.087901720355585</v>
      </c>
      <c r="Q134" s="246">
        <f t="shared" si="65"/>
        <v>185.14667986242827</v>
      </c>
      <c r="R134" s="246" t="str">
        <f t="shared" si="51"/>
        <v>0.161233333333333+0.00546756122334805i</v>
      </c>
      <c r="S134" s="246" t="str">
        <f t="shared" si="52"/>
        <v>0.025-91.4484501544961i</v>
      </c>
      <c r="T134" s="246" t="str">
        <f t="shared" si="53"/>
        <v>22.4520839410571-5.89196772360397i</v>
      </c>
      <c r="U134" s="246" t="str">
        <f t="shared" si="54"/>
        <v>84.2635973594802-3.87538819487316i</v>
      </c>
      <c r="V134" s="246">
        <f t="shared" si="66"/>
        <v>38.521976393471412</v>
      </c>
      <c r="W134" s="246">
        <f t="shared" si="67"/>
        <v>-2.6332489693369179</v>
      </c>
      <c r="X134" s="246" t="str">
        <f t="shared" si="55"/>
        <v>0.999999756236138-0.0000873334830244608i</v>
      </c>
      <c r="Y134" s="246" t="str">
        <f t="shared" si="56"/>
        <v>40.097342227513+3.64774364529326i</v>
      </c>
      <c r="Z134" s="246" t="str">
        <f t="shared" si="57"/>
        <v>25.0854946947274+2.27987385345784i</v>
      </c>
      <c r="AA134" s="246" t="str">
        <f t="shared" si="58"/>
        <v>14.9813802122028-2.00645117367299i</v>
      </c>
      <c r="AB134" s="246">
        <f t="shared" si="68"/>
        <v>23.588246183646383</v>
      </c>
      <c r="AC134" s="246">
        <f t="shared" si="69"/>
        <v>-7.6282109984185968</v>
      </c>
      <c r="AD134" s="248">
        <f t="shared" si="70"/>
        <v>3.4996555367092008</v>
      </c>
      <c r="AE134" s="248">
        <f t="shared" si="71"/>
        <v>102.78145240761823</v>
      </c>
      <c r="AF134" s="246">
        <f t="shared" si="59"/>
        <v>27.087901720355585</v>
      </c>
      <c r="AG134" s="246">
        <f t="shared" si="60"/>
        <v>95.153241409199637</v>
      </c>
      <c r="AH134" s="249" t="str">
        <f t="shared" si="61"/>
        <v>0.331003297521389-1.4591025999295i</v>
      </c>
    </row>
    <row r="135" spans="9:34" x14ac:dyDescent="0.2">
      <c r="I135" s="246">
        <v>131</v>
      </c>
      <c r="J135" s="246">
        <f t="shared" si="49"/>
        <v>2.2772660510086258</v>
      </c>
      <c r="K135" s="246">
        <f t="shared" si="48"/>
        <v>189.3503233127646</v>
      </c>
      <c r="L135" s="246">
        <f t="shared" si="62"/>
        <v>1189.7231693484669</v>
      </c>
      <c r="M135" s="246">
        <f t="shared" si="50"/>
        <v>8624.7760736521541</v>
      </c>
      <c r="N135" s="246">
        <f>SQRT((ABS(AC135)-171.5+'Small Signal'!C$59)^2)</f>
        <v>93.700422824998157</v>
      </c>
      <c r="O135" s="246">
        <f t="shared" si="63"/>
        <v>95.255567097153772</v>
      </c>
      <c r="P135" s="246">
        <f t="shared" si="64"/>
        <v>26.899434130650228</v>
      </c>
      <c r="Q135" s="246">
        <f t="shared" si="65"/>
        <v>189.3503233127646</v>
      </c>
      <c r="R135" s="246" t="str">
        <f t="shared" si="51"/>
        <v>0.161233333333333+0.00559169889593779i</v>
      </c>
      <c r="S135" s="246" t="str">
        <f t="shared" si="52"/>
        <v>0.025-89.4182625540218i</v>
      </c>
      <c r="T135" s="246" t="str">
        <f t="shared" si="53"/>
        <v>22.3857832282374-6.00792753867081i</v>
      </c>
      <c r="U135" s="246" t="str">
        <f t="shared" si="54"/>
        <v>84.2610988403725-3.96349183574073i</v>
      </c>
      <c r="V135" s="246">
        <f t="shared" si="66"/>
        <v>38.522140926366156</v>
      </c>
      <c r="W135" s="246">
        <f t="shared" si="67"/>
        <v>-2.6931062194277922</v>
      </c>
      <c r="X135" s="246" t="str">
        <f t="shared" si="55"/>
        <v>0.999999745041458-0.0000893163369659067i</v>
      </c>
      <c r="Y135" s="246" t="str">
        <f t="shared" si="56"/>
        <v>40.1062458273535+3.73040365060753i</v>
      </c>
      <c r="Z135" s="246" t="str">
        <f t="shared" si="57"/>
        <v>25.0910737381122+2.33153650932866i</v>
      </c>
      <c r="AA135" s="246" t="str">
        <f t="shared" si="58"/>
        <v>14.9698184329929-2.05049750375135i</v>
      </c>
      <c r="AB135" s="246">
        <f t="shared" si="68"/>
        <v>23.58505918965626</v>
      </c>
      <c r="AC135" s="246">
        <f t="shared" si="69"/>
        <v>-7.7995771750018505</v>
      </c>
      <c r="AD135" s="248">
        <f t="shared" si="70"/>
        <v>3.3143749409939662</v>
      </c>
      <c r="AE135" s="248">
        <f t="shared" si="71"/>
        <v>103.05514427215562</v>
      </c>
      <c r="AF135" s="246">
        <f t="shared" si="59"/>
        <v>26.899434130650228</v>
      </c>
      <c r="AG135" s="246">
        <f t="shared" si="60"/>
        <v>95.255567097153772</v>
      </c>
      <c r="AH135" s="249" t="str">
        <f t="shared" si="61"/>
        <v>0.330836420931437-1.42674371541518i</v>
      </c>
    </row>
    <row r="136" spans="9:34" x14ac:dyDescent="0.2">
      <c r="I136" s="246">
        <v>132</v>
      </c>
      <c r="J136" s="246">
        <f t="shared" si="49"/>
        <v>2.2870161735354086</v>
      </c>
      <c r="K136" s="246">
        <f t="shared" ref="K136:K199" si="72">10^(J136)</f>
        <v>193.64940794665668</v>
      </c>
      <c r="L136" s="246">
        <f t="shared" si="62"/>
        <v>1216.7351147544591</v>
      </c>
      <c r="M136" s="246">
        <f t="shared" si="50"/>
        <v>8620.3793809003255</v>
      </c>
      <c r="N136" s="246">
        <f>SQRT((ABS(AC136)-171.5+'Small Signal'!C$59)^2)</f>
        <v>93.52529145879987</v>
      </c>
      <c r="O136" s="246">
        <f t="shared" si="63"/>
        <v>95.359836340648627</v>
      </c>
      <c r="P136" s="246">
        <f t="shared" si="64"/>
        <v>26.711245816121426</v>
      </c>
      <c r="Q136" s="246">
        <f t="shared" si="65"/>
        <v>193.64940794665668</v>
      </c>
      <c r="R136" s="246" t="str">
        <f t="shared" si="51"/>
        <v>0.161233333333333+0.00571865503934596i</v>
      </c>
      <c r="S136" s="246" t="str">
        <f t="shared" si="52"/>
        <v>0.025-87.4331458288461i</v>
      </c>
      <c r="T136" s="246" t="str">
        <f t="shared" si="53"/>
        <v>22.3168558336195-6.12539393757023i</v>
      </c>
      <c r="U136" s="246" t="str">
        <f t="shared" si="54"/>
        <v>84.2584848420156-4.0536038322428i</v>
      </c>
      <c r="V136" s="246">
        <f t="shared" si="66"/>
        <v>38.522312993387743</v>
      </c>
      <c r="W136" s="246">
        <f t="shared" si="67"/>
        <v>-2.7543274338540726</v>
      </c>
      <c r="X136" s="246" t="str">
        <f t="shared" si="55"/>
        <v>0.999999733332671-0.0000913442104075137i</v>
      </c>
      <c r="Y136" s="246" t="str">
        <f t="shared" si="56"/>
        <v>40.1155587482707+3.81492923005137i</v>
      </c>
      <c r="Z136" s="246" t="str">
        <f t="shared" si="57"/>
        <v>25.0969092628755+2.38436510917588i</v>
      </c>
      <c r="AA136" s="246" t="str">
        <f t="shared" si="58"/>
        <v>14.9577438666997-2.09544117631398i</v>
      </c>
      <c r="AB136" s="246">
        <f t="shared" si="68"/>
        <v>23.581728347876286</v>
      </c>
      <c r="AC136" s="246">
        <f t="shared" si="69"/>
        <v>-7.9747085412001342</v>
      </c>
      <c r="AD136" s="248">
        <f t="shared" si="70"/>
        <v>3.1295174682451385</v>
      </c>
      <c r="AE136" s="248">
        <f t="shared" si="71"/>
        <v>103.33454488184876</v>
      </c>
      <c r="AF136" s="246">
        <f t="shared" si="59"/>
        <v>26.711245816121426</v>
      </c>
      <c r="AG136" s="246">
        <f t="shared" si="60"/>
        <v>95.359836340648627</v>
      </c>
      <c r="AH136" s="249" t="str">
        <f t="shared" si="61"/>
        <v>0.330676864515025-1.3951039373552i</v>
      </c>
    </row>
    <row r="137" spans="9:34" x14ac:dyDescent="0.2">
      <c r="I137" s="246">
        <v>133</v>
      </c>
      <c r="J137" s="246">
        <f t="shared" si="49"/>
        <v>2.2967662960621924</v>
      </c>
      <c r="K137" s="246">
        <f t="shared" si="72"/>
        <v>198.04610069848653</v>
      </c>
      <c r="L137" s="246">
        <f t="shared" si="62"/>
        <v>1244.3603500529393</v>
      </c>
      <c r="M137" s="246">
        <f t="shared" si="50"/>
        <v>8615.8828638972427</v>
      </c>
      <c r="N137" s="246">
        <f>SQRT((ABS(AC137)-171.5+'Small Signal'!C$59)^2)</f>
        <v>93.3463179591933</v>
      </c>
      <c r="O137" s="246">
        <f t="shared" si="63"/>
        <v>95.46605620061348</v>
      </c>
      <c r="P137" s="246">
        <f t="shared" si="64"/>
        <v>26.523347775120442</v>
      </c>
      <c r="Q137" s="246">
        <f t="shared" si="65"/>
        <v>198.04610069848653</v>
      </c>
      <c r="R137" s="246" t="str">
        <f t="shared" si="51"/>
        <v>0.161233333333333+0.00584849364524882i</v>
      </c>
      <c r="S137" s="246" t="str">
        <f t="shared" si="52"/>
        <v>0.025-85.4920993897617i</v>
      </c>
      <c r="T137" s="246" t="str">
        <f t="shared" si="53"/>
        <v>22.2452161960734-6.2443351247799i</v>
      </c>
      <c r="U137" s="246" t="str">
        <f t="shared" si="54"/>
        <v>84.2557499918681-4.14577033932271i</v>
      </c>
      <c r="V137" s="246">
        <f t="shared" si="66"/>
        <v>38.522492938472382</v>
      </c>
      <c r="W137" s="246">
        <f t="shared" si="67"/>
        <v>-2.8169439249265715</v>
      </c>
      <c r="X137" s="246" t="str">
        <f t="shared" si="55"/>
        <v>0.999999721086165-0.0000934181254898204i</v>
      </c>
      <c r="Y137" s="246" t="str">
        <f t="shared" si="56"/>
        <v>40.1252998282674+3.90136195761576i</v>
      </c>
      <c r="Z137" s="246" t="str">
        <f t="shared" si="57"/>
        <v>25.1030130728143+2.43838563281566i</v>
      </c>
      <c r="AA137" s="246" t="str">
        <f t="shared" si="58"/>
        <v>14.9451346261834-2.14129569152811i</v>
      </c>
      <c r="AB137" s="246">
        <f t="shared" si="68"/>
        <v>23.578247284053703</v>
      </c>
      <c r="AC137" s="246">
        <f t="shared" si="69"/>
        <v>-8.1536820408067072</v>
      </c>
      <c r="AD137" s="248">
        <f t="shared" si="70"/>
        <v>2.9451004910667402</v>
      </c>
      <c r="AE137" s="248">
        <f t="shared" si="71"/>
        <v>103.61973824142018</v>
      </c>
      <c r="AF137" s="246">
        <f t="shared" si="59"/>
        <v>26.523347775120442</v>
      </c>
      <c r="AG137" s="246">
        <f t="shared" si="60"/>
        <v>95.46605620061348</v>
      </c>
      <c r="AH137" s="249" t="str">
        <f t="shared" si="61"/>
        <v>0.330524306549081-1.36416732029038i</v>
      </c>
    </row>
    <row r="138" spans="9:34" x14ac:dyDescent="0.2">
      <c r="I138" s="246">
        <v>134</v>
      </c>
      <c r="J138" s="246">
        <f t="shared" si="49"/>
        <v>2.3065164185889757</v>
      </c>
      <c r="K138" s="246">
        <f t="shared" si="72"/>
        <v>202.5426177015697</v>
      </c>
      <c r="L138" s="246">
        <f t="shared" si="62"/>
        <v>1272.6127996201947</v>
      </c>
      <c r="M138" s="246">
        <f t="shared" si="50"/>
        <v>8611.2842561936213</v>
      </c>
      <c r="N138" s="246">
        <f>SQRT((ABS(AC138)-171.5+'Small Signal'!C$59)^2)</f>
        <v>93.163424206610614</v>
      </c>
      <c r="O138" s="246">
        <f t="shared" si="63"/>
        <v>95.57423195680505</v>
      </c>
      <c r="P138" s="246">
        <f t="shared" si="64"/>
        <v>26.335751354234088</v>
      </c>
      <c r="Q138" s="246">
        <f t="shared" si="65"/>
        <v>202.5426177015697</v>
      </c>
      <c r="R138" s="246" t="str">
        <f t="shared" si="51"/>
        <v>0.161233333333333+0.00598128015821491i</v>
      </c>
      <c r="S138" s="246" t="str">
        <f t="shared" si="52"/>
        <v>0.025-83.5941448609931i</v>
      </c>
      <c r="T138" s="246" t="str">
        <f t="shared" si="53"/>
        <v>22.1707775721355-6.36471528066103i</v>
      </c>
      <c r="U138" s="246" t="str">
        <f t="shared" si="54"/>
        <v>84.2528886641463-4.2400385983704i</v>
      </c>
      <c r="V138" s="246">
        <f t="shared" si="66"/>
        <v>38.522681121156893</v>
      </c>
      <c r="W138" s="246">
        <f t="shared" si="67"/>
        <v>-2.8809877398764239</v>
      </c>
      <c r="X138" s="246" t="str">
        <f t="shared" si="55"/>
        <v>0.999999708277248-0.0000955391275604476i</v>
      </c>
      <c r="Y138" s="246" t="str">
        <f t="shared" si="56"/>
        <v>40.1354887742261+3.9897442961441i</v>
      </c>
      <c r="Z138" s="246" t="str">
        <f t="shared" si="57"/>
        <v>25.1093975161492+2.49362461529645i</v>
      </c>
      <c r="AA138" s="246" t="str">
        <f t="shared" si="58"/>
        <v>14.9319679688865-2.18807440964885i</v>
      </c>
      <c r="AB138" s="246">
        <f t="shared" si="68"/>
        <v>23.574609352388926</v>
      </c>
      <c r="AC138" s="246">
        <f t="shared" si="69"/>
        <v>-8.3365757933893772</v>
      </c>
      <c r="AD138" s="248">
        <f t="shared" si="70"/>
        <v>2.7611420018451622</v>
      </c>
      <c r="AE138" s="248">
        <f t="shared" si="71"/>
        <v>103.91080775019442</v>
      </c>
      <c r="AF138" s="246">
        <f t="shared" si="59"/>
        <v>26.335751354234088</v>
      </c>
      <c r="AG138" s="246">
        <f t="shared" si="60"/>
        <v>95.57423195680505</v>
      </c>
      <c r="AH138" s="249" t="str">
        <f t="shared" si="61"/>
        <v>0.330378439421409-1.33391827302834i</v>
      </c>
    </row>
    <row r="139" spans="9:34" x14ac:dyDescent="0.2">
      <c r="I139" s="246">
        <v>135</v>
      </c>
      <c r="J139" s="246">
        <f t="shared" si="49"/>
        <v>2.316266541115759</v>
      </c>
      <c r="K139" s="246">
        <f t="shared" si="72"/>
        <v>207.14122540519048</v>
      </c>
      <c r="L139" s="246">
        <f t="shared" si="62"/>
        <v>1301.5067039770677</v>
      </c>
      <c r="M139" s="246">
        <f t="shared" si="50"/>
        <v>8606.581239881818</v>
      </c>
      <c r="N139" s="246">
        <f>SQRT((ABS(AC139)-171.5+'Small Signal'!C$59)^2)</f>
        <v>92.976530916050763</v>
      </c>
      <c r="O139" s="246">
        <f t="shared" si="63"/>
        <v>95.684366961414383</v>
      </c>
      <c r="P139" s="246">
        <f t="shared" si="64"/>
        <v>26.148468251631595</v>
      </c>
      <c r="Q139" s="246">
        <f t="shared" si="65"/>
        <v>207.14122540519048</v>
      </c>
      <c r="R139" s="246" t="str">
        <f t="shared" si="51"/>
        <v>0.161233333333333+0.00611708150869222i</v>
      </c>
      <c r="S139" s="246" t="str">
        <f t="shared" si="52"/>
        <v>0.025-81.738325587049i</v>
      </c>
      <c r="T139" s="246" t="str">
        <f t="shared" si="53"/>
        <v>22.0934521715683-6.48649436618671i</v>
      </c>
      <c r="U139" s="246" t="str">
        <f t="shared" si="54"/>
        <v>84.2498949675831-4.33645696454542i</v>
      </c>
      <c r="V139" s="246">
        <f t="shared" si="66"/>
        <v>38.522877917276958</v>
      </c>
      <c r="W139" s="246">
        <f t="shared" si="67"/>
        <v>-2.9464916792133788</v>
      </c>
      <c r="X139" s="246" t="str">
        <f t="shared" si="55"/>
        <v>0.999999694880091-0.0000977082857010027i</v>
      </c>
      <c r="Y139" s="246" t="str">
        <f t="shared" si="56"/>
        <v>40.1461462021621+4.08011961361461i</v>
      </c>
      <c r="Z139" s="246" t="str">
        <f t="shared" si="57"/>
        <v>25.1160755107444+2.55010915705387i</v>
      </c>
      <c r="AA139" s="246" t="str">
        <f t="shared" si="58"/>
        <v>14.9182202707208-2.23579052042323i</v>
      </c>
      <c r="AB139" s="246">
        <f t="shared" si="68"/>
        <v>23.570807624971998</v>
      </c>
      <c r="AC139" s="246">
        <f t="shared" si="69"/>
        <v>-8.5234690839492444</v>
      </c>
      <c r="AD139" s="248">
        <f t="shared" si="70"/>
        <v>2.5776606266595961</v>
      </c>
      <c r="AE139" s="248">
        <f t="shared" si="71"/>
        <v>104.20783604536363</v>
      </c>
      <c r="AF139" s="246">
        <f t="shared" si="59"/>
        <v>26.148468251631595</v>
      </c>
      <c r="AG139" s="246">
        <f t="shared" si="60"/>
        <v>95.684366961414383</v>
      </c>
      <c r="AH139" s="249" t="str">
        <f t="shared" si="61"/>
        <v>0.330238969010499-1.30434155079505i</v>
      </c>
    </row>
    <row r="140" spans="9:34" x14ac:dyDescent="0.2">
      <c r="I140" s="246">
        <v>136</v>
      </c>
      <c r="J140" s="246">
        <f t="shared" si="49"/>
        <v>2.3260166636425423</v>
      </c>
      <c r="K140" s="246">
        <f t="shared" si="72"/>
        <v>211.84424171699328</v>
      </c>
      <c r="L140" s="246">
        <f t="shared" si="62"/>
        <v>1331.0566269668129</v>
      </c>
      <c r="M140" s="246">
        <f t="shared" si="50"/>
        <v>8601.771444427497</v>
      </c>
      <c r="N140" s="246">
        <f>SQRT((ABS(AC140)-171.5+'Small Signal'!C$59)^2)</f>
        <v>92.785557649924613</v>
      </c>
      <c r="O140" s="246">
        <f t="shared" si="63"/>
        <v>95.796462485771968</v>
      </c>
      <c r="P140" s="246">
        <f t="shared" si="64"/>
        <v>25.961510519641287</v>
      </c>
      <c r="Q140" s="246">
        <f t="shared" si="65"/>
        <v>211.84424171699328</v>
      </c>
      <c r="R140" s="246" t="str">
        <f t="shared" si="51"/>
        <v>0.161233333333333+0.00625596614674402i</v>
      </c>
      <c r="S140" s="246" t="str">
        <f t="shared" si="52"/>
        <v>0.025-79.9237061505251i</v>
      </c>
      <c r="T140" s="246" t="str">
        <f t="shared" si="53"/>
        <v>22.0131513089977-6.60962792696019i</v>
      </c>
      <c r="U140" s="246" t="str">
        <f t="shared" si="54"/>
        <v>84.2467627325651-4.43507493490106i</v>
      </c>
      <c r="V140" s="246">
        <f t="shared" si="66"/>
        <v>38.523083719695528</v>
      </c>
      <c r="W140" s="246">
        <f t="shared" si="67"/>
        <v>-3.0134893156169813</v>
      </c>
      <c r="X140" s="246" t="str">
        <f t="shared" si="55"/>
        <v>0.999999680867678-0.000099926693265944i</v>
      </c>
      <c r="Y140" s="246" t="str">
        <f t="shared" si="56"/>
        <v>40.1572936793585+4.17253219951288i</v>
      </c>
      <c r="Z140" s="246" t="str">
        <f t="shared" si="57"/>
        <v>25.123060570508+2.60786693412046i</v>
      </c>
      <c r="AA140" s="246" t="str">
        <f t="shared" si="58"/>
        <v>14.9038669998683-2.28445701029803i</v>
      </c>
      <c r="AB140" s="246">
        <f t="shared" si="68"/>
        <v>23.566834880900707</v>
      </c>
      <c r="AC140" s="246">
        <f t="shared" si="69"/>
        <v>-8.7144423500753732</v>
      </c>
      <c r="AD140" s="248">
        <f t="shared" si="70"/>
        <v>2.3946756387405803</v>
      </c>
      <c r="AE140" s="248">
        <f t="shared" si="71"/>
        <v>104.51090483584734</v>
      </c>
      <c r="AF140" s="246">
        <f t="shared" si="59"/>
        <v>25.961510519641287</v>
      </c>
      <c r="AG140" s="246">
        <f t="shared" si="60"/>
        <v>95.796462485771968</v>
      </c>
      <c r="AH140" s="249" t="str">
        <f t="shared" si="61"/>
        <v>0.33010561409253-1.27542224756051i</v>
      </c>
    </row>
    <row r="141" spans="9:34" x14ac:dyDescent="0.2">
      <c r="I141" s="246">
        <v>137</v>
      </c>
      <c r="J141" s="246">
        <f t="shared" si="49"/>
        <v>2.3357667861693256</v>
      </c>
      <c r="K141" s="246">
        <f t="shared" si="72"/>
        <v>216.65403717131503</v>
      </c>
      <c r="L141" s="246">
        <f t="shared" si="62"/>
        <v>1361.2774630959466</v>
      </c>
      <c r="M141" s="246">
        <f t="shared" si="50"/>
        <v>8596.8524454747694</v>
      </c>
      <c r="N141" s="246">
        <f>SQRT((ABS(AC141)-171.5+'Small Signal'!C$59)^2)</f>
        <v>92.590422833580305</v>
      </c>
      <c r="O141" s="246">
        <f t="shared" si="63"/>
        <v>95.910517560082468</v>
      </c>
      <c r="P141" s="246">
        <f t="shared" si="64"/>
        <v>25.77489056646559</v>
      </c>
      <c r="Q141" s="246">
        <f t="shared" si="65"/>
        <v>216.65403717131503</v>
      </c>
      <c r="R141" s="246" t="str">
        <f t="shared" si="51"/>
        <v>0.161233333333333+0.00639800407655095i</v>
      </c>
      <c r="S141" s="246" t="str">
        <f t="shared" si="52"/>
        <v>0.025-78.1493719006101i</v>
      </c>
      <c r="T141" s="246" t="str">
        <f t="shared" si="53"/>
        <v>21.9297855724456-6.73406689752162i</v>
      </c>
      <c r="U141" s="246" t="str">
        <f t="shared" si="54"/>
        <v>84.2434854976189-4.53594317734151i</v>
      </c>
      <c r="V141" s="246">
        <f t="shared" si="66"/>
        <v>38.52329893906311</v>
      </c>
      <c r="W141" s="246">
        <f t="shared" si="67"/>
        <v>-3.0820150133816937</v>
      </c>
      <c r="X141" s="246" t="str">
        <f t="shared" si="55"/>
        <v>0.999999666211756-0.000102195468433683i</v>
      </c>
      <c r="Y141" s="246" t="str">
        <f t="shared" si="56"/>
        <v>40.1689537684707+4.26702728127782i</v>
      </c>
      <c r="Z141" s="246" t="str">
        <f t="shared" si="57"/>
        <v>25.1303668330247+2.66692620837956i</v>
      </c>
      <c r="AA141" s="246" t="str">
        <f t="shared" si="58"/>
        <v>14.8888826905809-2.33408662732232i</v>
      </c>
      <c r="AB141" s="246">
        <f t="shared" si="68"/>
        <v>23.562683595080575</v>
      </c>
      <c r="AC141" s="246">
        <f t="shared" si="69"/>
        <v>-8.909577166419691</v>
      </c>
      <c r="AD141" s="248">
        <f t="shared" si="70"/>
        <v>2.2122069713850161</v>
      </c>
      <c r="AE141" s="248">
        <f t="shared" si="71"/>
        <v>104.82009472650216</v>
      </c>
      <c r="AF141" s="246">
        <f t="shared" si="59"/>
        <v>25.77489056646559</v>
      </c>
      <c r="AG141" s="246">
        <f t="shared" si="60"/>
        <v>95.910517560082468</v>
      </c>
      <c r="AH141" s="249" t="str">
        <f t="shared" si="61"/>
        <v>0.329978105774393-1.24714578853433i</v>
      </c>
    </row>
    <row r="142" spans="9:34" x14ac:dyDescent="0.2">
      <c r="I142" s="246">
        <v>138</v>
      </c>
      <c r="J142" s="246">
        <f t="shared" si="49"/>
        <v>2.3455169086961094</v>
      </c>
      <c r="K142" s="246">
        <f t="shared" si="72"/>
        <v>221.57303612404195</v>
      </c>
      <c r="L142" s="246">
        <f t="shared" si="62"/>
        <v>1392.184445041752</v>
      </c>
      <c r="M142" s="246">
        <f t="shared" si="50"/>
        <v>8591.8217636242171</v>
      </c>
      <c r="N142" s="246">
        <f>SQRT((ABS(AC142)-171.5+'Small Signal'!C$59)^2)</f>
        <v>92.391043773703046</v>
      </c>
      <c r="O142" s="246">
        <f t="shared" si="63"/>
        <v>96.026528806150253</v>
      </c>
      <c r="P142" s="246">
        <f t="shared" si="64"/>
        <v>25.588621156942118</v>
      </c>
      <c r="Q142" s="246">
        <f t="shared" si="65"/>
        <v>221.57303612404195</v>
      </c>
      <c r="R142" s="246" t="str">
        <f t="shared" si="51"/>
        <v>0.161233333333333+0.00654326689169623i</v>
      </c>
      <c r="S142" s="246" t="str">
        <f t="shared" si="52"/>
        <v>0.025-76.414428492062i</v>
      </c>
      <c r="T142" s="246" t="str">
        <f t="shared" si="53"/>
        <v>21.8432650095444-6.8597574070551i</v>
      </c>
      <c r="U142" s="246" t="str">
        <f t="shared" si="54"/>
        <v>84.2400564952019-4.63911356044258i</v>
      </c>
      <c r="V142" s="246">
        <f t="shared" si="66"/>
        <v>38.523524004610252</v>
      </c>
      <c r="W142" s="246">
        <f t="shared" si="67"/>
        <v>-3.152103948436582</v>
      </c>
      <c r="X142" s="246" t="str">
        <f t="shared" si="55"/>
        <v>0.999999650882771-0.000104515754770195i</v>
      </c>
      <c r="Y142" s="246" t="str">
        <f t="shared" si="56"/>
        <v>40.181150073693+4.36365104079844i</v>
      </c>
      <c r="Z142" s="246" t="str">
        <f t="shared" si="57"/>
        <v>25.1380090884822+2.72731583784929i</v>
      </c>
      <c r="AA142" s="246" t="str">
        <f t="shared" si="58"/>
        <v>14.8732409170741-2.38469184363069i</v>
      </c>
      <c r="AB142" s="246">
        <f t="shared" si="68"/>
        <v>23.55834592670783</v>
      </c>
      <c r="AC142" s="246">
        <f t="shared" si="69"/>
        <v>-9.1089562262969466</v>
      </c>
      <c r="AD142" s="248">
        <f t="shared" si="70"/>
        <v>2.0302752302342864</v>
      </c>
      <c r="AE142" s="248">
        <f t="shared" si="71"/>
        <v>105.13548503244721</v>
      </c>
      <c r="AF142" s="246">
        <f t="shared" si="59"/>
        <v>25.588621156942118</v>
      </c>
      <c r="AG142" s="246">
        <f t="shared" si="60"/>
        <v>96.026528806150253</v>
      </c>
      <c r="AH142" s="249" t="str">
        <f t="shared" si="61"/>
        <v>0.32985618695152-1.21949792282789i</v>
      </c>
    </row>
    <row r="143" spans="9:34" x14ac:dyDescent="0.2">
      <c r="I143" s="246">
        <v>139</v>
      </c>
      <c r="J143" s="246">
        <f t="shared" si="49"/>
        <v>2.3552670312228927</v>
      </c>
      <c r="K143" s="246">
        <f t="shared" si="72"/>
        <v>226.60371797459419</v>
      </c>
      <c r="L143" s="246">
        <f t="shared" si="62"/>
        <v>1423.7931513302369</v>
      </c>
      <c r="M143" s="246">
        <f t="shared" si="50"/>
        <v>8586.6768631831528</v>
      </c>
      <c r="N143" s="246">
        <f>SQRT((ABS(AC143)-171.5+'Small Signal'!C$59)^2)</f>
        <v>92.187336679782248</v>
      </c>
      <c r="O143" s="246">
        <f t="shared" si="63"/>
        <v>96.144490263096756</v>
      </c>
      <c r="P143" s="246">
        <f t="shared" si="64"/>
        <v>25.402715412246788</v>
      </c>
      <c r="Q143" s="246">
        <f t="shared" si="65"/>
        <v>226.60371797459419</v>
      </c>
      <c r="R143" s="246" t="str">
        <f t="shared" si="51"/>
        <v>0.161233333333333+0.00669182781125211i</v>
      </c>
      <c r="S143" s="246" t="str">
        <f t="shared" si="52"/>
        <v>0.025-74.7180014344161i</v>
      </c>
      <c r="T143" s="246" t="str">
        <f t="shared" si="53"/>
        <v>21.7534993321852-6.98664058772985i</v>
      </c>
      <c r="U143" s="246" t="str">
        <f t="shared" si="54"/>
        <v>84.2364686367714-4.74463918417072i</v>
      </c>
      <c r="V143" s="246">
        <f t="shared" si="66"/>
        <v>38.52375936497485</v>
      </c>
      <c r="W143" s="246">
        <f t="shared" si="67"/>
        <v>-3.2237921289623124</v>
      </c>
      <c r="X143" s="246" t="str">
        <f t="shared" si="55"/>
        <v>0.999999634849813-0.000106888721805429i</v>
      </c>
      <c r="Y143" s="246" t="str">
        <f t="shared" si="56"/>
        <v>40.1939072890919+4.46245063094191i</v>
      </c>
      <c r="Z143" s="246" t="str">
        <f t="shared" si="57"/>
        <v>25.1460028099528+2.78906528698414i</v>
      </c>
      <c r="AA143" s="246" t="str">
        <f t="shared" si="58"/>
        <v>14.8569142676174-2.43628481539412i</v>
      </c>
      <c r="AB143" s="246">
        <f t="shared" si="68"/>
        <v>23.553813707436177</v>
      </c>
      <c r="AC143" s="246">
        <f t="shared" si="69"/>
        <v>-9.3126633202177391</v>
      </c>
      <c r="AD143" s="248">
        <f t="shared" si="70"/>
        <v>1.8489017048106129</v>
      </c>
      <c r="AE143" s="248">
        <f t="shared" si="71"/>
        <v>105.45715358331449</v>
      </c>
      <c r="AF143" s="246">
        <f t="shared" si="59"/>
        <v>25.402715412246788</v>
      </c>
      <c r="AG143" s="246">
        <f t="shared" si="60"/>
        <v>96.144490263096756</v>
      </c>
      <c r="AH143" s="249" t="str">
        <f t="shared" si="61"/>
        <v>0.329739611789549-1.19246471627902i</v>
      </c>
    </row>
    <row r="144" spans="9:34" x14ac:dyDescent="0.2">
      <c r="I144" s="246">
        <v>140</v>
      </c>
      <c r="J144" s="246">
        <f t="shared" si="49"/>
        <v>2.365017153749676</v>
      </c>
      <c r="K144" s="246">
        <f t="shared" si="72"/>
        <v>231.74861841565829</v>
      </c>
      <c r="L144" s="246">
        <f t="shared" si="62"/>
        <v>1456.1195141884325</v>
      </c>
      <c r="M144" s="246">
        <f t="shared" si="50"/>
        <v>8581.415150887522</v>
      </c>
      <c r="N144" s="246">
        <f>SQRT((ABS(AC144)-171.5+'Small Signal'!C$59)^2)</f>
        <v>91.979216688857292</v>
      </c>
      <c r="O144" s="246">
        <f t="shared" si="63"/>
        <v>96.264393206103506</v>
      </c>
      <c r="P144" s="246">
        <f t="shared" si="64"/>
        <v>25.217186808435226</v>
      </c>
      <c r="Q144" s="246">
        <f t="shared" si="65"/>
        <v>231.74861841565829</v>
      </c>
      <c r="R144" s="246" t="str">
        <f t="shared" si="51"/>
        <v>0.161233333333333+0.00684376171668563i</v>
      </c>
      <c r="S144" s="246" t="str">
        <f t="shared" si="52"/>
        <v>0.025-73.0592356512003i</v>
      </c>
      <c r="T144" s="246" t="str">
        <f t="shared" si="53"/>
        <v>21.6603981402915-7.11465238703143i</v>
      </c>
      <c r="U144" s="246" t="str">
        <f t="shared" si="54"/>
        <v>84.2327144970793-4.85257441153484i</v>
      </c>
      <c r="V144" s="246">
        <f t="shared" si="66"/>
        <v>38.524005489064336</v>
      </c>
      <c r="W144" s="246">
        <f t="shared" si="67"/>
        <v>-3.2971164166289593</v>
      </c>
      <c r="X144" s="246" t="str">
        <f t="shared" si="55"/>
        <v>0.999999618080554-0.000109315565622807i</v>
      </c>
      <c r="Y144" s="246" t="str">
        <f t="shared" si="56"/>
        <v>40.2072512492006+4.56347419208589i</v>
      </c>
      <c r="Z144" s="246" t="str">
        <f t="shared" si="57"/>
        <v>25.1543641850941+2.85220463697729i</v>
      </c>
      <c r="AA144" s="246" t="str">
        <f t="shared" si="58"/>
        <v>14.8398743189385-2.48887734012167i</v>
      </c>
      <c r="AB144" s="246">
        <f t="shared" si="68"/>
        <v>23.549078429230995</v>
      </c>
      <c r="AC144" s="246">
        <f t="shared" si="69"/>
        <v>-9.5207833111427149</v>
      </c>
      <c r="AD144" s="248">
        <f t="shared" si="70"/>
        <v>1.6681083792042317</v>
      </c>
      <c r="AE144" s="248">
        <f t="shared" si="71"/>
        <v>105.78517651724623</v>
      </c>
      <c r="AF144" s="246">
        <f t="shared" si="59"/>
        <v>25.217186808435226</v>
      </c>
      <c r="AG144" s="246">
        <f t="shared" si="60"/>
        <v>96.264393206103506</v>
      </c>
      <c r="AH144" s="249" t="str">
        <f t="shared" si="61"/>
        <v>0.32962814522865-1.16603254443597i</v>
      </c>
    </row>
    <row r="145" spans="9:34" x14ac:dyDescent="0.2">
      <c r="I145" s="246">
        <v>141</v>
      </c>
      <c r="J145" s="246">
        <f t="shared" si="49"/>
        <v>2.3747672762764593</v>
      </c>
      <c r="K145" s="246">
        <f t="shared" si="72"/>
        <v>237.01033071128947</v>
      </c>
      <c r="L145" s="246">
        <f t="shared" si="62"/>
        <v>1489.1798275749486</v>
      </c>
      <c r="M145" s="246">
        <f t="shared" si="50"/>
        <v>8576.0339745947749</v>
      </c>
      <c r="N145" s="246">
        <f>SQRT((ABS(AC145)-171.5+'Small Signal'!C$59)^2)</f>
        <v>91.766597893757449</v>
      </c>
      <c r="O145" s="246">
        <f t="shared" si="63"/>
        <v>96.386225958270444</v>
      </c>
      <c r="P145" s="246">
        <f t="shared" si="64"/>
        <v>25.032049173709815</v>
      </c>
      <c r="Q145" s="246">
        <f t="shared" si="65"/>
        <v>237.01033071128947</v>
      </c>
      <c r="R145" s="246" t="str">
        <f t="shared" si="51"/>
        <v>0.161233333333333+0.00699914518960226i</v>
      </c>
      <c r="S145" s="246" t="str">
        <f t="shared" si="52"/>
        <v>0.025-71.4372950489421i</v>
      </c>
      <c r="T145" s="246" t="str">
        <f t="shared" si="53"/>
        <v>21.5638711653491-7.24372338556476i</v>
      </c>
      <c r="U145" s="246" t="str">
        <f t="shared" si="54"/>
        <v>84.2287862976621-4.96297490120799i</v>
      </c>
      <c r="V145" s="246">
        <f t="shared" si="66"/>
        <v>38.524262866955418</v>
      </c>
      <c r="W145" s="246">
        <f t="shared" si="67"/>
        <v>-3.3721145484789292</v>
      </c>
      <c r="X145" s="246" t="str">
        <f t="shared" si="55"/>
        <v>0.999999600541178-0.0001117975094621i</v>
      </c>
      <c r="Y145" s="246" t="str">
        <f t="shared" si="56"/>
        <v>40.2212089819918+4.66677086862957i</v>
      </c>
      <c r="Z145" s="246" t="str">
        <f t="shared" si="57"/>
        <v>25.1631101493371+2.91676459604739i</v>
      </c>
      <c r="AA145" s="246" t="str">
        <f t="shared" si="58"/>
        <v>14.822091611071-2.54248081119701i</v>
      </c>
      <c r="AB145" s="246">
        <f t="shared" si="68"/>
        <v>23.544131231916353</v>
      </c>
      <c r="AC145" s="246">
        <f t="shared" si="69"/>
        <v>-9.7334021062425613</v>
      </c>
      <c r="AD145" s="248">
        <f t="shared" si="70"/>
        <v>1.4879179417934607</v>
      </c>
      <c r="AE145" s="248">
        <f t="shared" si="71"/>
        <v>106.11962806451301</v>
      </c>
      <c r="AF145" s="246">
        <f t="shared" si="59"/>
        <v>25.032049173709815</v>
      </c>
      <c r="AG145" s="246">
        <f t="shared" si="60"/>
        <v>96.386225958270444</v>
      </c>
      <c r="AH145" s="249" t="str">
        <f t="shared" si="61"/>
        <v>0.329521562509599-1.1401880856969i</v>
      </c>
    </row>
    <row r="146" spans="9:34" x14ac:dyDescent="0.2">
      <c r="I146" s="246">
        <v>142</v>
      </c>
      <c r="J146" s="246">
        <f t="shared" si="49"/>
        <v>2.3845173988032426</v>
      </c>
      <c r="K146" s="246">
        <f t="shared" si="72"/>
        <v>242.39150700403647</v>
      </c>
      <c r="L146" s="246">
        <f t="shared" si="62"/>
        <v>1522.9907553928797</v>
      </c>
      <c r="M146" s="246">
        <f t="shared" si="50"/>
        <v>8570.5306219470694</v>
      </c>
      <c r="N146" s="246">
        <f>SQRT((ABS(AC146)-171.5+'Small Signal'!C$59)^2)</f>
        <v>91.549393375060987</v>
      </c>
      <c r="O146" s="246">
        <f t="shared" si="63"/>
        <v>96.509973695719822</v>
      </c>
      <c r="P146" s="246">
        <f t="shared" si="64"/>
        <v>24.847316684295535</v>
      </c>
      <c r="Q146" s="246">
        <f t="shared" si="65"/>
        <v>242.39150700403647</v>
      </c>
      <c r="R146" s="246" t="str">
        <f t="shared" si="51"/>
        <v>0.161233333333333+0.00715805655034653i</v>
      </c>
      <c r="S146" s="246" t="str">
        <f t="shared" si="52"/>
        <v>0.025-69.8513620957344i</v>
      </c>
      <c r="T146" s="246" t="str">
        <f t="shared" si="53"/>
        <v>21.4638285342336-7.37377862194065i</v>
      </c>
      <c r="U146" s="246" t="str">
        <f t="shared" si="54"/>
        <v>84.2246758894685-5.07589764115825i</v>
      </c>
      <c r="V146" s="246">
        <f t="shared" si="66"/>
        <v>38.52453201083167</v>
      </c>
      <c r="W146" s="246">
        <f t="shared" si="67"/>
        <v>-3.4488251594818959</v>
      </c>
      <c r="X146" s="246" t="str">
        <f t="shared" si="55"/>
        <v>0.999999582196319-0.000114335804335999i</v>
      </c>
      <c r="Y146" s="246" t="str">
        <f t="shared" si="56"/>
        <v>40.2358087643361+4.77239082545332i</v>
      </c>
      <c r="Z146" s="246" t="str">
        <f t="shared" si="57"/>
        <v>25.1722584206332+2.98277650969096i</v>
      </c>
      <c r="AA146" s="246" t="str">
        <f t="shared" si="58"/>
        <v>14.8035356227849-2.59710616953304i</v>
      </c>
      <c r="AB146" s="246">
        <f t="shared" si="68"/>
        <v>23.538962890419842</v>
      </c>
      <c r="AC146" s="246">
        <f t="shared" si="69"/>
        <v>-9.9506066249390042</v>
      </c>
      <c r="AD146" s="248">
        <f t="shared" si="70"/>
        <v>1.3083537938756928</v>
      </c>
      <c r="AE146" s="248">
        <f t="shared" si="71"/>
        <v>106.46058032065882</v>
      </c>
      <c r="AF146" s="246">
        <f t="shared" si="59"/>
        <v>24.847316684295535</v>
      </c>
      <c r="AG146" s="246">
        <f t="shared" si="60"/>
        <v>96.509973695719822</v>
      </c>
      <c r="AH146" s="249" t="str">
        <f t="shared" si="61"/>
        <v>0.329419648720621-1.11491831460165i</v>
      </c>
    </row>
    <row r="147" spans="9:34" x14ac:dyDescent="0.2">
      <c r="I147" s="246">
        <v>143</v>
      </c>
      <c r="J147" s="246">
        <f t="shared" si="49"/>
        <v>2.3942675213300264</v>
      </c>
      <c r="K147" s="246">
        <f t="shared" si="72"/>
        <v>247.8948596517416</v>
      </c>
      <c r="L147" s="246">
        <f t="shared" si="62"/>
        <v>1557.5693398891685</v>
      </c>
      <c r="M147" s="246">
        <f t="shared" si="50"/>
        <v>8564.9023190041207</v>
      </c>
      <c r="N147" s="246">
        <f>SQRT((ABS(AC147)-171.5+'Small Signal'!C$59)^2)</f>
        <v>91.327515237010516</v>
      </c>
      <c r="O147" s="246">
        <f t="shared" si="63"/>
        <v>96.635618246140211</v>
      </c>
      <c r="P147" s="246">
        <f t="shared" si="64"/>
        <v>24.6630038588026</v>
      </c>
      <c r="Q147" s="246">
        <f t="shared" si="65"/>
        <v>247.8948596517416</v>
      </c>
      <c r="R147" s="246" t="str">
        <f t="shared" si="51"/>
        <v>0.161233333333333+0.00732057589747909i</v>
      </c>
      <c r="S147" s="246" t="str">
        <f t="shared" si="52"/>
        <v>0.025-68.300637409166i</v>
      </c>
      <c r="T147" s="246" t="str">
        <f t="shared" si="53"/>
        <v>21.3601810537854-7.50473742648272i</v>
      </c>
      <c r="U147" s="246" t="str">
        <f t="shared" si="54"/>
        <v>84.2203747345791-5.19140098332798i</v>
      </c>
      <c r="V147" s="246">
        <f t="shared" si="66"/>
        <v>38.524813455960746</v>
      </c>
      <c r="W147" s="246">
        <f t="shared" si="67"/>
        <v>-3.5272878057879375</v>
      </c>
      <c r="X147" s="246" t="str">
        <f t="shared" si="55"/>
        <v>0.999999563008985-0.000116931729660683i</v>
      </c>
      <c r="Y147" s="246" t="str">
        <f t="shared" si="56"/>
        <v>40.2510801800638+4.88038526429396i</v>
      </c>
      <c r="Z147" s="246" t="str">
        <f t="shared" si="57"/>
        <v>25.1818275358316+3.0502723708796i</v>
      </c>
      <c r="AA147" s="246" t="str">
        <f t="shared" si="58"/>
        <v>14.7841747477573-2.65276385222825i</v>
      </c>
      <c r="AB147" s="246">
        <f t="shared" si="68"/>
        <v>23.533563801724554</v>
      </c>
      <c r="AC147" s="246">
        <f t="shared" si="69"/>
        <v>-10.172484762989471</v>
      </c>
      <c r="AD147" s="248">
        <f t="shared" si="70"/>
        <v>1.1294400570780472</v>
      </c>
      <c r="AE147" s="248">
        <f t="shared" si="71"/>
        <v>106.80810300912968</v>
      </c>
      <c r="AF147" s="246">
        <f t="shared" si="59"/>
        <v>24.6630038588026</v>
      </c>
      <c r="AG147" s="246">
        <f t="shared" si="60"/>
        <v>96.635618246140211</v>
      </c>
      <c r="AH147" s="249" t="str">
        <f t="shared" si="61"/>
        <v>0.329322198364067-1.09021049527227i</v>
      </c>
    </row>
    <row r="148" spans="9:34" x14ac:dyDescent="0.2">
      <c r="I148" s="246">
        <v>144</v>
      </c>
      <c r="J148" s="246">
        <f t="shared" si="49"/>
        <v>2.4040176438568097</v>
      </c>
      <c r="K148" s="246">
        <f t="shared" si="72"/>
        <v>253.52316259469112</v>
      </c>
      <c r="L148" s="246">
        <f t="shared" si="62"/>
        <v>1592.9330102446645</v>
      </c>
      <c r="M148" s="246">
        <f t="shared" si="50"/>
        <v>8559.146228845002</v>
      </c>
      <c r="N148" s="246">
        <f>SQRT((ABS(AC148)-171.5+'Small Signal'!C$59)^2)</f>
        <v>91.100874647629212</v>
      </c>
      <c r="O148" s="246">
        <f t="shared" si="63"/>
        <v>96.763137881022985</v>
      </c>
      <c r="P148" s="246">
        <f t="shared" si="64"/>
        <v>24.479125550950265</v>
      </c>
      <c r="Q148" s="246">
        <f t="shared" si="65"/>
        <v>253.52316259469112</v>
      </c>
      <c r="R148" s="246" t="str">
        <f t="shared" si="51"/>
        <v>0.161233333333333+0.00748678514814992i</v>
      </c>
      <c r="S148" s="246" t="str">
        <f t="shared" si="52"/>
        <v>0.025-66.7843393533949i</v>
      </c>
      <c r="T148" s="246" t="str">
        <f t="shared" si="53"/>
        <v>21.2528405164611-7.63651326562165i</v>
      </c>
      <c r="U148" s="246" t="str">
        <f t="shared" si="54"/>
        <v>84.2158738869759-5.30954467940663i</v>
      </c>
      <c r="V148" s="246">
        <f t="shared" si="66"/>
        <v>38.525107761713635</v>
      </c>
      <c r="W148" s="246">
        <f t="shared" si="67"/>
        <v>-3.6075429887090058</v>
      </c>
      <c r="X148" s="246" t="str">
        <f t="shared" si="55"/>
        <v>0.999999542940487-0.0001195865939007i</v>
      </c>
      <c r="Y148" s="246" t="str">
        <f t="shared" si="56"/>
        <v>40.2670541807668+4.99080644000046i</v>
      </c>
      <c r="Z148" s="246" t="str">
        <f t="shared" si="57"/>
        <v>25.1918368887728+3.11928483017974i</v>
      </c>
      <c r="AA148" s="246" t="str">
        <f t="shared" si="58"/>
        <v>14.7639762716529-2.70946373810995i</v>
      </c>
      <c r="AB148" s="246">
        <f t="shared" si="68"/>
        <v>23.527923971537675</v>
      </c>
      <c r="AC148" s="246">
        <f t="shared" si="69"/>
        <v>-10.399125352370797</v>
      </c>
      <c r="AD148" s="248">
        <f t="shared" si="70"/>
        <v>0.95120157941259154</v>
      </c>
      <c r="AE148" s="248">
        <f t="shared" si="71"/>
        <v>107.16226323339379</v>
      </c>
      <c r="AF148" s="246">
        <f t="shared" si="59"/>
        <v>24.479125550950265</v>
      </c>
      <c r="AG148" s="246">
        <f t="shared" si="60"/>
        <v>96.763137881022985</v>
      </c>
      <c r="AH148" s="249" t="str">
        <f t="shared" si="61"/>
        <v>0.32922901494209-1.06605217499925i</v>
      </c>
    </row>
    <row r="149" spans="9:34" x14ac:dyDescent="0.2">
      <c r="I149" s="246">
        <v>145</v>
      </c>
      <c r="J149" s="246">
        <f t="shared" si="49"/>
        <v>2.413767766383593</v>
      </c>
      <c r="K149" s="246">
        <f t="shared" si="72"/>
        <v>259.27925275381034</v>
      </c>
      <c r="L149" s="246">
        <f t="shared" si="62"/>
        <v>1629.0995913592435</v>
      </c>
      <c r="M149" s="246">
        <f t="shared" si="50"/>
        <v>8553.2594501382137</v>
      </c>
      <c r="N149" s="246">
        <f>SQRT((ABS(AC149)-171.5+'Small Signal'!C$59)^2)</f>
        <v>90.869381883289662</v>
      </c>
      <c r="O149" s="246">
        <f t="shared" si="63"/>
        <v>96.89250710191358</v>
      </c>
      <c r="P149" s="246">
        <f t="shared" si="64"/>
        <v>24.295696940519132</v>
      </c>
      <c r="Q149" s="246">
        <f t="shared" si="65"/>
        <v>259.27925275381034</v>
      </c>
      <c r="R149" s="246" t="str">
        <f t="shared" si="51"/>
        <v>0.161233333333333+0.00765676807938844i</v>
      </c>
      <c r="S149" s="246" t="str">
        <f t="shared" si="52"/>
        <v>0.025-65.3017036451671i</v>
      </c>
      <c r="T149" s="246" t="str">
        <f t="shared" si="53"/>
        <v>21.1417200272551-7.76901359896375i</v>
      </c>
      <c r="U149" s="246" t="str">
        <f t="shared" si="54"/>
        <v>84.211163972292-5.43038991774031i</v>
      </c>
      <c r="V149" s="246">
        <f t="shared" si="66"/>
        <v>38.525415512626196</v>
      </c>
      <c r="W149" s="246">
        <f t="shared" si="67"/>
        <v>-3.6896321794585165</v>
      </c>
      <c r="X149" s="246" t="str">
        <f t="shared" si="55"/>
        <v>0.999999521950358-0.000122301735228496i</v>
      </c>
      <c r="Y149" s="246" t="str">
        <f t="shared" si="56"/>
        <v>40.2837631494568+5.10370767663114i</v>
      </c>
      <c r="Z149" s="246" t="str">
        <f t="shared" si="57"/>
        <v>25.202306770172+3.18984720577062i</v>
      </c>
      <c r="AA149" s="246" t="str">
        <f t="shared" si="58"/>
        <v>14.7429063503005-2.7672150900526i</v>
      </c>
      <c r="AB149" s="246">
        <f t="shared" si="68"/>
        <v>23.522033000688388</v>
      </c>
      <c r="AC149" s="246">
        <f t="shared" si="69"/>
        <v>-10.63061811671035</v>
      </c>
      <c r="AD149" s="248">
        <f t="shared" si="70"/>
        <v>0.77366393983074311</v>
      </c>
      <c r="AE149" s="248">
        <f t="shared" si="71"/>
        <v>107.52312521862393</v>
      </c>
      <c r="AF149" s="246">
        <f t="shared" si="59"/>
        <v>24.295696940519132</v>
      </c>
      <c r="AG149" s="246">
        <f t="shared" si="60"/>
        <v>96.89250710191358</v>
      </c>
      <c r="AH149" s="249" t="str">
        <f t="shared" si="61"/>
        <v>0.329139910560456-1.04243117796993i</v>
      </c>
    </row>
    <row r="150" spans="9:34" x14ac:dyDescent="0.2">
      <c r="I150" s="246">
        <v>146</v>
      </c>
      <c r="J150" s="246">
        <f t="shared" si="49"/>
        <v>2.4235178889103763</v>
      </c>
      <c r="K150" s="246">
        <f t="shared" si="72"/>
        <v>265.16603146059816</v>
      </c>
      <c r="L150" s="246">
        <f t="shared" si="62"/>
        <v>1666.0873128363503</v>
      </c>
      <c r="M150" s="246">
        <f t="shared" si="50"/>
        <v>8547.239015679279</v>
      </c>
      <c r="N150" s="246">
        <f>SQRT((ABS(AC150)-171.5+'Small Signal'!C$59)^2)</f>
        <v>90.632946378001776</v>
      </c>
      <c r="O150" s="246">
        <f t="shared" si="63"/>
        <v>97.023696421071847</v>
      </c>
      <c r="P150" s="246">
        <f t="shared" si="64"/>
        <v>24.112733522399495</v>
      </c>
      <c r="Q150" s="246">
        <f t="shared" si="65"/>
        <v>265.16603146059816</v>
      </c>
      <c r="R150" s="246" t="str">
        <f t="shared" si="51"/>
        <v>0.161233333333333+0.00783061037033085i</v>
      </c>
      <c r="S150" s="246" t="str">
        <f t="shared" si="52"/>
        <v>0.025-63.8519829685862i</v>
      </c>
      <c r="T150" s="246" t="str">
        <f t="shared" si="53"/>
        <v>21.0267343519373-7.9021397511418i</v>
      </c>
      <c r="U150" s="246" t="str">
        <f t="shared" si="54"/>
        <v>84.2062351664913-5.55399936142562i</v>
      </c>
      <c r="V150" s="246">
        <f t="shared" si="66"/>
        <v>38.525737319505275</v>
      </c>
      <c r="W150" s="246">
        <f t="shared" si="67"/>
        <v>-3.7735978446809733</v>
      </c>
      <c r="X150" s="246" t="str">
        <f t="shared" si="55"/>
        <v>0.999999499996272-0.000125078522198913i</v>
      </c>
      <c r="Y150" s="246" t="str">
        <f t="shared" si="56"/>
        <v>40.3012409672288+5.21914338334813i</v>
      </c>
      <c r="Z150" s="246" t="str">
        <f t="shared" si="57"/>
        <v>25.2132584093848+3.2619934933324i</v>
      </c>
      <c r="AA150" s="246" t="str">
        <f t="shared" si="58"/>
        <v>14.7209299891676-2.82602649396121i</v>
      </c>
      <c r="AB150" s="246">
        <f t="shared" si="68"/>
        <v>23.515880071269205</v>
      </c>
      <c r="AC150" s="246">
        <f t="shared" si="69"/>
        <v>-10.867053621998236</v>
      </c>
      <c r="AD150" s="248">
        <f t="shared" si="70"/>
        <v>0.59685345113028943</v>
      </c>
      <c r="AE150" s="248">
        <f t="shared" si="71"/>
        <v>107.89075004307008</v>
      </c>
      <c r="AF150" s="246">
        <f t="shared" si="59"/>
        <v>24.112733522399495</v>
      </c>
      <c r="AG150" s="246">
        <f t="shared" si="60"/>
        <v>97.023696421071847</v>
      </c>
      <c r="AH150" s="249" t="str">
        <f t="shared" si="61"/>
        <v>0.32905470554969-1.01933559913634i</v>
      </c>
    </row>
    <row r="151" spans="9:34" x14ac:dyDescent="0.2">
      <c r="I151" s="246">
        <v>147</v>
      </c>
      <c r="J151" s="246">
        <f t="shared" si="49"/>
        <v>2.4332680114371597</v>
      </c>
      <c r="K151" s="246">
        <f t="shared" si="72"/>
        <v>271.18646591953211</v>
      </c>
      <c r="L151" s="246">
        <f t="shared" si="62"/>
        <v>1703.9148181715618</v>
      </c>
      <c r="M151" s="246">
        <f t="shared" si="50"/>
        <v>8541.0818908951369</v>
      </c>
      <c r="N151" s="246">
        <f>SQRT((ABS(AC151)-171.5+'Small Signal'!C$59)^2)</f>
        <v>90.391476777687217</v>
      </c>
      <c r="O151" s="246">
        <f t="shared" si="63"/>
        <v>97.156672137021999</v>
      </c>
      <c r="P151" s="246">
        <f t="shared" si="64"/>
        <v>23.930251093597068</v>
      </c>
      <c r="Q151" s="246">
        <f t="shared" si="65"/>
        <v>271.18646591953211</v>
      </c>
      <c r="R151" s="246" t="str">
        <f t="shared" si="51"/>
        <v>0.161233333333333+0.00800839964540634i</v>
      </c>
      <c r="S151" s="246" t="str">
        <f t="shared" si="52"/>
        <v>0.025-62.4344465984289i</v>
      </c>
      <c r="T151" s="246" t="str">
        <f t="shared" si="53"/>
        <v>20.9078002864714-8.03578680066494i</v>
      </c>
      <c r="U151" s="246" t="str">
        <f t="shared" si="54"/>
        <v>84.2010771734153-5.68043718763877i</v>
      </c>
      <c r="V151" s="246">
        <f t="shared" si="66"/>
        <v>38.526073820581132</v>
      </c>
      <c r="W151" s="246">
        <f t="shared" si="67"/>
        <v>-3.8594834728063812</v>
      </c>
      <c r="X151" s="246" t="str">
        <f t="shared" si="55"/>
        <v>0.999999477033961-0.000127918354439004i</v>
      </c>
      <c r="Y151" s="246" t="str">
        <f t="shared" si="56"/>
        <v>40.3195230830678+5.33716907006421i</v>
      </c>
      <c r="Z151" s="246" t="str">
        <f t="shared" si="57"/>
        <v>25.2247140181418+3.33575837577633i</v>
      </c>
      <c r="AA151" s="246" t="str">
        <f t="shared" si="58"/>
        <v>14.6980110243555-2.88590579431688i</v>
      </c>
      <c r="AB151" s="246">
        <f t="shared" si="68"/>
        <v>23.509453932539543</v>
      </c>
      <c r="AC151" s="246">
        <f t="shared" si="69"/>
        <v>-11.108523222312778</v>
      </c>
      <c r="AD151" s="248">
        <f t="shared" si="70"/>
        <v>0.4207971610575259</v>
      </c>
      <c r="AE151" s="248">
        <f t="shared" si="71"/>
        <v>108.26519535933478</v>
      </c>
      <c r="AF151" s="246">
        <f t="shared" si="59"/>
        <v>23.930251093597068</v>
      </c>
      <c r="AG151" s="246">
        <f t="shared" si="60"/>
        <v>97.156672137021999</v>
      </c>
      <c r="AH151" s="249" t="str">
        <f t="shared" si="61"/>
        <v>0.328973228102836-0.996753798219029i</v>
      </c>
    </row>
    <row r="152" spans="9:34" x14ac:dyDescent="0.2">
      <c r="I152" s="246">
        <v>148</v>
      </c>
      <c r="J152" s="246">
        <f t="shared" si="49"/>
        <v>2.4430181339639434</v>
      </c>
      <c r="K152" s="246">
        <f t="shared" si="72"/>
        <v>277.34359070367395</v>
      </c>
      <c r="L152" s="246">
        <f t="shared" si="62"/>
        <v>1742.601174149753</v>
      </c>
      <c r="M152" s="246">
        <f t="shared" si="50"/>
        <v>8534.784972314581</v>
      </c>
      <c r="N152" s="246">
        <f>SQRT((ABS(AC152)-171.5+'Small Signal'!C$59)^2)</f>
        <v>90.144880999723</v>
      </c>
      <c r="O152" s="246">
        <f t="shared" si="63"/>
        <v>97.291396105550959</v>
      </c>
      <c r="P152" s="246">
        <f t="shared" si="64"/>
        <v>23.748265738055245</v>
      </c>
      <c r="Q152" s="246">
        <f t="shared" si="65"/>
        <v>277.34359070367395</v>
      </c>
      <c r="R152" s="246" t="str">
        <f t="shared" si="51"/>
        <v>0.161233333333333+0.00819022551850384i</v>
      </c>
      <c r="S152" s="246" t="str">
        <f t="shared" si="52"/>
        <v>0.025-61.0483800318282i</v>
      </c>
      <c r="T152" s="246" t="str">
        <f t="shared" si="53"/>
        <v>20.7848370472909-8.16984348808492i</v>
      </c>
      <c r="U152" s="246" t="str">
        <f t="shared" si="54"/>
        <v>84.1956792011269-5.8097691282506i</v>
      </c>
      <c r="V152" s="246">
        <f t="shared" si="66"/>
        <v>38.526425682707476</v>
      </c>
      <c r="W152" s="246">
        <f t="shared" si="67"/>
        <v>-3.9473336012641944</v>
      </c>
      <c r="X152" s="246" t="str">
        <f t="shared" si="55"/>
        <v>0.999999453017121-0.000130822663353509i</v>
      </c>
      <c r="Y152" s="246" t="str">
        <f t="shared" si="56"/>
        <v>40.338646586959+5.45784136278972i</v>
      </c>
      <c r="Z152" s="246" t="str">
        <f t="shared" si="57"/>
        <v>25.2366968363528+3.41117723278397i</v>
      </c>
      <c r="AA152" s="246" t="str">
        <f t="shared" si="58"/>
        <v>14.674112105349-2.94686002618465i</v>
      </c>
      <c r="AB152" s="246">
        <f t="shared" si="68"/>
        <v>23.502742886609127</v>
      </c>
      <c r="AC152" s="246">
        <f t="shared" si="69"/>
        <v>-11.355119000277012</v>
      </c>
      <c r="AD152" s="248">
        <f t="shared" si="70"/>
        <v>0.24552285144611896</v>
      </c>
      <c r="AE152" s="248">
        <f t="shared" si="71"/>
        <v>108.64651510582797</v>
      </c>
      <c r="AF152" s="246">
        <f t="shared" si="59"/>
        <v>23.748265738055245</v>
      </c>
      <c r="AG152" s="246">
        <f t="shared" si="60"/>
        <v>97.291396105550959</v>
      </c>
      <c r="AH152" s="249" t="str">
        <f t="shared" si="61"/>
        <v>0.328895313929026-0.974674393844152i</v>
      </c>
    </row>
    <row r="153" spans="9:34" x14ac:dyDescent="0.2">
      <c r="I153" s="246">
        <v>149</v>
      </c>
      <c r="J153" s="246">
        <f t="shared" si="49"/>
        <v>2.4527682564907263</v>
      </c>
      <c r="K153" s="246">
        <f t="shared" si="72"/>
        <v>283.64050928423097</v>
      </c>
      <c r="L153" s="246">
        <f t="shared" si="62"/>
        <v>1782.165880455615</v>
      </c>
      <c r="M153" s="246">
        <f t="shared" si="50"/>
        <v>8528.3450860039611</v>
      </c>
      <c r="N153" s="246">
        <f>SQRT((ABS(AC153)-171.5+'Small Signal'!C$59)^2)</f>
        <v>89.89306629803977</v>
      </c>
      <c r="O153" s="246">
        <f t="shared" si="63"/>
        <v>97.427825506816944</v>
      </c>
      <c r="P153" s="246">
        <f t="shared" si="64"/>
        <v>23.566793809153538</v>
      </c>
      <c r="Q153" s="246">
        <f t="shared" si="65"/>
        <v>283.64050928423097</v>
      </c>
      <c r="R153" s="246" t="str">
        <f t="shared" si="51"/>
        <v>0.161233333333333+0.00837617963814139i</v>
      </c>
      <c r="S153" s="246" t="str">
        <f t="shared" si="52"/>
        <v>0.025-59.6930846281307i</v>
      </c>
      <c r="T153" s="246" t="str">
        <f t="shared" si="53"/>
        <v>20.6577666818912-8.30419214588271i</v>
      </c>
      <c r="U153" s="246" t="str">
        <f t="shared" si="54"/>
        <v>84.1900299369821-5.94206251178371i</v>
      </c>
      <c r="V153" s="246">
        <f t="shared" si="66"/>
        <v>38.526793602610958</v>
      </c>
      <c r="W153" s="246">
        <f t="shared" si="67"/>
        <v>-4.0371938445953024</v>
      </c>
      <c r="X153" s="246" t="str">
        <f t="shared" si="55"/>
        <v>0.999999427897326-0.000133792912846344i</v>
      </c>
      <c r="Y153" s="246" t="str">
        <f t="shared" si="56"/>
        <v>40.3586502864527+5.58121801862334i</v>
      </c>
      <c r="Z153" s="246" t="str">
        <f t="shared" si="57"/>
        <v>25.2492311800752+3.48828615012008i</v>
      </c>
      <c r="AA153" s="246" t="str">
        <f t="shared" si="58"/>
        <v>14.6491946797816-3.00889534359382i</v>
      </c>
      <c r="AB153" s="246">
        <f t="shared" si="68"/>
        <v>23.49573477392639</v>
      </c>
      <c r="AC153" s="246">
        <f t="shared" si="69"/>
        <v>-11.60693370196023</v>
      </c>
      <c r="AD153" s="248">
        <f t="shared" si="70"/>
        <v>7.1059035227146891E-2</v>
      </c>
      <c r="AE153" s="248">
        <f t="shared" si="71"/>
        <v>109.03475920877717</v>
      </c>
      <c r="AF153" s="246">
        <f t="shared" si="59"/>
        <v>23.566793809153538</v>
      </c>
      <c r="AG153" s="246">
        <f t="shared" si="60"/>
        <v>97.427825506816944</v>
      </c>
      <c r="AH153" s="249" t="str">
        <f t="shared" si="61"/>
        <v>0.328820805922235-0.953086257810729i</v>
      </c>
    </row>
    <row r="154" spans="9:34" x14ac:dyDescent="0.2">
      <c r="I154" s="246">
        <v>150</v>
      </c>
      <c r="J154" s="246">
        <f t="shared" si="49"/>
        <v>2.46251837901751</v>
      </c>
      <c r="K154" s="246">
        <f t="shared" si="72"/>
        <v>290.08039559485076</v>
      </c>
      <c r="L154" s="246">
        <f t="shared" si="62"/>
        <v>1822.6288795024082</v>
      </c>
      <c r="M154" s="246">
        <f t="shared" si="50"/>
        <v>8521.7589859673881</v>
      </c>
      <c r="N154" s="246">
        <f>SQRT((ABS(AC154)-171.5+'Small Signal'!C$59)^2)</f>
        <v>89.635939334067984</v>
      </c>
      <c r="O154" s="246">
        <f t="shared" si="63"/>
        <v>97.565912609320307</v>
      </c>
      <c r="P154" s="246">
        <f t="shared" si="64"/>
        <v>23.385851909740882</v>
      </c>
      <c r="Q154" s="246">
        <f t="shared" si="65"/>
        <v>290.08039559485076</v>
      </c>
      <c r="R154" s="246" t="str">
        <f t="shared" si="51"/>
        <v>0.161233333333333+0.00856635573366132i</v>
      </c>
      <c r="S154" s="246" t="str">
        <f t="shared" si="52"/>
        <v>0.025-58.3678772567501i</v>
      </c>
      <c r="T154" s="246" t="str">
        <f t="shared" si="53"/>
        <v>20.5265144989642-8.43870865255174i</v>
      </c>
      <c r="U154" s="246" t="str">
        <f t="shared" si="54"/>
        <v>84.1841175213549-6.07738630676941i</v>
      </c>
      <c r="V154" s="246">
        <f t="shared" si="66"/>
        <v>38.52717830819212</v>
      </c>
      <c r="W154" s="246">
        <f t="shared" si="67"/>
        <v>-4.1291109235017682</v>
      </c>
      <c r="X154" s="246" t="str">
        <f t="shared" si="55"/>
        <v>0.999999401623922-0.000136830600058482i</v>
      </c>
      <c r="Y154" s="246" t="str">
        <f t="shared" si="56"/>
        <v>40.3795747868549+5.70735794032736i</v>
      </c>
      <c r="Z154" s="246" t="str">
        <f t="shared" si="57"/>
        <v>25.2623424917526+3.56712192868183i</v>
      </c>
      <c r="AA154" s="246" t="str">
        <f t="shared" si="58"/>
        <v>14.6232189804939-3.0720169442097i</v>
      </c>
      <c r="AB154" s="246">
        <f t="shared" si="68"/>
        <v>23.488416958598602</v>
      </c>
      <c r="AC154" s="246">
        <f t="shared" si="69"/>
        <v>-11.864060665932012</v>
      </c>
      <c r="AD154" s="248">
        <f t="shared" si="70"/>
        <v>-0.10256504885771968</v>
      </c>
      <c r="AE154" s="248">
        <f t="shared" si="71"/>
        <v>109.42997327525232</v>
      </c>
      <c r="AF154" s="246">
        <f t="shared" si="59"/>
        <v>23.385851909740882</v>
      </c>
      <c r="AG154" s="246">
        <f t="shared" si="60"/>
        <v>97.565912609320307</v>
      </c>
      <c r="AH154" s="249" t="str">
        <f t="shared" si="61"/>
        <v>0.328749553844513-0.93197850948526i</v>
      </c>
    </row>
    <row r="155" spans="9:34" x14ac:dyDescent="0.2">
      <c r="I155" s="246">
        <v>151</v>
      </c>
      <c r="J155" s="246">
        <f t="shared" si="49"/>
        <v>2.4722685015442938</v>
      </c>
      <c r="K155" s="246">
        <f t="shared" si="72"/>
        <v>296.66649563142352</v>
      </c>
      <c r="L155" s="246">
        <f t="shared" si="62"/>
        <v>1864.0105664838172</v>
      </c>
      <c r="M155" s="246">
        <f t="shared" si="50"/>
        <v>8515.0233525105978</v>
      </c>
      <c r="N155" s="246">
        <f>SQRT((ABS(AC155)-171.5+'Small Signal'!C$59)^2)</f>
        <v>89.373406253834133</v>
      </c>
      <c r="O155" s="246">
        <f t="shared" si="63"/>
        <v>97.705604531600557</v>
      </c>
      <c r="P155" s="246">
        <f t="shared" si="64"/>
        <v>23.205456869559256</v>
      </c>
      <c r="Q155" s="246">
        <f t="shared" si="65"/>
        <v>296.66649563142352</v>
      </c>
      <c r="R155" s="246" t="str">
        <f t="shared" si="51"/>
        <v>0.161233333333333+0.00876084966247394i</v>
      </c>
      <c r="S155" s="246" t="str">
        <f t="shared" si="52"/>
        <v>0.025-57.0720899528376i</v>
      </c>
      <c r="T155" s="246" t="str">
        <f t="shared" si="53"/>
        <v>20.3910095170471-8.57326241340366i</v>
      </c>
      <c r="U155" s="246" t="str">
        <f t="shared" si="54"/>
        <v>84.1779295199311-6.21581116656459i</v>
      </c>
      <c r="V155" s="246">
        <f t="shared" si="66"/>
        <v>38.527580559879141</v>
      </c>
      <c r="W155" s="246">
        <f t="shared" si="67"/>
        <v>-4.2231326948761172</v>
      </c>
      <c r="X155" s="246" t="str">
        <f t="shared" si="55"/>
        <v>0.999999374143931-0.000139937256122576i</v>
      </c>
      <c r="Y155" s="246" t="str">
        <f t="shared" si="56"/>
        <v>40.4014625752263+5.83632119041966i</v>
      </c>
      <c r="Z155" s="246" t="str">
        <f t="shared" si="57"/>
        <v>25.2760573928404+3.64772209324171i</v>
      </c>
      <c r="AA155" s="246" t="str">
        <f t="shared" si="58"/>
        <v>14.5961440151774-3.13622899022441i</v>
      </c>
      <c r="AB155" s="246">
        <f t="shared" si="68"/>
        <v>23.480776313570317</v>
      </c>
      <c r="AC155" s="246">
        <f t="shared" si="69"/>
        <v>-12.126593746165879</v>
      </c>
      <c r="AD155" s="248">
        <f t="shared" si="70"/>
        <v>-0.27531944401106001</v>
      </c>
      <c r="AE155" s="248">
        <f t="shared" si="71"/>
        <v>109.83219827776644</v>
      </c>
      <c r="AF155" s="246">
        <f t="shared" si="59"/>
        <v>23.205456869559256</v>
      </c>
      <c r="AG155" s="246">
        <f t="shared" si="60"/>
        <v>97.705604531600557</v>
      </c>
      <c r="AH155" s="249" t="str">
        <f t="shared" si="61"/>
        <v>0.328681414023048-0.911340510320896i</v>
      </c>
    </row>
    <row r="156" spans="9:34" x14ac:dyDescent="0.2">
      <c r="I156" s="246">
        <v>152</v>
      </c>
      <c r="J156" s="246">
        <f t="shared" si="49"/>
        <v>2.4820186240710767</v>
      </c>
      <c r="K156" s="246">
        <f t="shared" si="72"/>
        <v>303.40212908821462</v>
      </c>
      <c r="L156" s="246">
        <f t="shared" si="62"/>
        <v>1906.3317996540743</v>
      </c>
      <c r="M156" s="246">
        <f t="shared" si="50"/>
        <v>8508.1347905676685</v>
      </c>
      <c r="N156" s="246">
        <f>SQRT((ABS(AC156)-171.5+'Small Signal'!C$59)^2)</f>
        <v>89.105372771511441</v>
      </c>
      <c r="O156" s="246">
        <f t="shared" si="63"/>
        <v>97.846843002634557</v>
      </c>
      <c r="P156" s="246">
        <f t="shared" si="64"/>
        <v>23.025625719923237</v>
      </c>
      <c r="Q156" s="246">
        <f t="shared" si="65"/>
        <v>303.40212908821462</v>
      </c>
      <c r="R156" s="246" t="str">
        <f t="shared" si="51"/>
        <v>0.161233333333333+0.00895975945837415i</v>
      </c>
      <c r="S156" s="246" t="str">
        <f t="shared" si="52"/>
        <v>0.025-55.8050695805991i</v>
      </c>
      <c r="T156" s="246" t="str">
        <f t="shared" si="53"/>
        <v>20.2511849303803-8.70771637065254i</v>
      </c>
      <c r="U156" s="246" t="str">
        <f t="shared" si="54"/>
        <v>84.1714528944842-6.3574094756934i</v>
      </c>
      <c r="V156" s="246">
        <f t="shared" si="66"/>
        <v>38.528001152036204</v>
      </c>
      <c r="W156" s="246">
        <f t="shared" si="67"/>
        <v>-4.3193081828553339</v>
      </c>
      <c r="X156" s="246" t="str">
        <f t="shared" si="55"/>
        <v>0.999999345401942-0.000143114446934719i</v>
      </c>
      <c r="Y156" s="246" t="str">
        <f t="shared" si="56"/>
        <v>40.4243581083619+5.96816900470974i</v>
      </c>
      <c r="Z156" s="246" t="str">
        <f t="shared" si="57"/>
        <v>25.2904037389233+3.73012490083831i</v>
      </c>
      <c r="AA156" s="246" t="str">
        <f t="shared" si="58"/>
        <v>14.5679275589307-3.20153452541132i</v>
      </c>
      <c r="AB156" s="246">
        <f t="shared" si="68"/>
        <v>23.472799205698713</v>
      </c>
      <c r="AC156" s="246">
        <f t="shared" si="69"/>
        <v>-12.394627228488559</v>
      </c>
      <c r="AD156" s="248">
        <f t="shared" si="70"/>
        <v>-0.44717348577547678</v>
      </c>
      <c r="AE156" s="248">
        <f t="shared" si="71"/>
        <v>110.24147023112312</v>
      </c>
      <c r="AF156" s="246">
        <f t="shared" si="59"/>
        <v>23.025625719923237</v>
      </c>
      <c r="AG156" s="246">
        <f t="shared" si="60"/>
        <v>97.846843002634557</v>
      </c>
      <c r="AH156" s="249" t="str">
        <f t="shared" si="61"/>
        <v>0.3286162490605-0.891161858498387i</v>
      </c>
    </row>
    <row r="157" spans="9:34" x14ac:dyDescent="0.2">
      <c r="I157" s="246">
        <v>153</v>
      </c>
      <c r="J157" s="246">
        <f t="shared" si="49"/>
        <v>2.4917687465978604</v>
      </c>
      <c r="K157" s="246">
        <f t="shared" si="72"/>
        <v>310.29069103114273</v>
      </c>
      <c r="L157" s="246">
        <f t="shared" si="62"/>
        <v>1949.6139108414766</v>
      </c>
      <c r="M157" s="246">
        <f t="shared" si="50"/>
        <v>8501.0898279897683</v>
      </c>
      <c r="N157" s="246">
        <f>SQRT((ABS(AC157)-171.5+'Small Signal'!C$59)^2)</f>
        <v>88.83174425973283</v>
      </c>
      <c r="O157" s="246">
        <f t="shared" si="63"/>
        <v>97.989564122019118</v>
      </c>
      <c r="P157" s="246">
        <f t="shared" si="64"/>
        <v>22.846375665515176</v>
      </c>
      <c r="Q157" s="246">
        <f t="shared" si="65"/>
        <v>310.29069103114273</v>
      </c>
      <c r="R157" s="246" t="str">
        <f t="shared" si="51"/>
        <v>0.161233333333333+0.00916318538095494i</v>
      </c>
      <c r="S157" s="246" t="str">
        <f t="shared" si="52"/>
        <v>0.025-54.5661775040823i</v>
      </c>
      <c r="T157" s="246" t="str">
        <f t="shared" si="53"/>
        <v>20.1069785903855-8.84192704533711i</v>
      </c>
      <c r="U157" s="246" t="str">
        <f t="shared" si="54"/>
        <v>84.1646739720492-6.50225539778142i</v>
      </c>
      <c r="V157" s="246">
        <f t="shared" si="66"/>
        <v>38.528440914429112</v>
      </c>
      <c r="W157" s="246">
        <f t="shared" si="67"/>
        <v>-4.4176876109465457</v>
      </c>
      <c r="X157" s="246" t="str">
        <f t="shared" si="55"/>
        <v>0.999999315339997-0.00014636377394373i</v>
      </c>
      <c r="Y157" s="246" t="str">
        <f t="shared" si="56"/>
        <v>40.448307904962+6.10296380520174i</v>
      </c>
      <c r="Z157" s="246" t="str">
        <f t="shared" si="57"/>
        <v>25.3054106774593+3.81436934876662i</v>
      </c>
      <c r="AA157" s="246" t="str">
        <f t="shared" si="58"/>
        <v>14.538526150061-3.26793538829987i</v>
      </c>
      <c r="AB157" s="246">
        <f t="shared" si="68"/>
        <v>23.464471480759073</v>
      </c>
      <c r="AC157" s="246">
        <f t="shared" si="69"/>
        <v>-12.668255740267179</v>
      </c>
      <c r="AD157" s="248">
        <f t="shared" si="70"/>
        <v>-0.61809581524389579</v>
      </c>
      <c r="AE157" s="248">
        <f t="shared" si="71"/>
        <v>110.6578198622863</v>
      </c>
      <c r="AF157" s="246">
        <f t="shared" si="59"/>
        <v>22.846375665515176</v>
      </c>
      <c r="AG157" s="246">
        <f t="shared" si="60"/>
        <v>97.989564122019118</v>
      </c>
      <c r="AH157" s="249" t="str">
        <f t="shared" si="61"/>
        <v>0.32855392755794-0.871432383686126i</v>
      </c>
    </row>
    <row r="158" spans="9:34" x14ac:dyDescent="0.2">
      <c r="I158" s="246">
        <v>154</v>
      </c>
      <c r="J158" s="246">
        <f t="shared" si="49"/>
        <v>2.5015188691246433</v>
      </c>
      <c r="K158" s="246">
        <f t="shared" si="72"/>
        <v>317.33565360904294</v>
      </c>
      <c r="L158" s="246">
        <f t="shared" si="62"/>
        <v>1993.8787162005692</v>
      </c>
      <c r="M158" s="246">
        <f t="shared" si="50"/>
        <v>8493.8849137950165</v>
      </c>
      <c r="N158" s="246">
        <f>SQRT((ABS(AC158)-171.5+'Small Signal'!C$59)^2)</f>
        <v>88.552425846980498</v>
      </c>
      <c r="O158" s="246">
        <f t="shared" si="63"/>
        <v>98.133698121155462</v>
      </c>
      <c r="P158" s="246">
        <f t="shared" si="64"/>
        <v>22.667724053168822</v>
      </c>
      <c r="Q158" s="246">
        <f t="shared" si="65"/>
        <v>317.33565360904294</v>
      </c>
      <c r="R158" s="246" t="str">
        <f t="shared" si="51"/>
        <v>0.161233333333333+0.00937122996614267i</v>
      </c>
      <c r="S158" s="246" t="str">
        <f t="shared" si="52"/>
        <v>0.025-53.3547892652781i</v>
      </c>
      <c r="T158" s="246" t="str">
        <f t="shared" si="53"/>
        <v>19.9583335008622-8.97574461361185i</v>
      </c>
      <c r="U158" s="246" t="str">
        <f t="shared" si="54"/>
        <v>84.1575784123786-6.6504249251513i</v>
      </c>
      <c r="V158" s="246">
        <f t="shared" si="66"/>
        <v>38.528900713748378</v>
      </c>
      <c r="W158" s="246">
        <f t="shared" si="67"/>
        <v>-4.518322435273789</v>
      </c>
      <c r="X158" s="246" t="str">
        <f t="shared" si="55"/>
        <v>0.999999283897479-0.000149686874958353i</v>
      </c>
      <c r="Y158" s="246" t="str">
        <f t="shared" si="56"/>
        <v>40.4733606421851+6.24076921227603i</v>
      </c>
      <c r="Z158" s="246" t="str">
        <f t="shared" si="57"/>
        <v>25.3211087082677+3.90049518211214i</v>
      </c>
      <c r="AA158" s="246" t="str">
        <f t="shared" si="58"/>
        <v>14.5078950894977-3.33543212144653i</v>
      </c>
      <c r="AB158" s="246">
        <f t="shared" si="68"/>
        <v>23.455778448424894</v>
      </c>
      <c r="AC158" s="246">
        <f t="shared" si="69"/>
        <v>-12.947574153019504</v>
      </c>
      <c r="AD158" s="248">
        <f t="shared" si="70"/>
        <v>-0.78805439525607379</v>
      </c>
      <c r="AE158" s="248">
        <f t="shared" si="71"/>
        <v>111.08127227417496</v>
      </c>
      <c r="AF158" s="246">
        <f t="shared" si="59"/>
        <v>22.667724053168822</v>
      </c>
      <c r="AG158" s="246">
        <f t="shared" si="60"/>
        <v>98.133698121155462</v>
      </c>
      <c r="AH158" s="249" t="str">
        <f t="shared" si="61"/>
        <v>0.328494323849933-0.852142141916713i</v>
      </c>
    </row>
    <row r="159" spans="9:34" x14ac:dyDescent="0.2">
      <c r="I159" s="246">
        <v>155</v>
      </c>
      <c r="J159" s="246">
        <f t="shared" si="49"/>
        <v>2.511268991651427</v>
      </c>
      <c r="K159" s="246">
        <f t="shared" si="72"/>
        <v>324.54056780379432</v>
      </c>
      <c r="L159" s="246">
        <f t="shared" si="62"/>
        <v>2039.1485272085208</v>
      </c>
      <c r="M159" s="246">
        <f t="shared" si="50"/>
        <v>8486.5164163786412</v>
      </c>
      <c r="N159" s="246">
        <f>SQRT((ABS(AC159)-171.5+'Small Signal'!C$59)^2)</f>
        <v>88.267322522362775</v>
      </c>
      <c r="O159" s="246">
        <f t="shared" si="63"/>
        <v>98.279169126764714</v>
      </c>
      <c r="P159" s="246">
        <f t="shared" si="64"/>
        <v>22.489688337516725</v>
      </c>
      <c r="Q159" s="246">
        <f t="shared" si="65"/>
        <v>324.54056780379432</v>
      </c>
      <c r="R159" s="246" t="str">
        <f t="shared" si="51"/>
        <v>0.161233333333333+0.00958399807788005i</v>
      </c>
      <c r="S159" s="246" t="str">
        <f t="shared" si="52"/>
        <v>0.025-52.1702942693618i</v>
      </c>
      <c r="T159" s="246" t="str">
        <f t="shared" si="53"/>
        <v>19.805198324688-9.10901301988079i</v>
      </c>
      <c r="U159" s="246" t="str">
        <f t="shared" si="54"/>
        <v>84.1501511735926-6.80199593015664i</v>
      </c>
      <c r="V159" s="246">
        <f t="shared" si="66"/>
        <v>38.529381455193359</v>
      </c>
      <c r="W159" s="246">
        <f t="shared" si="67"/>
        <v>-4.6212653789993228</v>
      </c>
      <c r="X159" s="246" t="str">
        <f t="shared" si="55"/>
        <v>0.999999251010986-0.000153085424972793i</v>
      </c>
      <c r="Y159" s="246" t="str">
        <f t="shared" si="56"/>
        <v>40.4995672568069+6.38165005605804i</v>
      </c>
      <c r="Z159" s="246" t="str">
        <f t="shared" si="57"/>
        <v>25.3375297469023+3.98854290077142i</v>
      </c>
      <c r="AA159" s="246" t="str">
        <f t="shared" si="58"/>
        <v>14.4759884442022-3.40402387679858i</v>
      </c>
      <c r="AB159" s="246">
        <f t="shared" si="68"/>
        <v>23.446704867269045</v>
      </c>
      <c r="AC159" s="246">
        <f t="shared" si="69"/>
        <v>-13.232677477637232</v>
      </c>
      <c r="AD159" s="248">
        <f t="shared" si="70"/>
        <v>-0.95701652975232143</v>
      </c>
      <c r="AE159" s="248">
        <f t="shared" si="71"/>
        <v>111.51184660440195</v>
      </c>
      <c r="AF159" s="246">
        <f t="shared" si="59"/>
        <v>22.489688337516725</v>
      </c>
      <c r="AG159" s="246">
        <f t="shared" si="60"/>
        <v>98.279169126764714</v>
      </c>
      <c r="AH159" s="249" t="str">
        <f t="shared" si="61"/>
        <v>0.328437317751143-0.833281410577377i</v>
      </c>
    </row>
    <row r="160" spans="9:34" x14ac:dyDescent="0.2">
      <c r="I160" s="246">
        <v>156</v>
      </c>
      <c r="J160" s="246">
        <f t="shared" si="49"/>
        <v>2.5210191141782103</v>
      </c>
      <c r="K160" s="246">
        <f t="shared" si="72"/>
        <v>331.90906522016979</v>
      </c>
      <c r="L160" s="246">
        <f t="shared" si="62"/>
        <v>2085.4461619110821</v>
      </c>
      <c r="M160" s="246">
        <f t="shared" si="50"/>
        <v>8478.9806216824763</v>
      </c>
      <c r="N160" s="246">
        <f>SQRT((ABS(AC160)-171.5+'Small Signal'!C$59)^2)</f>
        <v>87.976339248093154</v>
      </c>
      <c r="O160" s="246">
        <f t="shared" si="63"/>
        <v>98.425894928201643</v>
      </c>
      <c r="P160" s="246">
        <f t="shared" si="64"/>
        <v>22.312286043386852</v>
      </c>
      <c r="Q160" s="246">
        <f t="shared" si="65"/>
        <v>331.90906522016979</v>
      </c>
      <c r="R160" s="246" t="str">
        <f t="shared" si="51"/>
        <v>0.161233333333333+0.00980159696098208i</v>
      </c>
      <c r="S160" s="246" t="str">
        <f t="shared" si="52"/>
        <v>0.025-51.0120954769294i</v>
      </c>
      <c r="T160" s="246" t="str">
        <f t="shared" si="53"/>
        <v>19.6475278994726-9.24157012914787i</v>
      </c>
      <c r="U160" s="246" t="str">
        <f t="shared" si="54"/>
        <v>84.1423764758979-6.95704821833134i</v>
      </c>
      <c r="V160" s="246">
        <f t="shared" si="66"/>
        <v>38.529884084118102</v>
      </c>
      <c r="W160" s="246">
        <f t="shared" si="67"/>
        <v>-4.726570467975165</v>
      </c>
      <c r="X160" s="246" t="str">
        <f t="shared" si="55"/>
        <v>0.999999216614204-0.000156561137010984i</v>
      </c>
      <c r="Y160" s="246" t="str">
        <f t="shared" si="56"/>
        <v>40.5269810512104+6.5256723868702i</v>
      </c>
      <c r="Z160" s="246" t="str">
        <f t="shared" si="57"/>
        <v>25.3547071910503+4.07855376589342i</v>
      </c>
      <c r="AA160" s="246" t="str">
        <f t="shared" si="58"/>
        <v>14.4427590549787-3.47370831716861i</v>
      </c>
      <c r="AB160" s="246">
        <f t="shared" si="68"/>
        <v>23.437234929835974</v>
      </c>
      <c r="AC160" s="246">
        <f t="shared" si="69"/>
        <v>-13.52366075190686</v>
      </c>
      <c r="AD160" s="248">
        <f t="shared" si="70"/>
        <v>-1.1249488864491233</v>
      </c>
      <c r="AE160" s="248">
        <f t="shared" si="71"/>
        <v>111.9495556801085</v>
      </c>
      <c r="AF160" s="246">
        <f t="shared" si="59"/>
        <v>22.312286043386852</v>
      </c>
      <c r="AG160" s="246">
        <f t="shared" si="60"/>
        <v>98.425894928201643</v>
      </c>
      <c r="AH160" s="249" t="str">
        <f t="shared" si="61"/>
        <v>0.328382794314008-0.814840683511845i</v>
      </c>
    </row>
    <row r="161" spans="9:34" x14ac:dyDescent="0.2">
      <c r="I161" s="246">
        <v>157</v>
      </c>
      <c r="J161" s="246">
        <f t="shared" si="49"/>
        <v>2.5307692367049937</v>
      </c>
      <c r="K161" s="246">
        <f t="shared" si="72"/>
        <v>339.44485991633542</v>
      </c>
      <c r="L161" s="246">
        <f t="shared" si="62"/>
        <v>2132.7949564239516</v>
      </c>
      <c r="M161" s="246">
        <f t="shared" si="50"/>
        <v>8471.2737313229081</v>
      </c>
      <c r="N161" s="246">
        <f>SQRT((ABS(AC161)-171.5+'Small Signal'!C$59)^2)</f>
        <v>87.679381079978612</v>
      </c>
      <c r="O161" s="246">
        <f t="shared" si="63"/>
        <v>98.573786750156216</v>
      </c>
      <c r="P161" s="246">
        <f t="shared" si="64"/>
        <v>22.135534724845176</v>
      </c>
      <c r="Q161" s="246">
        <f t="shared" si="65"/>
        <v>339.44485991633542</v>
      </c>
      <c r="R161" s="246" t="str">
        <f t="shared" si="51"/>
        <v>0.161233333333333+0.0100241362951926i</v>
      </c>
      <c r="S161" s="246" t="str">
        <f t="shared" si="52"/>
        <v>0.025-49.8796091030599i</v>
      </c>
      <c r="T161" s="246" t="str">
        <f t="shared" si="53"/>
        <v>19.4852837592896-9.37324792082724i</v>
      </c>
      <c r="U161" s="246" t="str">
        <f t="shared" si="54"/>
        <v>84.1342377632569-7.11566358343666i</v>
      </c>
      <c r="V161" s="246">
        <f t="shared" si="66"/>
        <v>38.530409587741048</v>
      </c>
      <c r="W161" s="246">
        <f t="shared" si="67"/>
        <v>-4.8342930676838263</v>
      </c>
      <c r="X161" s="246" t="str">
        <f t="shared" si="55"/>
        <v>0.999999180637775-0.000160115762990031i</v>
      </c>
      <c r="Y161" s="246" t="str">
        <f t="shared" si="56"/>
        <v>40.5556578044428+6.67290348465823i</v>
      </c>
      <c r="Z161" s="246" t="str">
        <f t="shared" si="57"/>
        <v>25.3726759901053+4.17056980567343i</v>
      </c>
      <c r="AA161" s="246" t="str">
        <f t="shared" si="58"/>
        <v>14.4081585491165-3.54448151386622i</v>
      </c>
      <c r="AB161" s="246">
        <f t="shared" si="68"/>
        <v>23.427352247842514</v>
      </c>
      <c r="AC161" s="246">
        <f t="shared" si="69"/>
        <v>-13.820618920021392</v>
      </c>
      <c r="AD161" s="248">
        <f t="shared" si="70"/>
        <v>-1.2918175229973365</v>
      </c>
      <c r="AE161" s="248">
        <f t="shared" si="71"/>
        <v>112.3944056701776</v>
      </c>
      <c r="AF161" s="246">
        <f t="shared" si="59"/>
        <v>22.135534724845176</v>
      </c>
      <c r="AG161" s="246">
        <f t="shared" si="60"/>
        <v>98.573786750156216</v>
      </c>
      <c r="AH161" s="249" t="str">
        <f t="shared" si="61"/>
        <v>0.328330643596959-0.796810666231099i</v>
      </c>
    </row>
    <row r="162" spans="9:34" x14ac:dyDescent="0.2">
      <c r="I162" s="246">
        <v>158</v>
      </c>
      <c r="J162" s="246">
        <f t="shared" si="49"/>
        <v>2.5405193592317774</v>
      </c>
      <c r="K162" s="246">
        <f t="shared" si="72"/>
        <v>347.15175027590294</v>
      </c>
      <c r="L162" s="246">
        <f t="shared" si="62"/>
        <v>2181.2187766952302</v>
      </c>
      <c r="M162" s="246">
        <f t="shared" si="50"/>
        <v>8463.3918606763255</v>
      </c>
      <c r="N162" s="246">
        <f>SQRT((ABS(AC162)-171.5+'Small Signal'!C$59)^2)</f>
        <v>87.376353296223726</v>
      </c>
      <c r="O162" s="246">
        <f t="shared" si="63"/>
        <v>98.722749032468272</v>
      </c>
      <c r="P162" s="246">
        <f t="shared" si="64"/>
        <v>21.959451920796575</v>
      </c>
      <c r="Q162" s="246">
        <f t="shared" si="65"/>
        <v>347.15175027590294</v>
      </c>
      <c r="R162" s="246" t="str">
        <f t="shared" si="51"/>
        <v>0.161233333333333+0.0102517282504676i</v>
      </c>
      <c r="S162" s="246" t="str">
        <f t="shared" si="52"/>
        <v>0.025-48.7722643230612i</v>
      </c>
      <c r="T162" s="246" t="str">
        <f t="shared" si="53"/>
        <v>19.3184346592661-9.50387272607514i</v>
      </c>
      <c r="U162" s="246" t="str">
        <f t="shared" si="54"/>
        <v>84.1257176628819-7.27792586449399i</v>
      </c>
      <c r="V162" s="246">
        <f t="shared" si="66"/>
        <v>38.530958996920994</v>
      </c>
      <c r="W162" s="246">
        <f t="shared" si="67"/>
        <v>-4.9444899215315372</v>
      </c>
      <c r="X162" s="246" t="str">
        <f t="shared" si="55"/>
        <v>0.999999143009154-0.000163751094603262i</v>
      </c>
      <c r="Y162" s="246" t="str">
        <f t="shared" si="56"/>
        <v>40.585655888591+6.82341186726955i</v>
      </c>
      <c r="Z162" s="246" t="str">
        <f t="shared" si="57"/>
        <v>25.3914727180703+4.26463382042259i</v>
      </c>
      <c r="AA162" s="246" t="str">
        <f t="shared" si="58"/>
        <v>14.3721373583159-3.61633784056169i</v>
      </c>
      <c r="AB162" s="246">
        <f t="shared" si="68"/>
        <v>23.417039837570059</v>
      </c>
      <c r="AC162" s="246">
        <f t="shared" si="69"/>
        <v>-14.123646703776279</v>
      </c>
      <c r="AD162" s="248">
        <f t="shared" si="70"/>
        <v>-1.4575879167734829</v>
      </c>
      <c r="AE162" s="248">
        <f t="shared" si="71"/>
        <v>112.84639573624455</v>
      </c>
      <c r="AF162" s="246">
        <f t="shared" si="59"/>
        <v>21.959451920796575</v>
      </c>
      <c r="AG162" s="246">
        <f t="shared" si="60"/>
        <v>98.722749032468272</v>
      </c>
      <c r="AH162" s="249" t="str">
        <f t="shared" si="61"/>
        <v>0.328280760442754-0.779182271230713i</v>
      </c>
    </row>
    <row r="163" spans="9:34" x14ac:dyDescent="0.2">
      <c r="I163" s="246">
        <v>159</v>
      </c>
      <c r="J163" s="246">
        <f t="shared" si="49"/>
        <v>2.5502694817585607</v>
      </c>
      <c r="K163" s="246">
        <f t="shared" si="72"/>
        <v>355.03362092248625</v>
      </c>
      <c r="L163" s="246">
        <f t="shared" si="62"/>
        <v>2230.7420305349324</v>
      </c>
      <c r="M163" s="246">
        <f t="shared" si="50"/>
        <v>8455.3310369210794</v>
      </c>
      <c r="N163" s="246">
        <f>SQRT((ABS(AC163)-171.5+'Small Signal'!C$59)^2)</f>
        <v>87.067161534849305</v>
      </c>
      <c r="O163" s="246">
        <f t="shared" si="63"/>
        <v>98.872679218908061</v>
      </c>
      <c r="P163" s="246">
        <f t="shared" si="64"/>
        <v>21.784055107066717</v>
      </c>
      <c r="Q163" s="246">
        <f t="shared" si="65"/>
        <v>355.03362092248625</v>
      </c>
      <c r="R163" s="246" t="str">
        <f t="shared" si="51"/>
        <v>0.161233333333333+0.0104844875435142i</v>
      </c>
      <c r="S163" s="246" t="str">
        <f t="shared" si="52"/>
        <v>0.025-47.6895029847505i</v>
      </c>
      <c r="T163" s="246" t="str">
        <f t="shared" si="53"/>
        <v>19.1469570994825-9.63326551048286i</v>
      </c>
      <c r="U163" s="246" t="str">
        <f t="shared" si="54"/>
        <v>84.1167979424036-7.4439210048919i</v>
      </c>
      <c r="V163" s="246">
        <f t="shared" si="66"/>
        <v>38.531533387999829</v>
      </c>
      <c r="W163" s="246">
        <f t="shared" si="67"/>
        <v>-5.057219190559386</v>
      </c>
      <c r="X163" s="246" t="str">
        <f t="shared" si="55"/>
        <v>0.999999103652466-0.000167468964223316i</v>
      </c>
      <c r="Y163" s="246" t="str">
        <f t="shared" si="56"/>
        <v>40.6170363907414+6.97726729745271i</v>
      </c>
      <c r="Z163" s="246" t="str">
        <f t="shared" si="57"/>
        <v>25.4111356499595+4.36078938683064i</v>
      </c>
      <c r="AA163" s="246" t="str">
        <f t="shared" si="58"/>
        <v>14.3346447423646-3.6892698634878i</v>
      </c>
      <c r="AB163" s="246">
        <f t="shared" si="68"/>
        <v>23.406280105512785</v>
      </c>
      <c r="AC163" s="246">
        <f t="shared" si="69"/>
        <v>-14.432838465150695</v>
      </c>
      <c r="AD163" s="248">
        <f t="shared" si="70"/>
        <v>-1.6222249984460668</v>
      </c>
      <c r="AE163" s="248">
        <f t="shared" si="71"/>
        <v>113.30551768405876</v>
      </c>
      <c r="AF163" s="246">
        <f t="shared" si="59"/>
        <v>21.784055107066717</v>
      </c>
      <c r="AG163" s="246">
        <f t="shared" si="60"/>
        <v>98.872679218908061</v>
      </c>
      <c r="AH163" s="249" t="str">
        <f t="shared" si="61"/>
        <v>0.328233044266438-0.761946613412354i</v>
      </c>
    </row>
    <row r="164" spans="9:34" x14ac:dyDescent="0.2">
      <c r="I164" s="246">
        <v>160</v>
      </c>
      <c r="J164" s="246">
        <f t="shared" si="49"/>
        <v>2.560019604285344</v>
      </c>
      <c r="K164" s="246">
        <f t="shared" si="72"/>
        <v>363.09444467773227</v>
      </c>
      <c r="L164" s="246">
        <f t="shared" si="62"/>
        <v>2281.3896799176587</v>
      </c>
      <c r="M164" s="246">
        <f t="shared" si="50"/>
        <v>8447.0871970350108</v>
      </c>
      <c r="N164" s="246">
        <f>SQRT((ABS(AC164)-171.5+'Small Signal'!C$59)^2)</f>
        <v>86.751711940009699</v>
      </c>
      <c r="O164" s="246">
        <f t="shared" si="63"/>
        <v>99.023467556900528</v>
      </c>
      <c r="P164" s="246">
        <f t="shared" si="64"/>
        <v>21.609361644913655</v>
      </c>
      <c r="Q164" s="246">
        <f t="shared" si="65"/>
        <v>363.09444467773227</v>
      </c>
      <c r="R164" s="246" t="str">
        <f t="shared" si="51"/>
        <v>0.161233333333333+0.010722531495613i</v>
      </c>
      <c r="S164" s="246" t="str">
        <f t="shared" si="52"/>
        <v>0.025-46.6307793271178i</v>
      </c>
      <c r="T164" s="246" t="str">
        <f t="shared" si="53"/>
        <v>18.9708358443067-9.76124220370396i</v>
      </c>
      <c r="U164" s="246" t="str">
        <f t="shared" si="54"/>
        <v>84.1074594645743-7.61373711366641i</v>
      </c>
      <c r="V164" s="246">
        <f t="shared" si="66"/>
        <v>38.532133884715009</v>
      </c>
      <c r="W164" s="246">
        <f t="shared" si="67"/>
        <v>-5.1725404946444336</v>
      </c>
      <c r="X164" s="246" t="str">
        <f t="shared" si="55"/>
        <v>0.99999906248835-0.000171271245825747i</v>
      </c>
      <c r="Y164" s="246" t="str">
        <f t="shared" si="56"/>
        <v>40.649863240796+7.13454078843528i</v>
      </c>
      <c r="Z164" s="246" t="str">
        <f t="shared" si="57"/>
        <v>25.4317048418664+4.45908086133215i</v>
      </c>
      <c r="AA164" s="246" t="str">
        <f t="shared" si="58"/>
        <v>14.2956288190613-3.76326822812614i</v>
      </c>
      <c r="AB164" s="246">
        <f t="shared" si="68"/>
        <v>23.39505483435866</v>
      </c>
      <c r="AC164" s="246">
        <f t="shared" si="69"/>
        <v>-14.748288059990303</v>
      </c>
      <c r="AD164" s="248">
        <f t="shared" si="70"/>
        <v>-1.7856931894450052</v>
      </c>
      <c r="AE164" s="248">
        <f t="shared" si="71"/>
        <v>113.77175561689083</v>
      </c>
      <c r="AF164" s="246">
        <f t="shared" si="59"/>
        <v>21.609361644913655</v>
      </c>
      <c r="AG164" s="246">
        <f t="shared" si="60"/>
        <v>99.023467556900528</v>
      </c>
      <c r="AH164" s="249" t="str">
        <f t="shared" si="61"/>
        <v>0.328187398852532-0.745095005607171i</v>
      </c>
    </row>
    <row r="165" spans="9:34" x14ac:dyDescent="0.2">
      <c r="I165" s="246">
        <v>161</v>
      </c>
      <c r="J165" s="246">
        <f t="shared" si="49"/>
        <v>2.5697697268121273</v>
      </c>
      <c r="K165" s="246">
        <f t="shared" si="72"/>
        <v>371.33828456380047</v>
      </c>
      <c r="L165" s="246">
        <f t="shared" si="62"/>
        <v>2333.1872535645434</v>
      </c>
      <c r="M165" s="246">
        <f t="shared" si="50"/>
        <v>8438.656185747499</v>
      </c>
      <c r="N165" s="246">
        <f>SQRT((ABS(AC165)-171.5+'Small Signal'!C$59)^2)</f>
        <v>86.429911317486699</v>
      </c>
      <c r="O165" s="246">
        <f t="shared" si="63"/>
        <v>99.174996910299313</v>
      </c>
      <c r="P165" s="246">
        <f t="shared" si="64"/>
        <v>21.43538872593248</v>
      </c>
      <c r="Q165" s="246">
        <f t="shared" si="65"/>
        <v>371.33828456380047</v>
      </c>
      <c r="R165" s="246" t="str">
        <f t="shared" si="51"/>
        <v>0.161233333333333+0.0109659800917534i</v>
      </c>
      <c r="S165" s="246" t="str">
        <f t="shared" si="52"/>
        <v>0.025-45.5955597052388i</v>
      </c>
      <c r="T165" s="246" t="str">
        <f t="shared" si="53"/>
        <v>18.7900644329833-9.88761407726778i</v>
      </c>
      <c r="U165" s="246" t="str">
        <f t="shared" si="54"/>
        <v>84.0976821393436-7.78746452905311i</v>
      </c>
      <c r="V165" s="246">
        <f t="shared" si="66"/>
        <v>38.532761660183276</v>
      </c>
      <c r="W165" s="246">
        <f t="shared" si="67"/>
        <v>-5.2905149552642703</v>
      </c>
      <c r="X165" s="246" t="str">
        <f t="shared" si="55"/>
        <v>0.999999019433802-0.000175159855933588i</v>
      </c>
      <c r="Y165" s="246" t="str">
        <f t="shared" si="56"/>
        <v>40.6842033454456+7.29530460792475i</v>
      </c>
      <c r="Z165" s="246" t="str">
        <f t="shared" si="57"/>
        <v>25.4532222148891+4.55955338247867i</v>
      </c>
      <c r="AA165" s="246" t="str">
        <f t="shared" si="58"/>
        <v>14.2550366008922-3.83832154256023i</v>
      </c>
      <c r="AB165" s="246">
        <f t="shared" si="68"/>
        <v>23.383345169380124</v>
      </c>
      <c r="AC165" s="246">
        <f t="shared" si="69"/>
        <v>-15.070088682513294</v>
      </c>
      <c r="AD165" s="248">
        <f t="shared" si="70"/>
        <v>-1.9479564434476435</v>
      </c>
      <c r="AE165" s="248">
        <f t="shared" si="71"/>
        <v>114.2450855928126</v>
      </c>
      <c r="AF165" s="246">
        <f t="shared" si="59"/>
        <v>21.43538872593248</v>
      </c>
      <c r="AG165" s="246">
        <f t="shared" si="60"/>
        <v>99.174996910299313</v>
      </c>
      <c r="AH165" s="249" t="str">
        <f t="shared" si="61"/>
        <v>0.328143732161031-0.728618954198818i</v>
      </c>
    </row>
    <row r="166" spans="9:34" x14ac:dyDescent="0.2">
      <c r="I166" s="246">
        <v>162</v>
      </c>
      <c r="J166" s="246">
        <f t="shared" si="49"/>
        <v>2.5795198493389107</v>
      </c>
      <c r="K166" s="246">
        <f t="shared" si="72"/>
        <v>379.76929585131342</v>
      </c>
      <c r="L166" s="246">
        <f t="shared" si="62"/>
        <v>2386.1608598109096</v>
      </c>
      <c r="M166" s="246">
        <f t="shared" si="50"/>
        <v>8430.03375344501</v>
      </c>
      <c r="N166" s="246">
        <f>SQRT((ABS(AC166)-171.5+'Small Signal'!C$59)^2)</f>
        <v>86.101667299614576</v>
      </c>
      <c r="O166" s="246">
        <f t="shared" si="63"/>
        <v>99.327142587425286</v>
      </c>
      <c r="P166" s="246">
        <f t="shared" si="64"/>
        <v>21.262153313345628</v>
      </c>
      <c r="Q166" s="246">
        <f t="shared" si="65"/>
        <v>379.76929585131342</v>
      </c>
      <c r="R166" s="246" t="str">
        <f t="shared" si="51"/>
        <v>0.161233333333333+0.0112149560411113i</v>
      </c>
      <c r="S166" s="246" t="str">
        <f t="shared" si="52"/>
        <v>0.025-44.5833223212933i</v>
      </c>
      <c r="T166" s="246" t="str">
        <f t="shared" si="53"/>
        <v>18.6046456770072-10.0121881714702i</v>
      </c>
      <c r="U166" s="246" t="str">
        <f t="shared" si="54"/>
        <v>84.0874448731227-7.96519588441606i</v>
      </c>
      <c r="V166" s="246">
        <f t="shared" si="66"/>
        <v>38.53341793895617</v>
      </c>
      <c r="W166" s="246">
        <f t="shared" si="67"/>
        <v>-5.4112052399045112</v>
      </c>
      <c r="X166" s="246" t="str">
        <f t="shared" si="55"/>
        <v>0.999998974402005-0.000179136754583373i</v>
      </c>
      <c r="Y166" s="246" t="str">
        <f t="shared" si="56"/>
        <v>40.7201267285918+7.4596322803621i</v>
      </c>
      <c r="Z166" s="246" t="str">
        <f t="shared" si="57"/>
        <v>25.4757316430936+4.66225287220961i</v>
      </c>
      <c r="AA166" s="246" t="str">
        <f t="shared" si="58"/>
        <v>14.21281403899-3.91441625772558i</v>
      </c>
      <c r="AB166" s="246">
        <f t="shared" si="68"/>
        <v>23.371131605322297</v>
      </c>
      <c r="AC166" s="246">
        <f t="shared" si="69"/>
        <v>-15.398332700385437</v>
      </c>
      <c r="AD166" s="248">
        <f t="shared" si="70"/>
        <v>-2.1089782919766695</v>
      </c>
      <c r="AE166" s="248">
        <f t="shared" si="71"/>
        <v>114.72547528781072</v>
      </c>
      <c r="AF166" s="246">
        <f t="shared" si="59"/>
        <v>21.262153313345628</v>
      </c>
      <c r="AG166" s="246">
        <f t="shared" si="60"/>
        <v>99.327142587425286</v>
      </c>
      <c r="AH166" s="249" t="str">
        <f t="shared" si="61"/>
        <v>0.328101956141814-0.712510154843934i</v>
      </c>
    </row>
    <row r="167" spans="9:34" x14ac:dyDescent="0.2">
      <c r="I167" s="246">
        <v>163</v>
      </c>
      <c r="J167" s="246">
        <f t="shared" si="49"/>
        <v>2.5892699718656944</v>
      </c>
      <c r="K167" s="246">
        <f t="shared" si="72"/>
        <v>388.39172815380175</v>
      </c>
      <c r="L167" s="246">
        <f t="shared" si="62"/>
        <v>2440.3371997660552</v>
      </c>
      <c r="M167" s="246">
        <f t="shared" si="50"/>
        <v>8421.2155540291114</v>
      </c>
      <c r="N167" s="246">
        <f>SQRT((ABS(AC167)-171.5+'Small Signal'!C$59)^2)</f>
        <v>85.766888519875693</v>
      </c>
      <c r="O167" s="246">
        <f t="shared" si="63"/>
        <v>99.479772186701595</v>
      </c>
      <c r="P167" s="246">
        <f t="shared" si="64"/>
        <v>21.089672079693905</v>
      </c>
      <c r="Q167" s="246">
        <f t="shared" si="65"/>
        <v>388.39172815380175</v>
      </c>
      <c r="R167" s="246" t="str">
        <f t="shared" si="51"/>
        <v>0.161233333333333+0.0114695848389005i</v>
      </c>
      <c r="S167" s="246" t="str">
        <f t="shared" si="52"/>
        <v>0.025-43.5935569615555i</v>
      </c>
      <c r="T167" s="246" t="str">
        <f t="shared" si="53"/>
        <v>18.414592139554-10.1347677718157i</v>
      </c>
      <c r="U167" s="246" t="str">
        <f t="shared" si="54"/>
        <v>84.0767255150718-8.14702617666759i</v>
      </c>
      <c r="V167" s="246">
        <f t="shared" si="66"/>
        <v>38.534103999150851</v>
      </c>
      <c r="W167" s="246">
        <f t="shared" si="67"/>
        <v>-5.5346756081943012</v>
      </c>
      <c r="X167" s="246" t="str">
        <f t="shared" si="55"/>
        <v>0.999998927302155-0.000183203946313079i</v>
      </c>
      <c r="Y167" s="246" t="str">
        <f t="shared" si="56"/>
        <v>40.7577066785621+7.627598587246i</v>
      </c>
      <c r="Z167" s="246" t="str">
        <f t="shared" si="57"/>
        <v>25.4992790457309+4.76722603590739i</v>
      </c>
      <c r="AA167" s="246" t="str">
        <f t="shared" si="58"/>
        <v>14.1689060749133-3.99153654483203i</v>
      </c>
      <c r="AB167" s="246">
        <f t="shared" si="68"/>
        <v>23.358393973879142</v>
      </c>
      <c r="AC167" s="246">
        <f t="shared" si="69"/>
        <v>-15.733111480124307</v>
      </c>
      <c r="AD167" s="248">
        <f t="shared" si="70"/>
        <v>-2.2687218941852367</v>
      </c>
      <c r="AE167" s="248">
        <f t="shared" si="71"/>
        <v>115.2128836668259</v>
      </c>
      <c r="AF167" s="246">
        <f t="shared" si="59"/>
        <v>21.089672079693905</v>
      </c>
      <c r="AG167" s="246">
        <f t="shared" si="60"/>
        <v>99.479772186701595</v>
      </c>
      <c r="AH167" s="249" t="str">
        <f t="shared" si="61"/>
        <v>0.328061986557116-0.696760488287897i</v>
      </c>
    </row>
    <row r="168" spans="9:34" x14ac:dyDescent="0.2">
      <c r="I168" s="246">
        <v>164</v>
      </c>
      <c r="J168" s="246">
        <f t="shared" si="49"/>
        <v>2.5990200943924777</v>
      </c>
      <c r="K168" s="246">
        <f t="shared" si="72"/>
        <v>397.20992756970054</v>
      </c>
      <c r="L168" s="246">
        <f t="shared" si="62"/>
        <v>2495.7435807718102</v>
      </c>
      <c r="M168" s="246">
        <f t="shared" si="50"/>
        <v>8412.1971427258268</v>
      </c>
      <c r="N168" s="246">
        <f>SQRT((ABS(AC168)-171.5+'Small Signal'!C$59)^2)</f>
        <v>85.425484797379909</v>
      </c>
      <c r="O168" s="246">
        <f t="shared" si="63"/>
        <v>99.632745462304371</v>
      </c>
      <c r="P168" s="246">
        <f t="shared" si="64"/>
        <v>20.917961340976778</v>
      </c>
      <c r="Q168" s="246">
        <f t="shared" si="65"/>
        <v>397.20992756970054</v>
      </c>
      <c r="R168" s="246" t="str">
        <f t="shared" si="51"/>
        <v>0.161233333333333+0.0117299948296275i</v>
      </c>
      <c r="S168" s="246" t="str">
        <f t="shared" si="52"/>
        <v>0.025-42.6257647392227i</v>
      </c>
      <c r="T168" s="246" t="str">
        <f t="shared" si="53"/>
        <v>18.2199265920187-10.2551529350279i</v>
      </c>
      <c r="U168" s="246" t="str">
        <f t="shared" si="54"/>
        <v>84.0655008001893-8.33305283729144i</v>
      </c>
      <c r="V168" s="246">
        <f t="shared" si="66"/>
        <v>38.534821174655669</v>
      </c>
      <c r="W168" s="246">
        <f t="shared" si="67"/>
        <v>-5.6609919598578458</v>
      </c>
      <c r="X168" s="246" t="str">
        <f t="shared" si="55"/>
        <v>0.999998878039278-0.000187363481172504i</v>
      </c>
      <c r="Y168" s="246" t="str">
        <f t="shared" si="56"/>
        <v>40.7970199024395+7.79927956532495i</v>
      </c>
      <c r="Z168" s="246" t="str">
        <f t="shared" si="57"/>
        <v>25.5239124839105+4.87452036110951i</v>
      </c>
      <c r="AA168" s="246" t="str">
        <f t="shared" si="58"/>
        <v>14.1232567008011-4.06966417028808i</v>
      </c>
      <c r="AB168" s="246">
        <f t="shared" si="68"/>
        <v>23.345111431858037</v>
      </c>
      <c r="AC168" s="246">
        <f t="shared" si="69"/>
        <v>-16.074515202620084</v>
      </c>
      <c r="AD168" s="248">
        <f t="shared" si="70"/>
        <v>-2.4271500908812604</v>
      </c>
      <c r="AE168" s="248">
        <f t="shared" si="71"/>
        <v>115.70726066492446</v>
      </c>
      <c r="AF168" s="246">
        <f t="shared" si="59"/>
        <v>20.917961340976778</v>
      </c>
      <c r="AG168" s="246">
        <f t="shared" si="60"/>
        <v>99.632745462304371</v>
      </c>
      <c r="AH168" s="249" t="str">
        <f t="shared" si="61"/>
        <v>0.328023742811661-0.68136201627378i</v>
      </c>
    </row>
    <row r="169" spans="9:34" x14ac:dyDescent="0.2">
      <c r="I169" s="246">
        <v>165</v>
      </c>
      <c r="J169" s="246">
        <f t="shared" si="49"/>
        <v>2.608770216919261</v>
      </c>
      <c r="K169" s="246">
        <f t="shared" si="72"/>
        <v>406.22833887298515</v>
      </c>
      <c r="L169" s="246">
        <f t="shared" si="62"/>
        <v>2552.4079301667102</v>
      </c>
      <c r="M169" s="246">
        <f t="shared" si="50"/>
        <v>8402.9739738452754</v>
      </c>
      <c r="N169" s="246">
        <f>SQRT((ABS(AC169)-171.5+'Small Signal'!C$59)^2)</f>
        <v>85.077367331407459</v>
      </c>
      <c r="O169" s="246">
        <f t="shared" si="63"/>
        <v>99.785914212336493</v>
      </c>
      <c r="P169" s="246">
        <f t="shared" si="64"/>
        <v>20.74703698732198</v>
      </c>
      <c r="Q169" s="246">
        <f t="shared" si="65"/>
        <v>406.22833887298515</v>
      </c>
      <c r="R169" s="246" t="str">
        <f t="shared" si="51"/>
        <v>0.161233333333333+0.0119963172717835i</v>
      </c>
      <c r="S169" s="246" t="str">
        <f t="shared" si="52"/>
        <v>0.025-41.6794578429537i</v>
      </c>
      <c r="T169" s="246" t="str">
        <f t="shared" si="53"/>
        <v>18.0206824425349-10.3731410641416i</v>
      </c>
      <c r="U169" s="246" t="str">
        <f t="shared" si="54"/>
        <v>84.0537462890027-8.52337580609443i</v>
      </c>
      <c r="V169" s="246">
        <f t="shared" si="66"/>
        <v>38.535570857413092</v>
      </c>
      <c r="W169" s="246">
        <f t="shared" si="67"/>
        <v>-5.7902218845779725</v>
      </c>
      <c r="X169" s="246" t="str">
        <f t="shared" si="55"/>
        <v>0.999998826514039-0.000191617455756592i</v>
      </c>
      <c r="Y169" s="246" t="str">
        <f t="shared" si="56"/>
        <v>40.8381466878706+7.97475250244174i</v>
      </c>
      <c r="Z169" s="246" t="str">
        <f t="shared" si="57"/>
        <v>25.5496822619557+4.98418411474214i</v>
      </c>
      <c r="AA169" s="246" t="str">
        <f t="shared" si="58"/>
        <v>14.0758090284634-4.14877836851399i</v>
      </c>
      <c r="AB169" s="246">
        <f t="shared" si="68"/>
        <v>23.331262450138972</v>
      </c>
      <c r="AC169" s="246">
        <f t="shared" si="69"/>
        <v>-16.422632668592527</v>
      </c>
      <c r="AD169" s="248">
        <f t="shared" si="70"/>
        <v>-2.5842254628169927</v>
      </c>
      <c r="AE169" s="248">
        <f t="shared" si="71"/>
        <v>116.20854688092902</v>
      </c>
      <c r="AF169" s="246">
        <f t="shared" si="59"/>
        <v>20.74703698732198</v>
      </c>
      <c r="AG169" s="246">
        <f t="shared" si="60"/>
        <v>99.785914212336493</v>
      </c>
      <c r="AH169" s="249" t="str">
        <f t="shared" si="61"/>
        <v>0.327987147790167-0.666306977542421i</v>
      </c>
    </row>
    <row r="170" spans="9:34" x14ac:dyDescent="0.2">
      <c r="I170" s="246">
        <v>166</v>
      </c>
      <c r="J170" s="246">
        <f t="shared" si="49"/>
        <v>2.6185203394460448</v>
      </c>
      <c r="K170" s="246">
        <f t="shared" si="72"/>
        <v>415.45150775353579</v>
      </c>
      <c r="L170" s="246">
        <f t="shared" si="62"/>
        <v>2610.3588093626222</v>
      </c>
      <c r="M170" s="246">
        <f t="shared" si="50"/>
        <v>8393.541398490439</v>
      </c>
      <c r="N170" s="246">
        <f>SQRT((ABS(AC170)-171.5+'Small Signal'!C$59)^2)</f>
        <v>84.722448906173753</v>
      </c>
      <c r="O170" s="246">
        <f t="shared" si="63"/>
        <v>99.939122192099177</v>
      </c>
      <c r="P170" s="246">
        <f t="shared" si="64"/>
        <v>20.57691441029775</v>
      </c>
      <c r="Q170" s="246">
        <f t="shared" si="65"/>
        <v>415.45150775353579</v>
      </c>
      <c r="R170" s="246" t="str">
        <f t="shared" si="51"/>
        <v>0.161233333333333+0.0122686864040043i</v>
      </c>
      <c r="S170" s="246" t="str">
        <f t="shared" si="52"/>
        <v>0.025-40.7541592909904i</v>
      </c>
      <c r="T170" s="246" t="str">
        <f t="shared" si="53"/>
        <v>17.8169041312196-10.4885275316438i</v>
      </c>
      <c r="U170" s="246" t="str">
        <f t="shared" si="54"/>
        <v>84.0414363036263-8.7180976078129i</v>
      </c>
      <c r="V170" s="246">
        <f t="shared" si="66"/>
        <v>38.536354499780984</v>
      </c>
      <c r="W170" s="246">
        <f t="shared" si="67"/>
        <v>-5.9224347138715592</v>
      </c>
      <c r="X170" s="246" t="str">
        <f t="shared" si="55"/>
        <v>0.99999877262254-0.000195968014262204i</v>
      </c>
      <c r="Y170" s="246" t="str">
        <f t="shared" si="56"/>
        <v>40.8811710727372+8.15409593079077i</v>
      </c>
      <c r="Z170" s="246" t="str">
        <f t="shared" si="57"/>
        <v>25.5766410336839+5.09626633872444i</v>
      </c>
      <c r="AA170" s="246" t="str">
        <f t="shared" si="58"/>
        <v>14.0265053679701-4.2288557130873i</v>
      </c>
      <c r="AB170" s="246">
        <f t="shared" si="68"/>
        <v>23.316824803538996</v>
      </c>
      <c r="AC170" s="246">
        <f t="shared" si="69"/>
        <v>-16.777551093826254</v>
      </c>
      <c r="AD170" s="248">
        <f t="shared" si="70"/>
        <v>-2.7399103932412454</v>
      </c>
      <c r="AE170" s="248">
        <f t="shared" si="71"/>
        <v>116.71667328592542</v>
      </c>
      <c r="AF170" s="246">
        <f t="shared" si="59"/>
        <v>20.57691441029775</v>
      </c>
      <c r="AG170" s="246">
        <f t="shared" si="60"/>
        <v>99.939122192099177</v>
      </c>
      <c r="AH170" s="249" t="str">
        <f t="shared" si="61"/>
        <v>0.327952127701843-0.651587783921644i</v>
      </c>
    </row>
    <row r="171" spans="9:34" x14ac:dyDescent="0.2">
      <c r="I171" s="246">
        <v>167</v>
      </c>
      <c r="J171" s="246">
        <f t="shared" si="49"/>
        <v>2.6282704619728277</v>
      </c>
      <c r="K171" s="246">
        <f t="shared" si="72"/>
        <v>424.88408310837343</v>
      </c>
      <c r="L171" s="246">
        <f t="shared" si="62"/>
        <v>2669.6254282410023</v>
      </c>
      <c r="M171" s="246">
        <f t="shared" si="50"/>
        <v>8383.8946622138938</v>
      </c>
      <c r="N171" s="246">
        <f>SQRT((ABS(AC171)-171.5+'Small Signal'!C$59)^2)</f>
        <v>84.360644105919874</v>
      </c>
      <c r="O171" s="246">
        <f t="shared" si="63"/>
        <v>100.09220505507923</v>
      </c>
      <c r="P171" s="246">
        <f t="shared" si="64"/>
        <v>20.407608427023501</v>
      </c>
      <c r="Q171" s="246">
        <f t="shared" si="65"/>
        <v>424.88408310837343</v>
      </c>
      <c r="R171" s="246" t="str">
        <f t="shared" si="51"/>
        <v>0.161233333333333+0.0125472395127327i</v>
      </c>
      <c r="S171" s="246" t="str">
        <f t="shared" si="52"/>
        <v>0.025-39.849402690736i</v>
      </c>
      <c r="T171" s="246" t="str">
        <f t="shared" si="53"/>
        <v>17.6086474868216-10.601106349057i</v>
      </c>
      <c r="U171" s="246" t="str">
        <f t="shared" si="54"/>
        <v>84.0285438599324-8.91732343170857i</v>
      </c>
      <c r="V171" s="246">
        <f t="shared" si="66"/>
        <v>38.537173616972623</v>
      </c>
      <c r="W171" s="246">
        <f t="shared" si="67"/>
        <v>-6.0577015750845495</v>
      </c>
      <c r="X171" s="246" t="str">
        <f t="shared" si="55"/>
        <v>0.999998716256113-0.000200417349568896i</v>
      </c>
      <c r="Y171" s="246" t="str">
        <f t="shared" si="56"/>
        <v>40.926181023075+8.33738961733291i</v>
      </c>
      <c r="Z171" s="246" t="str">
        <f t="shared" si="57"/>
        <v>25.6048439138505+5.21081684378347i</v>
      </c>
      <c r="AA171" s="246" t="str">
        <f t="shared" si="58"/>
        <v>13.975287316307-4.3098699867353i</v>
      </c>
      <c r="AB171" s="246">
        <f t="shared" si="68"/>
        <v>23.301775561704424</v>
      </c>
      <c r="AC171" s="246">
        <f t="shared" si="69"/>
        <v>-17.139355894080129</v>
      </c>
      <c r="AD171" s="248">
        <f t="shared" si="70"/>
        <v>-2.8941671346809246</v>
      </c>
      <c r="AE171" s="248">
        <f t="shared" si="71"/>
        <v>117.23156094915936</v>
      </c>
      <c r="AF171" s="246">
        <f t="shared" si="59"/>
        <v>20.407608427023501</v>
      </c>
      <c r="AG171" s="246">
        <f t="shared" si="60"/>
        <v>100.09220505507923</v>
      </c>
      <c r="AH171" s="249" t="str">
        <f t="shared" si="61"/>
        <v>0.32791861193161-0.637197016502609i</v>
      </c>
    </row>
    <row r="172" spans="9:34" x14ac:dyDescent="0.2">
      <c r="I172" s="246">
        <v>168</v>
      </c>
      <c r="J172" s="246">
        <f t="shared" si="49"/>
        <v>2.6380205844996114</v>
      </c>
      <c r="K172" s="246">
        <f t="shared" si="72"/>
        <v>434.53081938491835</v>
      </c>
      <c r="L172" s="246">
        <f t="shared" si="62"/>
        <v>2730.2376598760256</v>
      </c>
      <c r="M172" s="246">
        <f t="shared" si="50"/>
        <v>8374.0289026213704</v>
      </c>
      <c r="N172" s="246">
        <f>SQRT((ABS(AC172)-171.5+'Small Signal'!C$59)^2)</f>
        <v>83.991869540403229</v>
      </c>
      <c r="O172" s="246">
        <f t="shared" si="63"/>
        <v>100.24499032429824</v>
      </c>
      <c r="P172" s="246">
        <f t="shared" si="64"/>
        <v>20.239133201270143</v>
      </c>
      <c r="Q172" s="246">
        <f t="shared" si="65"/>
        <v>434.53081938491835</v>
      </c>
      <c r="R172" s="246" t="str">
        <f t="shared" si="51"/>
        <v>0.161233333333333+0.0128321170014173i</v>
      </c>
      <c r="S172" s="246" t="str">
        <f t="shared" si="52"/>
        <v>0.025-38.9647320036729i</v>
      </c>
      <c r="T172" s="246" t="str">
        <f t="shared" si="53"/>
        <v>17.3959800394468-10.7106708807434i</v>
      </c>
      <c r="U172" s="246" t="str">
        <f t="shared" si="54"/>
        <v>84.0150405955761-9.12116121429382i</v>
      </c>
      <c r="V172" s="246">
        <f t="shared" si="66"/>
        <v>38.538029789577251</v>
      </c>
      <c r="W172" s="246">
        <f t="shared" si="67"/>
        <v>-6.1960954476195571</v>
      </c>
      <c r="X172" s="246" t="str">
        <f t="shared" si="55"/>
        <v>0.999998657301099-0.000204967704344229i</v>
      </c>
      <c r="Y172" s="246" t="str">
        <f t="shared" si="56"/>
        <v>40.9732686196699+8.52471455108406i</v>
      </c>
      <c r="Z172" s="246" t="str">
        <f t="shared" si="57"/>
        <v>25.6343485950267+5.32788620130116i</v>
      </c>
      <c r="AA172" s="246" t="str">
        <f t="shared" si="58"/>
        <v>13.9220958566537-4.39179205075177i</v>
      </c>
      <c r="AB172" s="246">
        <f t="shared" si="68"/>
        <v>23.286091081154275</v>
      </c>
      <c r="AC172" s="246">
        <f t="shared" si="69"/>
        <v>-17.508130459596764</v>
      </c>
      <c r="AD172" s="248">
        <f t="shared" si="70"/>
        <v>-3.0469578798841308</v>
      </c>
      <c r="AE172" s="248">
        <f t="shared" si="71"/>
        <v>117.753120783895</v>
      </c>
      <c r="AF172" s="246">
        <f t="shared" si="59"/>
        <v>20.239133201270143</v>
      </c>
      <c r="AG172" s="246">
        <f t="shared" si="60"/>
        <v>100.24499032429824</v>
      </c>
      <c r="AH172" s="249" t="str">
        <f t="shared" si="61"/>
        <v>0.327886532897709-0.623127421901417i</v>
      </c>
    </row>
    <row r="173" spans="9:34" x14ac:dyDescent="0.2">
      <c r="I173" s="246">
        <v>169</v>
      </c>
      <c r="J173" s="246">
        <f t="shared" si="49"/>
        <v>2.6477707070263943</v>
      </c>
      <c r="K173" s="246">
        <f t="shared" si="72"/>
        <v>444.39657897744132</v>
      </c>
      <c r="L173" s="246">
        <f t="shared" si="62"/>
        <v>2792.226055591932</v>
      </c>
      <c r="M173" s="246">
        <f t="shared" si="50"/>
        <v>8363.9391469208713</v>
      </c>
      <c r="N173" s="246">
        <f>SQRT((ABS(AC173)-171.5+'Small Signal'!C$59)^2)</f>
        <v>83.616044080803391</v>
      </c>
      <c r="O173" s="246">
        <f t="shared" si="63"/>
        <v>100.39729739666959</v>
      </c>
      <c r="P173" s="246">
        <f t="shared" si="64"/>
        <v>20.07150216179026</v>
      </c>
      <c r="Q173" s="246">
        <f t="shared" si="65"/>
        <v>444.39657897744132</v>
      </c>
      <c r="R173" s="246" t="str">
        <f t="shared" si="51"/>
        <v>0.161233333333333+0.0131234624612821i</v>
      </c>
      <c r="S173" s="246" t="str">
        <f t="shared" si="52"/>
        <v>0.025-38.0997013154981i</v>
      </c>
      <c r="T173" s="246" t="str">
        <f t="shared" si="53"/>
        <v>17.1789812841039-10.817014599087i</v>
      </c>
      <c r="U173" s="246" t="str">
        <f t="shared" si="54"/>
        <v>84.0008966935792-9.32972172533374i</v>
      </c>
      <c r="V173" s="246">
        <f t="shared" si="66"/>
        <v>38.538924666161044</v>
      </c>
      <c r="W173" s="246">
        <f t="shared" si="67"/>
        <v>-6.3376912215177184</v>
      </c>
      <c r="X173" s="246" t="str">
        <f t="shared" si="55"/>
        <v>0.999998595638618-0.000209621372174175i</v>
      </c>
      <c r="Y173" s="246" t="str">
        <f t="shared" si="56"/>
        <v>41.022530253763+8.71615292697409i</v>
      </c>
      <c r="Z173" s="246" t="str">
        <f t="shared" si="57"/>
        <v>25.66521547018+5.44752573300283i</v>
      </c>
      <c r="AA173" s="246" t="str">
        <f t="shared" si="58"/>
        <v>13.8668714688365-4.47458971449322i</v>
      </c>
      <c r="AB173" s="246">
        <f t="shared" si="68"/>
        <v>23.269746998611733</v>
      </c>
      <c r="AC173" s="246">
        <f t="shared" si="69"/>
        <v>-17.883955919196605</v>
      </c>
      <c r="AD173" s="248">
        <f t="shared" si="70"/>
        <v>-3.1982448368214724</v>
      </c>
      <c r="AE173" s="248">
        <f t="shared" si="71"/>
        <v>118.28125331586619</v>
      </c>
      <c r="AF173" s="246">
        <f t="shared" si="59"/>
        <v>20.07150216179026</v>
      </c>
      <c r="AG173" s="246">
        <f t="shared" si="60"/>
        <v>100.39729739666959</v>
      </c>
      <c r="AH173" s="249" t="str">
        <f t="shared" si="61"/>
        <v>0.327855825915434-0.609371908604062i</v>
      </c>
    </row>
    <row r="174" spans="9:34" x14ac:dyDescent="0.2">
      <c r="I174" s="246">
        <v>170</v>
      </c>
      <c r="J174" s="246">
        <f t="shared" si="49"/>
        <v>2.657520829553178</v>
      </c>
      <c r="K174" s="246">
        <f t="shared" si="72"/>
        <v>454.4863346779407</v>
      </c>
      <c r="L174" s="246">
        <f t="shared" si="62"/>
        <v>2855.6218603623411</v>
      </c>
      <c r="M174" s="246">
        <f t="shared" si="50"/>
        <v>8353.6203094161647</v>
      </c>
      <c r="N174" s="246">
        <f>SQRT((ABS(AC174)-171.5+'Small Signal'!C$59)^2)</f>
        <v>83.233089106006787</v>
      </c>
      <c r="O174" s="246">
        <f t="shared" si="63"/>
        <v>100.54893758298056</v>
      </c>
      <c r="P174" s="246">
        <f t="shared" si="64"/>
        <v>19.904727918156329</v>
      </c>
      <c r="Q174" s="246">
        <f t="shared" si="65"/>
        <v>454.4863346779407</v>
      </c>
      <c r="R174" s="246" t="str">
        <f t="shared" si="51"/>
        <v>0.161233333333333+0.013421422743703i</v>
      </c>
      <c r="S174" s="246" t="str">
        <f t="shared" si="52"/>
        <v>0.025-37.2538746113625i</v>
      </c>
      <c r="T174" s="246" t="str">
        <f t="shared" si="53"/>
        <v>16.9577428899599-10.9199318775613i</v>
      </c>
      <c r="U174" s="246" t="str">
        <f t="shared" si="54"/>
        <v>83.9860808011574-9.54311865727575i</v>
      </c>
      <c r="V174" s="246">
        <f t="shared" si="66"/>
        <v>38.539859965948331</v>
      </c>
      <c r="W174" s="246">
        <f t="shared" si="67"/>
        <v>-6.4825657585220151</v>
      </c>
      <c r="X174" s="246" t="str">
        <f t="shared" si="55"/>
        <v>0.999998531144331-0.000214380698719189i</v>
      </c>
      <c r="Y174" s="246" t="str">
        <f t="shared" si="56"/>
        <v>41.0740668323305+8.91178812594146i</v>
      </c>
      <c r="Z174" s="246" t="str">
        <f t="shared" si="57"/>
        <v>25.6975077612503+5.56978749827692i</v>
      </c>
      <c r="AA174" s="246" t="str">
        <f t="shared" si="58"/>
        <v>13.8095542514806-4.55822760568204i</v>
      </c>
      <c r="AB174" s="246">
        <f t="shared" si="68"/>
        <v>23.252718225760187</v>
      </c>
      <c r="AC174" s="246">
        <f t="shared" si="69"/>
        <v>-18.266910893993224</v>
      </c>
      <c r="AD174" s="248">
        <f t="shared" si="70"/>
        <v>-3.3479903076038586</v>
      </c>
      <c r="AE174" s="248">
        <f t="shared" si="71"/>
        <v>118.81584847697378</v>
      </c>
      <c r="AF174" s="246">
        <f t="shared" si="59"/>
        <v>19.904727918156329</v>
      </c>
      <c r="AG174" s="246">
        <f t="shared" si="60"/>
        <v>100.54893758298056</v>
      </c>
      <c r="AH174" s="249" t="str">
        <f t="shared" si="61"/>
        <v>0.327826429066707-0.595923543392898i</v>
      </c>
    </row>
    <row r="175" spans="9:34" x14ac:dyDescent="0.2">
      <c r="I175" s="246">
        <v>171</v>
      </c>
      <c r="J175" s="246">
        <f t="shared" si="49"/>
        <v>2.6672709520799618</v>
      </c>
      <c r="K175" s="246">
        <f t="shared" si="72"/>
        <v>464.80517218264703</v>
      </c>
      <c r="L175" s="246">
        <f t="shared" si="62"/>
        <v>2920.4570285590858</v>
      </c>
      <c r="M175" s="246">
        <f t="shared" si="50"/>
        <v>8343.0671889433597</v>
      </c>
      <c r="N175" s="246">
        <f>SQRT((ABS(AC175)-171.5+'Small Signal'!C$59)^2)</f>
        <v>82.842928759172622</v>
      </c>
      <c r="O175" s="246">
        <f t="shared" si="63"/>
        <v>100.69971418605911</v>
      </c>
      <c r="P175" s="246">
        <f t="shared" si="64"/>
        <v>19.738822174437644</v>
      </c>
      <c r="Q175" s="246">
        <f t="shared" si="65"/>
        <v>464.80517218264703</v>
      </c>
      <c r="R175" s="246" t="str">
        <f t="shared" si="51"/>
        <v>0.161233333333333+0.0137261480342277i</v>
      </c>
      <c r="S175" s="246" t="str">
        <f t="shared" si="52"/>
        <v>0.025-36.4268255560987i</v>
      </c>
      <c r="T175" s="246" t="str">
        <f t="shared" si="53"/>
        <v>16.7323688504239-11.0192188175516i</v>
      </c>
      <c r="U175" s="246" t="str">
        <f t="shared" si="54"/>
        <v>83.9705599434724-9.76146871827073i</v>
      </c>
      <c r="V175" s="246">
        <f t="shared" si="66"/>
        <v>38.540837481584909</v>
      </c>
      <c r="W175" s="246">
        <f t="shared" si="67"/>
        <v>-6.6307979557601033</v>
      </c>
      <c r="X175" s="246" t="str">
        <f t="shared" si="55"/>
        <v>0.999998463688191-0.000219248082896529i</v>
      </c>
      <c r="Y175" s="246" t="str">
        <f t="shared" si="56"/>
        <v>41.127983993434+9.11170469090267i</v>
      </c>
      <c r="Z175" s="246" t="str">
        <f t="shared" si="57"/>
        <v>25.7312916540309+5.69472427889931i</v>
      </c>
      <c r="AA175" s="246" t="str">
        <f t="shared" si="58"/>
        <v>13.750084056369-4.64266704232565i</v>
      </c>
      <c r="AB175" s="246">
        <f t="shared" si="68"/>
        <v>23.234978945572415</v>
      </c>
      <c r="AC175" s="246">
        <f t="shared" si="69"/>
        <v>-18.657071240827371</v>
      </c>
      <c r="AD175" s="248">
        <f t="shared" si="70"/>
        <v>-3.4961567711347725</v>
      </c>
      <c r="AE175" s="248">
        <f t="shared" si="71"/>
        <v>119.35678542688649</v>
      </c>
      <c r="AF175" s="246">
        <f t="shared" si="59"/>
        <v>19.738822174437644</v>
      </c>
      <c r="AG175" s="246">
        <f t="shared" si="60"/>
        <v>100.69971418605911</v>
      </c>
      <c r="AH175" s="249" t="str">
        <f t="shared" si="61"/>
        <v>0.327798283075222-0.582775547852843i</v>
      </c>
    </row>
    <row r="176" spans="9:34" x14ac:dyDescent="0.2">
      <c r="I176" s="246">
        <v>172</v>
      </c>
      <c r="J176" s="246">
        <f t="shared" si="49"/>
        <v>2.6770210746067447</v>
      </c>
      <c r="K176" s="246">
        <f t="shared" si="72"/>
        <v>475.35829265545095</v>
      </c>
      <c r="L176" s="246">
        <f t="shared" si="62"/>
        <v>2986.7642400587033</v>
      </c>
      <c r="M176" s="246">
        <f t="shared" si="50"/>
        <v>8332.2744662492842</v>
      </c>
      <c r="N176" s="246">
        <f>SQRT((ABS(AC176)-171.5+'Small Signal'!C$59)^2)</f>
        <v>82.445490214409773</v>
      </c>
      <c r="O176" s="246">
        <f t="shared" si="63"/>
        <v>100.84942261959335</v>
      </c>
      <c r="P176" s="246">
        <f t="shared" si="64"/>
        <v>19.573795641090069</v>
      </c>
      <c r="Q176" s="246">
        <f t="shared" si="65"/>
        <v>475.35829265545095</v>
      </c>
      <c r="R176" s="246" t="str">
        <f t="shared" si="51"/>
        <v>0.161233333333333+0.0140377919282759i</v>
      </c>
      <c r="S176" s="246" t="str">
        <f t="shared" si="52"/>
        <v>0.025-35.6181372793299i</v>
      </c>
      <c r="T176" s="246" t="str">
        <f t="shared" si="53"/>
        <v>16.5029755694889-11.1146741041596i</v>
      </c>
      <c r="U176" s="246" t="str">
        <f t="shared" si="54"/>
        <v>83.9542994319222-9.98489172894775i</v>
      </c>
      <c r="V176" s="246">
        <f t="shared" si="66"/>
        <v>38.541859081980576</v>
      </c>
      <c r="W176" s="246">
        <f t="shared" si="67"/>
        <v>-6.7824688121906727</v>
      </c>
      <c r="X176" s="246" t="str">
        <f t="shared" si="55"/>
        <v>0.999998393134177-0.000224225978089419i</v>
      </c>
      <c r="Y176" s="246" t="str">
        <f t="shared" si="56"/>
        <v>41.1843923321428+9.31598829819957i</v>
      </c>
      <c r="Z176" s="246" t="str">
        <f t="shared" si="57"/>
        <v>25.7666364396677+5.82238956091276i</v>
      </c>
      <c r="AA176" s="246" t="str">
        <f t="shared" si="58"/>
        <v>13.6884006354758-4.72786590714224i</v>
      </c>
      <c r="AB176" s="246">
        <f t="shared" si="68"/>
        <v>23.216502610364</v>
      </c>
      <c r="AC176" s="246">
        <f t="shared" si="69"/>
        <v>-19.054509785590234</v>
      </c>
      <c r="AD176" s="248">
        <f t="shared" si="70"/>
        <v>-3.6427069692739309</v>
      </c>
      <c r="AE176" s="248">
        <f t="shared" si="71"/>
        <v>119.9039324051836</v>
      </c>
      <c r="AF176" s="246">
        <f t="shared" si="59"/>
        <v>19.573795641090069</v>
      </c>
      <c r="AG176" s="246">
        <f t="shared" si="60"/>
        <v>100.84942261959335</v>
      </c>
      <c r="AH176" s="249" t="str">
        <f t="shared" si="61"/>
        <v>0.327771331186934-0.569921294955528i</v>
      </c>
    </row>
    <row r="177" spans="9:34" x14ac:dyDescent="0.2">
      <c r="I177" s="246">
        <v>173</v>
      </c>
      <c r="J177" s="246">
        <f t="shared" si="49"/>
        <v>2.6867711971335284</v>
      </c>
      <c r="K177" s="246">
        <f t="shared" si="72"/>
        <v>486.15101534952782</v>
      </c>
      <c r="L177" s="246">
        <f t="shared" si="62"/>
        <v>3054.5769167145909</v>
      </c>
      <c r="M177" s="246">
        <f t="shared" si="50"/>
        <v>8321.236701310334</v>
      </c>
      <c r="N177" s="246">
        <f>SQRT((ABS(AC177)-171.5+'Small Signal'!C$59)^2)</f>
        <v>82.040703953325391</v>
      </c>
      <c r="O177" s="246">
        <f t="shared" si="63"/>
        <v>100.99785056994455</v>
      </c>
      <c r="P177" s="246">
        <f t="shared" si="64"/>
        <v>19.409657945482568</v>
      </c>
      <c r="Q177" s="246">
        <f t="shared" si="65"/>
        <v>486.15101534952782</v>
      </c>
      <c r="R177" s="246" t="str">
        <f t="shared" si="51"/>
        <v>0.161233333333333+0.0143565115085586i</v>
      </c>
      <c r="S177" s="246" t="str">
        <f t="shared" si="52"/>
        <v>0.025-34.8274021653468i</v>
      </c>
      <c r="T177" s="246" t="str">
        <f t="shared" si="53"/>
        <v>16.2696918801633-11.2060998856024i</v>
      </c>
      <c r="U177" s="246" t="str">
        <f t="shared" si="54"/>
        <v>83.9372627665971-10.2135107231182i</v>
      </c>
      <c r="V177" s="246">
        <f t="shared" si="66"/>
        <v>38.542926715231907</v>
      </c>
      <c r="W177" s="246">
        <f t="shared" si="67"/>
        <v>-6.9376614979681372</v>
      </c>
      <c r="X177" s="246" t="str">
        <f t="shared" si="55"/>
        <v>0.99999831934002-0.000229316893383667i</v>
      </c>
      <c r="Y177" s="246" t="str">
        <f t="shared" si="56"/>
        <v>41.2434076375821+9.52472572409659i</v>
      </c>
      <c r="Z177" s="246" t="str">
        <f t="shared" si="57"/>
        <v>25.8036146631248+5.95283751339273i</v>
      </c>
      <c r="AA177" s="246" t="str">
        <f t="shared" si="58"/>
        <v>13.6244438011007-4.81377852546645i</v>
      </c>
      <c r="AB177" s="246">
        <f t="shared" si="68"/>
        <v>23.197261941728922</v>
      </c>
      <c r="AC177" s="246">
        <f t="shared" si="69"/>
        <v>-19.459296046674609</v>
      </c>
      <c r="AD177" s="248">
        <f t="shared" si="70"/>
        <v>-3.7876039962463532</v>
      </c>
      <c r="AE177" s="248">
        <f t="shared" si="71"/>
        <v>120.45714661661916</v>
      </c>
      <c r="AF177" s="246">
        <f t="shared" si="59"/>
        <v>19.409657945482568</v>
      </c>
      <c r="AG177" s="246">
        <f t="shared" si="60"/>
        <v>100.99785056994455</v>
      </c>
      <c r="AH177" s="249" t="str">
        <f t="shared" si="61"/>
        <v>0.327745519055612-0.557354305719692i</v>
      </c>
    </row>
    <row r="178" spans="9:34" x14ac:dyDescent="0.2">
      <c r="I178" s="246">
        <v>174</v>
      </c>
      <c r="J178" s="246">
        <f t="shared" si="49"/>
        <v>2.6965213196603117</v>
      </c>
      <c r="K178" s="246">
        <f t="shared" si="72"/>
        <v>497.18878028847678</v>
      </c>
      <c r="L178" s="246">
        <f t="shared" si="62"/>
        <v>3123.9292392030966</v>
      </c>
      <c r="M178" s="246">
        <f t="shared" si="50"/>
        <v>8309.9483305904632</v>
      </c>
      <c r="N178" s="246">
        <f>SQRT((ABS(AC178)-171.5+'Small Signal'!C$59)^2)</f>
        <v>81.628504051119137</v>
      </c>
      <c r="O178" s="246">
        <f t="shared" si="63"/>
        <v>101.14477820312841</v>
      </c>
      <c r="P178" s="246">
        <f t="shared" si="64"/>
        <v>19.246417541532981</v>
      </c>
      <c r="Q178" s="246">
        <f t="shared" si="65"/>
        <v>497.18878028847678</v>
      </c>
      <c r="R178" s="246" t="str">
        <f t="shared" si="51"/>
        <v>0.161233333333333+0.0146824674242546i</v>
      </c>
      <c r="S178" s="246" t="str">
        <f t="shared" si="52"/>
        <v>0.025-34.0542216476524i</v>
      </c>
      <c r="T178" s="246" t="str">
        <f t="shared" si="53"/>
        <v>16.0326589913091-11.2933026702348i</v>
      </c>
      <c r="U178" s="246" t="str">
        <f t="shared" si="54"/>
        <v>83.919411532468-10.4474520525879i</v>
      </c>
      <c r="V178" s="246">
        <f t="shared" si="66"/>
        <v>38.544042411622961</v>
      </c>
      <c r="W178" s="246">
        <f t="shared" si="67"/>
        <v>-7.0964614268897925</v>
      </c>
      <c r="X178" s="246" t="str">
        <f t="shared" si="55"/>
        <v>0.999998242156919-0.000234523394832356i</v>
      </c>
      <c r="Y178" s="246" t="str">
        <f t="shared" si="56"/>
        <v>41.3051511416693+9.73800480585697i</v>
      </c>
      <c r="Z178" s="246" t="str">
        <f t="shared" si="57"/>
        <v>25.8423022789662+6.08612296380377i</v>
      </c>
      <c r="AA178" s="246" t="str">
        <f t="shared" si="58"/>
        <v>13.5581535994781-4.90035554769519i</v>
      </c>
      <c r="AB178" s="246">
        <f t="shared" si="68"/>
        <v>23.177228932520187</v>
      </c>
      <c r="AC178" s="246">
        <f t="shared" si="69"/>
        <v>-19.871495948880877</v>
      </c>
      <c r="AD178" s="248">
        <f t="shared" si="70"/>
        <v>-3.9308113909872064</v>
      </c>
      <c r="AE178" s="248">
        <f t="shared" si="71"/>
        <v>121.01627415200929</v>
      </c>
      <c r="AF178" s="246">
        <f t="shared" si="59"/>
        <v>19.246417541532981</v>
      </c>
      <c r="AG178" s="246">
        <f t="shared" si="60"/>
        <v>101.14477820312841</v>
      </c>
      <c r="AH178" s="249" t="str">
        <f t="shared" si="61"/>
        <v>0.32772079463326-0.545068245946164i</v>
      </c>
    </row>
    <row r="179" spans="9:34" x14ac:dyDescent="0.2">
      <c r="I179" s="246">
        <v>175</v>
      </c>
      <c r="J179" s="246">
        <f t="shared" si="49"/>
        <v>2.706271442187095</v>
      </c>
      <c r="K179" s="246">
        <f t="shared" si="72"/>
        <v>508.47715100834768</v>
      </c>
      <c r="L179" s="246">
        <f t="shared" si="62"/>
        <v>3194.8561642521859</v>
      </c>
      <c r="M179" s="246">
        <f t="shared" si="50"/>
        <v>8298.4036642368992</v>
      </c>
      <c r="N179" s="246">
        <f>SQRT((ABS(AC179)-171.5+'Small Signal'!C$59)^2)</f>
        <v>81.208828471808147</v>
      </c>
      <c r="O179" s="246">
        <f t="shared" si="63"/>
        <v>101.28997841893641</v>
      </c>
      <c r="P179" s="246">
        <f t="shared" si="64"/>
        <v>19.084081618971702</v>
      </c>
      <c r="Q179" s="246">
        <f t="shared" si="65"/>
        <v>508.47715100834768</v>
      </c>
      <c r="R179" s="246" t="str">
        <f t="shared" si="51"/>
        <v>0.161233333333333+0.0150158239719853i</v>
      </c>
      <c r="S179" s="246" t="str">
        <f t="shared" si="52"/>
        <v>0.025-33.2982060080646i</v>
      </c>
      <c r="T179" s="246" t="str">
        <f t="shared" si="53"/>
        <v>15.7920303597734-11.3760942346808i</v>
      </c>
      <c r="U179" s="246" t="str">
        <f t="shared" si="54"/>
        <v>83.9007052888565-10.6868454962658i</v>
      </c>
      <c r="V179" s="246">
        <f t="shared" si="66"/>
        <v>38.545208286702803</v>
      </c>
      <c r="W179" s="246">
        <f t="shared" si="67"/>
        <v>-7.2589563321011381</v>
      </c>
      <c r="X179" s="246" t="str">
        <f t="shared" si="55"/>
        <v>0.99999816142924-0.000239848106749254i</v>
      </c>
      <c r="Y179" s="246" t="str">
        <f t="shared" si="56"/>
        <v>41.3697497801444+9.95591439688855i</v>
      </c>
      <c r="Z179" s="246" t="str">
        <f t="shared" si="57"/>
        <v>25.8827788148341+6.22230136962656i</v>
      </c>
      <c r="AA179" s="246" t="str">
        <f t="shared" si="58"/>
        <v>13.4894704981692-4.98754383741842i</v>
      </c>
      <c r="AB179" s="246">
        <f t="shared" si="68"/>
        <v>23.156374851042088</v>
      </c>
      <c r="AC179" s="246">
        <f t="shared" si="69"/>
        <v>-20.291171528191846</v>
      </c>
      <c r="AD179" s="248">
        <f t="shared" si="70"/>
        <v>-4.0722932320703862</v>
      </c>
      <c r="AE179" s="248">
        <f t="shared" si="71"/>
        <v>121.58114994712827</v>
      </c>
      <c r="AF179" s="246">
        <f t="shared" si="59"/>
        <v>19.084081618971702</v>
      </c>
      <c r="AG179" s="246">
        <f t="shared" si="60"/>
        <v>101.28997841893641</v>
      </c>
      <c r="AH179" s="249" t="str">
        <f t="shared" si="61"/>
        <v>0.327697108065176-0.533056923025746i</v>
      </c>
    </row>
    <row r="180" spans="9:34" x14ac:dyDescent="0.2">
      <c r="I180" s="246">
        <v>176</v>
      </c>
      <c r="J180" s="246">
        <f t="shared" si="49"/>
        <v>2.7160215647138783</v>
      </c>
      <c r="K180" s="246">
        <f t="shared" si="72"/>
        <v>520.02181736191153</v>
      </c>
      <c r="L180" s="246">
        <f t="shared" si="62"/>
        <v>3267.3934422611887</v>
      </c>
      <c r="M180" s="246">
        <f t="shared" si="50"/>
        <v>8286.5968832122035</v>
      </c>
      <c r="N180" s="246">
        <f>SQRT((ABS(AC180)-171.5+'Small Signal'!C$59)^2)</f>
        <v>80.781619372079717</v>
      </c>
      <c r="O180" s="246">
        <f t="shared" si="63"/>
        <v>101.43321715392597</v>
      </c>
      <c r="P180" s="246">
        <f t="shared" si="64"/>
        <v>18.92265601279837</v>
      </c>
      <c r="Q180" s="246">
        <f t="shared" si="65"/>
        <v>520.02181736191153</v>
      </c>
      <c r="R180" s="246" t="str">
        <f t="shared" si="51"/>
        <v>0.161233333333333+0.0153567491786276i</v>
      </c>
      <c r="S180" s="246" t="str">
        <f t="shared" si="52"/>
        <v>0.025-32.5589741802818i</v>
      </c>
      <c r="T180" s="246" t="str">
        <f t="shared" si="53"/>
        <v>15.5479714853547-11.4542925360808i</v>
      </c>
      <c r="U180" s="246" t="str">
        <f t="shared" si="54"/>
        <v>83.8811014516893-10.9318243737597i</v>
      </c>
      <c r="V180" s="246">
        <f t="shared" si="66"/>
        <v>38.546426544436862</v>
      </c>
      <c r="W180" s="246">
        <f t="shared" si="67"/>
        <v>-7.4252363452438397</v>
      </c>
      <c r="X180" s="246" t="str">
        <f t="shared" si="55"/>
        <v>0.999998076994201-0.000245293713031588i</v>
      </c>
      <c r="Y180" s="246" t="str">
        <f t="shared" si="56"/>
        <v>41.4373364665278+10.1785443154005i</v>
      </c>
      <c r="Z180" s="246" t="str">
        <f t="shared" si="57"/>
        <v>25.9251275430194+6.36142878590463i</v>
      </c>
      <c r="AA180" s="246" t="str">
        <f t="shared" si="58"/>
        <v>13.4183355874704-5.07528636646297i</v>
      </c>
      <c r="AB180" s="246">
        <f t="shared" si="68"/>
        <v>23.134670247623767</v>
      </c>
      <c r="AC180" s="246">
        <f t="shared" si="69"/>
        <v>-20.718380627920276</v>
      </c>
      <c r="AD180" s="248">
        <f t="shared" si="70"/>
        <v>-4.2120142348253982</v>
      </c>
      <c r="AE180" s="248">
        <f t="shared" si="71"/>
        <v>122.15159778184625</v>
      </c>
      <c r="AF180" s="246">
        <f t="shared" si="59"/>
        <v>18.92265601279837</v>
      </c>
      <c r="AG180" s="246">
        <f t="shared" si="60"/>
        <v>101.43321715392597</v>
      </c>
      <c r="AH180" s="249" t="str">
        <f t="shared" si="61"/>
        <v>0.327674411589417-0.521314282818417i</v>
      </c>
    </row>
    <row r="181" spans="9:34" x14ac:dyDescent="0.2">
      <c r="I181" s="246">
        <v>177</v>
      </c>
      <c r="J181" s="246">
        <f t="shared" si="49"/>
        <v>2.7257716872406617</v>
      </c>
      <c r="K181" s="246">
        <f t="shared" si="72"/>
        <v>531.82859838660806</v>
      </c>
      <c r="L181" s="246">
        <f t="shared" si="62"/>
        <v>3341.5776353206488</v>
      </c>
      <c r="M181" s="246">
        <f t="shared" si="50"/>
        <v>8274.5220363612061</v>
      </c>
      <c r="N181" s="246">
        <f>SQRT((ABS(AC181)-171.5+'Small Signal'!C$59)^2)</f>
        <v>80.346823413152634</v>
      </c>
      <c r="O181" s="246">
        <f t="shared" si="63"/>
        <v>101.5742537347159</v>
      </c>
      <c r="P181" s="246">
        <f t="shared" si="64"/>
        <v>18.762145113542754</v>
      </c>
      <c r="Q181" s="246">
        <f t="shared" si="65"/>
        <v>531.82859838660806</v>
      </c>
      <c r="R181" s="246" t="str">
        <f t="shared" si="51"/>
        <v>0.161233333333333+0.015705414886007i</v>
      </c>
      <c r="S181" s="246" t="str">
        <f t="shared" si="52"/>
        <v>0.025-31.8361535578077i</v>
      </c>
      <c r="T181" s="246" t="str">
        <f t="shared" si="53"/>
        <v>15.3006596268677-11.5277226210479i</v>
      </c>
      <c r="U181" s="246" t="str">
        <f t="shared" si="54"/>
        <v>83.8605551679966-11.1825256636588i</v>
      </c>
      <c r="V181" s="246">
        <f t="shared" si="66"/>
        <v>38.547699480428399</v>
      </c>
      <c r="W181" s="246">
        <f t="shared" si="67"/>
        <v>-7.5953940792451968</v>
      </c>
      <c r="X181" s="246" t="str">
        <f t="shared" si="55"/>
        <v>0.999997988681543-0.000250862958512847i</v>
      </c>
      <c r="Y181" s="246" t="str">
        <f t="shared" si="56"/>
        <v>41.5080503796637+10.4059852859647i</v>
      </c>
      <c r="Z181" s="246" t="str">
        <f t="shared" si="57"/>
        <v>25.9694356605357+6.50356182833023i</v>
      </c>
      <c r="AA181" s="246" t="str">
        <f t="shared" si="58"/>
        <v>13.3446907959854-5.1635221181641i</v>
      </c>
      <c r="AB181" s="246">
        <f t="shared" si="68"/>
        <v>23.112084963747911</v>
      </c>
      <c r="AC181" s="246">
        <f t="shared" si="69"/>
        <v>-21.153176586847376</v>
      </c>
      <c r="AD181" s="248">
        <f t="shared" si="70"/>
        <v>-4.3499398502051569</v>
      </c>
      <c r="AE181" s="248">
        <f t="shared" si="71"/>
        <v>122.72743032156328</v>
      </c>
      <c r="AF181" s="246">
        <f t="shared" si="59"/>
        <v>18.762145113542754</v>
      </c>
      <c r="AG181" s="246">
        <f t="shared" si="60"/>
        <v>101.5742537347159</v>
      </c>
      <c r="AH181" s="249" t="str">
        <f t="shared" si="61"/>
        <v>0.327652659440502-0.50983440660229i</v>
      </c>
    </row>
    <row r="182" spans="9:34" x14ac:dyDescent="0.2">
      <c r="I182" s="246">
        <v>178</v>
      </c>
      <c r="J182" s="246">
        <f t="shared" si="49"/>
        <v>2.7355218097674454</v>
      </c>
      <c r="K182" s="246">
        <f t="shared" si="72"/>
        <v>543.90344523760564</v>
      </c>
      <c r="L182" s="246">
        <f t="shared" si="62"/>
        <v>3417.4461356412803</v>
      </c>
      <c r="M182" s="246">
        <f t="shared" si="50"/>
        <v>8262.1730374113613</v>
      </c>
      <c r="N182" s="246">
        <f>SQRT((ABS(AC182)-171.5+'Small Signal'!C$59)^2)</f>
        <v>79.904392079935775</v>
      </c>
      <c r="O182" s="246">
        <f t="shared" si="63"/>
        <v>101.71284128270746</v>
      </c>
      <c r="P182" s="246">
        <f t="shared" si="64"/>
        <v>18.602551778978118</v>
      </c>
      <c r="Q182" s="246">
        <f t="shared" si="65"/>
        <v>543.90344523760564</v>
      </c>
      <c r="R182" s="246" t="str">
        <f t="shared" si="51"/>
        <v>0.161233333333333+0.016061996837514i</v>
      </c>
      <c r="S182" s="246" t="str">
        <f t="shared" si="52"/>
        <v>0.025-31.1293798061404i</v>
      </c>
      <c r="T182" s="246" t="str">
        <f t="shared" si="53"/>
        <v>15.0502834383647-11.5962175235983i</v>
      </c>
      <c r="U182" s="246" t="str">
        <f t="shared" si="54"/>
        <v>83.8390191820885-11.43909012671i</v>
      </c>
      <c r="V182" s="246">
        <f t="shared" si="66"/>
        <v>38.549029485207427</v>
      </c>
      <c r="W182" s="246">
        <f t="shared" si="67"/>
        <v>-7.769524714959938</v>
      </c>
      <c r="X182" s="246" t="str">
        <f t="shared" si="55"/>
        <v>0.999997896313189-0.000256558650346306i</v>
      </c>
      <c r="Y182" s="246" t="str">
        <f t="shared" si="56"/>
        <v>41.582037265565+10.6383288733162i</v>
      </c>
      <c r="Z182" s="246" t="str">
        <f t="shared" si="57"/>
        <v>26.0157944781453+6.64875763145125i</v>
      </c>
      <c r="AA182" s="246" t="str">
        <f t="shared" si="58"/>
        <v>13.2684791204039-5.25218600025326i</v>
      </c>
      <c r="AB182" s="246">
        <f t="shared" si="68"/>
        <v>23.088588143906197</v>
      </c>
      <c r="AC182" s="246">
        <f t="shared" si="69"/>
        <v>-21.595607920064214</v>
      </c>
      <c r="AD182" s="248">
        <f t="shared" si="70"/>
        <v>-4.4860363649280801</v>
      </c>
      <c r="AE182" s="248">
        <f t="shared" si="71"/>
        <v>123.30844920277167</v>
      </c>
      <c r="AF182" s="246">
        <f t="shared" si="59"/>
        <v>18.602551778978118</v>
      </c>
      <c r="AG182" s="246">
        <f t="shared" si="60"/>
        <v>101.71284128270746</v>
      </c>
      <c r="AH182" s="249" t="str">
        <f t="shared" si="61"/>
        <v>0.327631807757133-0.498611508090778i</v>
      </c>
    </row>
    <row r="183" spans="9:34" x14ac:dyDescent="0.2">
      <c r="I183" s="246">
        <v>179</v>
      </c>
      <c r="J183" s="246">
        <f t="shared" si="49"/>
        <v>2.7452719322942287</v>
      </c>
      <c r="K183" s="246">
        <f t="shared" si="72"/>
        <v>556.25244418745012</v>
      </c>
      <c r="L183" s="246">
        <f t="shared" si="62"/>
        <v>3495.0371844013193</v>
      </c>
      <c r="M183" s="246">
        <f t="shared" si="50"/>
        <v>8249.5436619049815</v>
      </c>
      <c r="N183" s="246">
        <f>SQRT((ABS(AC183)-171.5+'Small Signal'!C$59)^2)</f>
        <v>79.454282006641392</v>
      </c>
      <c r="O183" s="246">
        <f t="shared" si="63"/>
        <v>101.84872717097039</v>
      </c>
      <c r="P183" s="246">
        <f t="shared" si="64"/>
        <v>18.443877247977078</v>
      </c>
      <c r="Q183" s="246">
        <f t="shared" si="65"/>
        <v>556.25244418745012</v>
      </c>
      <c r="R183" s="246" t="str">
        <f t="shared" si="51"/>
        <v>0.161233333333333+0.0164266747666862i</v>
      </c>
      <c r="S183" s="246" t="str">
        <f t="shared" si="52"/>
        <v>0.025-30.4382966791316i</v>
      </c>
      <c r="T183" s="246" t="str">
        <f t="shared" si="53"/>
        <v>14.7970425254231-11.6596191440833i</v>
      </c>
      <c r="U183" s="246" t="str">
        <f t="shared" si="54"/>
        <v>83.8164436927716-11.7016624340951i</v>
      </c>
      <c r="V183" s="246">
        <f t="shared" si="66"/>
        <v>38.55041904758081</v>
      </c>
      <c r="W183" s="246">
        <f t="shared" si="67"/>
        <v>-7.9477260918874064</v>
      </c>
      <c r="X183" s="246" t="str">
        <f t="shared" si="55"/>
        <v>0.999997799702886-0.000262383659419959i</v>
      </c>
      <c r="Y183" s="246" t="str">
        <f t="shared" si="56"/>
        <v>41.6594497542838+10.8756674076727i</v>
      </c>
      <c r="Z183" s="246" t="str">
        <f t="shared" si="57"/>
        <v>26.0642996187892+6.79707380154715i</v>
      </c>
      <c r="AA183" s="246" t="str">
        <f t="shared" si="58"/>
        <v>13.1896448694217-5.34120876883125i</v>
      </c>
      <c r="AB183" s="246">
        <f t="shared" si="68"/>
        <v>23.064148250357128</v>
      </c>
      <c r="AC183" s="246">
        <f t="shared" si="69"/>
        <v>-22.045717993358604</v>
      </c>
      <c r="AD183" s="248">
        <f t="shared" si="70"/>
        <v>-4.6202710023800524</v>
      </c>
      <c r="AE183" s="248">
        <f t="shared" si="71"/>
        <v>123.894445164329</v>
      </c>
      <c r="AF183" s="246">
        <f t="shared" si="59"/>
        <v>18.443877247977078</v>
      </c>
      <c r="AG183" s="246">
        <f t="shared" si="60"/>
        <v>101.84872717097039</v>
      </c>
      <c r="AH183" s="249" t="str">
        <f t="shared" si="61"/>
        <v>0.327611814493753-0.487639930516464i</v>
      </c>
    </row>
    <row r="184" spans="9:34" x14ac:dyDescent="0.2">
      <c r="I184" s="246">
        <v>180</v>
      </c>
      <c r="J184" s="246">
        <f t="shared" si="49"/>
        <v>2.755022054821012</v>
      </c>
      <c r="K184" s="246">
        <f t="shared" si="72"/>
        <v>568.88181969383027</v>
      </c>
      <c r="L184" s="246">
        <f t="shared" si="62"/>
        <v>3574.3898910218609</v>
      </c>
      <c r="M184" s="246">
        <f t="shared" si="50"/>
        <v>8236.6275440618301</v>
      </c>
      <c r="N184" s="246">
        <f>SQRT((ABS(AC184)-171.5+'Small Signal'!C$59)^2)</f>
        <v>78.996455307902465</v>
      </c>
      <c r="O184" s="246">
        <f t="shared" si="63"/>
        <v>101.98165353363994</v>
      </c>
      <c r="P184" s="246">
        <f t="shared" si="64"/>
        <v>18.286121057229334</v>
      </c>
      <c r="Q184" s="246">
        <f t="shared" si="65"/>
        <v>568.88181969383027</v>
      </c>
      <c r="R184" s="246" t="str">
        <f t="shared" si="51"/>
        <v>0.161233333333333+0.0167996324878027i</v>
      </c>
      <c r="S184" s="246" t="str">
        <f t="shared" si="52"/>
        <v>0.025-29.7625558394222i</v>
      </c>
      <c r="T184" s="246" t="str">
        <f t="shared" si="53"/>
        <v>14.5411469222964-11.7177791010216i</v>
      </c>
      <c r="U184" s="246" t="str">
        <f t="shared" si="54"/>
        <v>83.7927762009365-11.9703913010281i</v>
      </c>
      <c r="V184" s="246">
        <f t="shared" si="66"/>
        <v>38.551870758038703</v>
      </c>
      <c r="W184" s="246">
        <f t="shared" si="67"/>
        <v>-8.1300988032046995</v>
      </c>
      <c r="X184" s="246" t="str">
        <f t="shared" si="55"/>
        <v>0.999997698655824-0.000268340921803576i</v>
      </c>
      <c r="Y184" s="246" t="str">
        <f t="shared" si="56"/>
        <v>41.7404476925956+11.1180939007789i</v>
      </c>
      <c r="Z184" s="246" t="str">
        <f t="shared" si="57"/>
        <v>26.1150512259144+6.94856836367521i</v>
      </c>
      <c r="AA184" s="246" t="str">
        <f t="shared" si="58"/>
        <v>13.1081339216052-5.43051696495857i</v>
      </c>
      <c r="AB184" s="246">
        <f t="shared" si="68"/>
        <v>23.038733080956764</v>
      </c>
      <c r="AC184" s="246">
        <f t="shared" si="69"/>
        <v>-22.503544692097535</v>
      </c>
      <c r="AD184" s="248">
        <f t="shared" si="70"/>
        <v>-4.7526120237274307</v>
      </c>
      <c r="AE184" s="248">
        <f t="shared" si="71"/>
        <v>124.48519822573748</v>
      </c>
      <c r="AF184" s="246">
        <f t="shared" si="59"/>
        <v>18.286121057229334</v>
      </c>
      <c r="AG184" s="246">
        <f t="shared" si="60"/>
        <v>101.98165353363994</v>
      </c>
      <c r="AH184" s="249" t="str">
        <f t="shared" si="61"/>
        <v>0.327592639335767-0.476914143780221i</v>
      </c>
    </row>
    <row r="185" spans="9:34" x14ac:dyDescent="0.2">
      <c r="I185" s="246">
        <v>181</v>
      </c>
      <c r="J185" s="246">
        <f t="shared" si="49"/>
        <v>2.7647721773477953</v>
      </c>
      <c r="K185" s="246">
        <f t="shared" si="72"/>
        <v>581.79793753698118</v>
      </c>
      <c r="L185" s="246">
        <f t="shared" si="62"/>
        <v>3655.5442528797466</v>
      </c>
      <c r="M185" s="246">
        <f t="shared" si="50"/>
        <v>8223.4181735704788</v>
      </c>
      <c r="N185" s="246">
        <f>SQRT((ABS(AC185)-171.5+'Small Signal'!C$59)^2)</f>
        <v>78.53087991431039</v>
      </c>
      <c r="O185" s="246">
        <f t="shared" si="63"/>
        <v>102.11135782772067</v>
      </c>
      <c r="P185" s="246">
        <f t="shared" si="64"/>
        <v>18.129280961569957</v>
      </c>
      <c r="Q185" s="246">
        <f t="shared" si="65"/>
        <v>581.79793753698118</v>
      </c>
      <c r="R185" s="246" t="str">
        <f t="shared" si="51"/>
        <v>0.161233333333333+0.0171810579885348i</v>
      </c>
      <c r="S185" s="246" t="str">
        <f t="shared" si="52"/>
        <v>0.025-29.1018166828642i</v>
      </c>
      <c r="T185" s="246" t="str">
        <f t="shared" si="53"/>
        <v>14.2828164916555-11.7705595477042i</v>
      </c>
      <c r="U185" s="246" t="str">
        <f t="shared" si="54"/>
        <v>83.7679613467709-12.2454296258871i</v>
      </c>
      <c r="V185" s="246">
        <f t="shared" si="66"/>
        <v>38.553387312208955</v>
      </c>
      <c r="W185" s="246">
        <f t="shared" si="67"/>
        <v>-8.3167462953678406</v>
      </c>
      <c r="X185" s="246" t="str">
        <f t="shared" si="55"/>
        <v>0.999997592968248-0.000274433440228615i</v>
      </c>
      <c r="Y185" s="246" t="str">
        <f t="shared" si="56"/>
        <v>41.825198493305+11.3657019518155i</v>
      </c>
      <c r="Z185" s="246" t="str">
        <f t="shared" si="57"/>
        <v>26.1681541822035+7.10329970234713i</v>
      </c>
      <c r="AA185" s="246" t="str">
        <f t="shared" si="58"/>
        <v>13.0238939968665-5.52003286545805i</v>
      </c>
      <c r="AB185" s="246">
        <f t="shared" si="68"/>
        <v>23.01230979023245</v>
      </c>
      <c r="AC185" s="246">
        <f t="shared" si="69"/>
        <v>-22.969120085689614</v>
      </c>
      <c r="AD185" s="248">
        <f t="shared" si="70"/>
        <v>-4.8830288286624937</v>
      </c>
      <c r="AE185" s="248">
        <f t="shared" si="71"/>
        <v>125.08047791341028</v>
      </c>
      <c r="AF185" s="246">
        <f t="shared" si="59"/>
        <v>18.129280961569957</v>
      </c>
      <c r="AG185" s="246">
        <f t="shared" si="60"/>
        <v>102.11135782772067</v>
      </c>
      <c r="AH185" s="249" t="str">
        <f t="shared" si="61"/>
        <v>0.327574243618252-0.466428741664114i</v>
      </c>
    </row>
    <row r="186" spans="9:34" x14ac:dyDescent="0.2">
      <c r="I186" s="246">
        <v>182</v>
      </c>
      <c r="J186" s="246">
        <f t="shared" si="49"/>
        <v>2.7745222998745787</v>
      </c>
      <c r="K186" s="246">
        <f t="shared" si="72"/>
        <v>595.00730802833243</v>
      </c>
      <c r="L186" s="246">
        <f t="shared" si="62"/>
        <v>3738.5411754680968</v>
      </c>
      <c r="M186" s="246">
        <f t="shared" si="50"/>
        <v>8209.908892306812</v>
      </c>
      <c r="N186" s="246">
        <f>SQRT((ABS(AC186)-171.5+'Small Signal'!C$59)^2)</f>
        <v>78.05752991115844</v>
      </c>
      <c r="O186" s="246">
        <f t="shared" si="63"/>
        <v>102.23757344671314</v>
      </c>
      <c r="P186" s="246">
        <f t="shared" si="64"/>
        <v>17.973352858686397</v>
      </c>
      <c r="Q186" s="246">
        <f t="shared" si="65"/>
        <v>595.00730802833243</v>
      </c>
      <c r="R186" s="246" t="str">
        <f t="shared" si="51"/>
        <v>0.161233333333333+0.0175711435247001i</v>
      </c>
      <c r="S186" s="246" t="str">
        <f t="shared" si="52"/>
        <v>0.025-28.4557461668412i</v>
      </c>
      <c r="T186" s="246" t="str">
        <f t="shared" si="53"/>
        <v>14.0222802495849-11.8178339455439i</v>
      </c>
      <c r="U186" s="246" t="str">
        <f t="shared" si="54"/>
        <v>83.7419407358135-12.5269346351065i</v>
      </c>
      <c r="V186" s="246">
        <f t="shared" si="66"/>
        <v>38.554971514352388</v>
      </c>
      <c r="W186" s="246">
        <f t="shared" si="67"/>
        <v>-8.5077749725528964</v>
      </c>
      <c r="X186" s="246" t="str">
        <f t="shared" si="55"/>
        <v>0.999997482427046-0.00028066428560174i</v>
      </c>
      <c r="Y186" s="246" t="str">
        <f t="shared" si="56"/>
        <v>41.9138775020411+11.6185856422297i</v>
      </c>
      <c r="Z186" s="246" t="str">
        <f t="shared" si="57"/>
        <v>26.2237183392485+7.26132649524386i</v>
      </c>
      <c r="AA186" s="246" t="str">
        <f t="shared" si="58"/>
        <v>12.9368749410567-5.60967444957206i</v>
      </c>
      <c r="AB186" s="246">
        <f t="shared" si="68"/>
        <v>22.984844913861746</v>
      </c>
      <c r="AC186" s="246">
        <f t="shared" si="69"/>
        <v>-23.442470088841574</v>
      </c>
      <c r="AD186" s="248">
        <f t="shared" si="70"/>
        <v>-5.0114920551753492</v>
      </c>
      <c r="AE186" s="248">
        <f t="shared" si="71"/>
        <v>125.68004353555472</v>
      </c>
      <c r="AF186" s="246">
        <f t="shared" si="59"/>
        <v>17.973352858686397</v>
      </c>
      <c r="AG186" s="246">
        <f t="shared" si="60"/>
        <v>102.23757344671314</v>
      </c>
      <c r="AH186" s="249" t="str">
        <f t="shared" si="61"/>
        <v>0.32755659024801-0.456178439106754i</v>
      </c>
    </row>
    <row r="187" spans="9:34" x14ac:dyDescent="0.2">
      <c r="I187" s="246">
        <v>183</v>
      </c>
      <c r="J187" s="246">
        <f t="shared" si="49"/>
        <v>2.7842724224013624</v>
      </c>
      <c r="K187" s="246">
        <f t="shared" si="72"/>
        <v>608.51658929199937</v>
      </c>
      <c r="L187" s="246">
        <f t="shared" si="62"/>
        <v>3823.4224930145251</v>
      </c>
      <c r="M187" s="246">
        <f t="shared" si="50"/>
        <v>8196.0928909780341</v>
      </c>
      <c r="N187" s="246">
        <f>SQRT((ABS(AC187)-171.5+'Small Signal'!C$59)^2)</f>
        <v>77.576385879051315</v>
      </c>
      <c r="O187" s="246">
        <f t="shared" si="63"/>
        <v>102.36003038498598</v>
      </c>
      <c r="P187" s="246">
        <f t="shared" si="64"/>
        <v>17.818330718986264</v>
      </c>
      <c r="Q187" s="246">
        <f t="shared" si="65"/>
        <v>608.51658929199937</v>
      </c>
      <c r="R187" s="246" t="str">
        <f t="shared" si="51"/>
        <v>0.161233333333333+0.0179700857171683i</v>
      </c>
      <c r="S187" s="246" t="str">
        <f t="shared" si="52"/>
        <v>0.025-27.8240186423991i</v>
      </c>
      <c r="T187" s="246" t="str">
        <f t="shared" si="53"/>
        <v>13.7597756194338-11.8594877863568i</v>
      </c>
      <c r="U187" s="246" t="str">
        <f t="shared" si="54"/>
        <v>83.7146527529751-12.8150680340513i</v>
      </c>
      <c r="V187" s="246">
        <f t="shared" si="66"/>
        <v>38.556626280887969</v>
      </c>
      <c r="W187" s="246">
        <f t="shared" si="67"/>
        <v>-8.70329430622483</v>
      </c>
      <c r="X187" s="246" t="str">
        <f t="shared" si="55"/>
        <v>0.999997366809319-0.000287036598552692i</v>
      </c>
      <c r="Y187" s="246" t="str">
        <f t="shared" si="56"/>
        <v>42.0066683824405+11.876839418455i</v>
      </c>
      <c r="Z187" s="246" t="str">
        <f t="shared" si="57"/>
        <v>26.2818587587319+7.42270763932069i</v>
      </c>
      <c r="AA187" s="246" t="str">
        <f t="shared" si="58"/>
        <v>12.8470290230229-5.69935538315323i</v>
      </c>
      <c r="AB187" s="246">
        <f t="shared" si="68"/>
        <v>22.956304396714906</v>
      </c>
      <c r="AC187" s="246">
        <f t="shared" si="69"/>
        <v>-23.923614120948685</v>
      </c>
      <c r="AD187" s="248">
        <f t="shared" si="70"/>
        <v>-5.1379736777286418</v>
      </c>
      <c r="AE187" s="248">
        <f t="shared" si="71"/>
        <v>126.28364450593466</v>
      </c>
      <c r="AF187" s="246">
        <f t="shared" si="59"/>
        <v>17.818330718986264</v>
      </c>
      <c r="AG187" s="246">
        <f t="shared" si="60"/>
        <v>102.36003038498598</v>
      </c>
      <c r="AH187" s="249" t="str">
        <f t="shared" si="61"/>
        <v>0.327539643628761-0.446158069539628i</v>
      </c>
    </row>
    <row r="188" spans="9:34" x14ac:dyDescent="0.2">
      <c r="I188" s="246">
        <v>184</v>
      </c>
      <c r="J188" s="246">
        <f t="shared" si="49"/>
        <v>2.7940225449281457</v>
      </c>
      <c r="K188" s="246">
        <f t="shared" si="72"/>
        <v>622.33259062077764</v>
      </c>
      <c r="L188" s="246">
        <f t="shared" si="62"/>
        <v>3910.2309895674784</v>
      </c>
      <c r="M188" s="246">
        <f t="shared" si="50"/>
        <v>8181.9632056904675</v>
      </c>
      <c r="N188" s="246">
        <f>SQRT((ABS(AC188)-171.5+'Small Signal'!C$59)^2)</f>
        <v>77.087435234891899</v>
      </c>
      <c r="O188" s="246">
        <f t="shared" si="63"/>
        <v>102.47845595126817</v>
      </c>
      <c r="P188" s="246">
        <f t="shared" si="64"/>
        <v>17.664206521414414</v>
      </c>
      <c r="Q188" s="246">
        <f t="shared" si="65"/>
        <v>622.33259062077764</v>
      </c>
      <c r="R188" s="246" t="str">
        <f t="shared" si="51"/>
        <v>0.161233333333333+0.0183780856509671i</v>
      </c>
      <c r="S188" s="246" t="str">
        <f t="shared" si="52"/>
        <v>0.025-27.2063156901049i</v>
      </c>
      <c r="T188" s="246" t="str">
        <f t="shared" si="53"/>
        <v>13.4955476190487-11.8954192561013i</v>
      </c>
      <c r="U188" s="246" t="str">
        <f t="shared" si="54"/>
        <v>83.6860323635971-13.1099961640964i</v>
      </c>
      <c r="V188" s="246">
        <f t="shared" si="66"/>
        <v>38.558354643937029</v>
      </c>
      <c r="W188" s="246">
        <f t="shared" si="67"/>
        <v>-8.903416950139535</v>
      </c>
      <c r="X188" s="246" t="str">
        <f t="shared" si="55"/>
        <v>0.999997245881932-0.000293553591017312i</v>
      </c>
      <c r="Y188" s="246" t="str">
        <f t="shared" si="56"/>
        <v>42.1037635206676+12.1405579613967i</v>
      </c>
      <c r="Z188" s="246" t="str">
        <f t="shared" si="57"/>
        <v>26.3426959657063+7.58750216859733i</v>
      </c>
      <c r="AA188" s="246" t="str">
        <f t="shared" si="58"/>
        <v>12.7543112432896-5.78898502209115i</v>
      </c>
      <c r="AB188" s="246">
        <f t="shared" si="68"/>
        <v>22.926653624607813</v>
      </c>
      <c r="AC188" s="246">
        <f t="shared" si="69"/>
        <v>-24.412564765108112</v>
      </c>
      <c r="AD188" s="248">
        <f t="shared" si="70"/>
        <v>-5.2624471031933986</v>
      </c>
      <c r="AE188" s="248">
        <f t="shared" si="71"/>
        <v>126.89102071637629</v>
      </c>
      <c r="AF188" s="246">
        <f t="shared" si="59"/>
        <v>17.664206521414414</v>
      </c>
      <c r="AG188" s="246">
        <f t="shared" si="60"/>
        <v>102.47845595126817</v>
      </c>
      <c r="AH188" s="249" t="str">
        <f t="shared" si="61"/>
        <v>0.327523369589369-0.436362582283146i</v>
      </c>
    </row>
    <row r="189" spans="9:34" x14ac:dyDescent="0.2">
      <c r="I189" s="246">
        <v>185</v>
      </c>
      <c r="J189" s="246">
        <f t="shared" si="49"/>
        <v>2.803772667454929</v>
      </c>
      <c r="K189" s="246">
        <f t="shared" si="72"/>
        <v>636.46227590834371</v>
      </c>
      <c r="L189" s="246">
        <f t="shared" si="62"/>
        <v>3999.0104205613852</v>
      </c>
      <c r="M189" s="246">
        <f t="shared" si="50"/>
        <v>8167.5127144394437</v>
      </c>
      <c r="N189" s="246">
        <f>SQRT((ABS(AC189)-171.5+'Small Signal'!C$59)^2)</f>
        <v>76.590672571628602</v>
      </c>
      <c r="O189" s="246">
        <f t="shared" si="63"/>
        <v>102.59257552909877</v>
      </c>
      <c r="P189" s="246">
        <f t="shared" si="64"/>
        <v>17.51097019600466</v>
      </c>
      <c r="Q189" s="246">
        <f t="shared" si="65"/>
        <v>636.46227590834371</v>
      </c>
      <c r="R189" s="246" t="str">
        <f t="shared" si="51"/>
        <v>0.161233333333333+0.0187953489766385i</v>
      </c>
      <c r="S189" s="246" t="str">
        <f t="shared" si="52"/>
        <v>0.025-26.6023259595483i</v>
      </c>
      <c r="T189" s="246" t="str">
        <f t="shared" si="53"/>
        <v>13.2298479867908-11.9255398330604i</v>
      </c>
      <c r="U189" s="246" t="str">
        <f t="shared" si="54"/>
        <v>83.6560109005287-13.4118901661365i</v>
      </c>
      <c r="V189" s="246">
        <f t="shared" si="66"/>
        <v>38.560159754872927</v>
      </c>
      <c r="W189" s="246">
        <f t="shared" si="67"/>
        <v>-9.1082588611082258</v>
      </c>
      <c r="X189" s="246" t="str">
        <f t="shared" si="55"/>
        <v>0.999997119401041-0.000300218547856503i</v>
      </c>
      <c r="Y189" s="246" t="str">
        <f t="shared" si="56"/>
        <v>42.2053644502694+12.4098360414476i</v>
      </c>
      <c r="Z189" s="246" t="str">
        <f t="shared" si="57"/>
        <v>26.4063562145973+7.75576916285754i</v>
      </c>
      <c r="AA189" s="246" t="str">
        <f t="shared" si="58"/>
        <v>12.6586796533361-5.87846843668073i</v>
      </c>
      <c r="AB189" s="246">
        <f t="shared" si="68"/>
        <v>22.895857459902142</v>
      </c>
      <c r="AC189" s="246">
        <f t="shared" si="69"/>
        <v>-24.909327428371398</v>
      </c>
      <c r="AD189" s="248">
        <f t="shared" si="70"/>
        <v>-5.3848872638974825</v>
      </c>
      <c r="AE189" s="248">
        <f t="shared" si="71"/>
        <v>127.50190295747016</v>
      </c>
      <c r="AF189" s="246">
        <f t="shared" si="59"/>
        <v>17.51097019600466</v>
      </c>
      <c r="AG189" s="246">
        <f t="shared" si="60"/>
        <v>102.59257552909877</v>
      </c>
      <c r="AH189" s="249" t="str">
        <f t="shared" si="61"/>
        <v>0.327507735314969-0.426787040001087i</v>
      </c>
    </row>
    <row r="190" spans="9:34" x14ac:dyDescent="0.2">
      <c r="I190" s="246">
        <v>186</v>
      </c>
      <c r="J190" s="246">
        <f t="shared" si="49"/>
        <v>2.8135227899817123</v>
      </c>
      <c r="K190" s="246">
        <f t="shared" si="72"/>
        <v>650.91276715936772</v>
      </c>
      <c r="L190" s="246">
        <f t="shared" si="62"/>
        <v>4089.8055348713465</v>
      </c>
      <c r="M190" s="246">
        <f t="shared" si="50"/>
        <v>8152.7341335194797</v>
      </c>
      <c r="N190" s="246">
        <f>SQRT((ABS(AC190)-171.5+'Small Signal'!C$59)^2)</f>
        <v>76.086099995006208</v>
      </c>
      <c r="O190" s="246">
        <f t="shared" si="63"/>
        <v>102.70211338149953</v>
      </c>
      <c r="P190" s="246">
        <f t="shared" si="64"/>
        <v>17.358609573936654</v>
      </c>
      <c r="Q190" s="246">
        <f t="shared" si="65"/>
        <v>650.91276715936772</v>
      </c>
      <c r="R190" s="246" t="str">
        <f t="shared" si="51"/>
        <v>0.161233333333333+0.0192220860138953i</v>
      </c>
      <c r="S190" s="246" t="str">
        <f t="shared" si="52"/>
        <v>0.025-26.011745012407i</v>
      </c>
      <c r="T190" s="246" t="str">
        <f t="shared" si="53"/>
        <v>12.9629342525797-11.9497748140299i</v>
      </c>
      <c r="U190" s="246" t="str">
        <f t="shared" si="54"/>
        <v>83.6245158361188-13.7209261507396i</v>
      </c>
      <c r="V190" s="246">
        <f t="shared" si="66"/>
        <v>38.562044887860537</v>
      </c>
      <c r="W190" s="246">
        <f t="shared" si="67"/>
        <v>-9.3179394258685218</v>
      </c>
      <c r="X190" s="246" t="str">
        <f t="shared" si="55"/>
        <v>0.999996987111606-0.000307034828511949i</v>
      </c>
      <c r="Y190" s="246" t="str">
        <f t="shared" si="56"/>
        <v>42.3116822984067+12.6847683576896i</v>
      </c>
      <c r="Z190" s="246" t="str">
        <f t="shared" si="57"/>
        <v>26.4729717685809+7.92756764641466i</v>
      </c>
      <c r="AA190" s="246" t="str">
        <f t="shared" si="58"/>
        <v>12.5600956842377-5.96770645862421i</v>
      </c>
      <c r="AB190" s="246">
        <f t="shared" si="68"/>
        <v>22.863880281074987</v>
      </c>
      <c r="AC190" s="246">
        <f t="shared" si="69"/>
        <v>-25.413900004993781</v>
      </c>
      <c r="AD190" s="248">
        <f t="shared" si="70"/>
        <v>-5.5052707071383313</v>
      </c>
      <c r="AE190" s="248">
        <f t="shared" si="71"/>
        <v>128.11601338649331</v>
      </c>
      <c r="AF190" s="246">
        <f t="shared" si="59"/>
        <v>17.358609573936654</v>
      </c>
      <c r="AG190" s="246">
        <f t="shared" si="60"/>
        <v>102.70211338149953</v>
      </c>
      <c r="AH190" s="249" t="str">
        <f t="shared" si="61"/>
        <v>0.32749270928077-0.417426616212084i</v>
      </c>
    </row>
    <row r="191" spans="9:34" x14ac:dyDescent="0.2">
      <c r="I191" s="246">
        <v>187</v>
      </c>
      <c r="J191" s="246">
        <f t="shared" si="49"/>
        <v>2.8232729125084957</v>
      </c>
      <c r="K191" s="246">
        <f t="shared" si="72"/>
        <v>665.6913480793321</v>
      </c>
      <c r="L191" s="246">
        <f t="shared" si="62"/>
        <v>4182.6620973686313</v>
      </c>
      <c r="M191" s="246">
        <f t="shared" si="50"/>
        <v>8137.6200138529612</v>
      </c>
      <c r="N191" s="246">
        <f>SQRT((ABS(AC191)-171.5+'Small Signal'!C$59)^2)</f>
        <v>75.57372745543239</v>
      </c>
      <c r="O191" s="246">
        <f t="shared" si="63"/>
        <v>102.80679349657771</v>
      </c>
      <c r="P191" s="246">
        <f t="shared" si="64"/>
        <v>17.207110345851717</v>
      </c>
      <c r="Q191" s="246">
        <f t="shared" si="65"/>
        <v>665.6913480793321</v>
      </c>
      <c r="R191" s="246" t="str">
        <f t="shared" si="51"/>
        <v>0.161233333333333+0.0196585118576326i</v>
      </c>
      <c r="S191" s="246" t="str">
        <f t="shared" si="52"/>
        <v>0.025-25.4342751689962i</v>
      </c>
      <c r="T191" s="246" t="str">
        <f t="shared" si="53"/>
        <v>12.6950687609616-11.9680637627589i</v>
      </c>
      <c r="U191" s="246" t="str">
        <f t="shared" si="54"/>
        <v>83.59147053793-14.0372853751598i</v>
      </c>
      <c r="V191" s="246">
        <f t="shared" si="66"/>
        <v>38.564013443368339</v>
      </c>
      <c r="W191" s="246">
        <f t="shared" si="67"/>
        <v>-9.5325815944347667</v>
      </c>
      <c r="X191" s="246" t="str">
        <f t="shared" si="55"/>
        <v>0.999996848746874-0.000314005868699429i</v>
      </c>
      <c r="Y191" s="246" t="str">
        <f t="shared" si="56"/>
        <v>42.4229382545619+12.9654493598017i</v>
      </c>
      <c r="Z191" s="246" t="str">
        <f t="shared" si="57"/>
        <v>26.5426811930214+8.10295647601444i</v>
      </c>
      <c r="AA191" s="246" t="str">
        <f t="shared" si="58"/>
        <v>12.4585244832292-6.05659575232207i</v>
      </c>
      <c r="AB191" s="246">
        <f t="shared" si="68"/>
        <v>22.830686026365029</v>
      </c>
      <c r="AC191" s="246">
        <f t="shared" si="69"/>
        <v>-25.926272544567606</v>
      </c>
      <c r="AD191" s="248">
        <f t="shared" si="70"/>
        <v>-5.623575680513313</v>
      </c>
      <c r="AE191" s="248">
        <f t="shared" si="71"/>
        <v>128.73306604114532</v>
      </c>
      <c r="AF191" s="246">
        <f t="shared" si="59"/>
        <v>17.207110345851717</v>
      </c>
      <c r="AG191" s="246">
        <f t="shared" si="60"/>
        <v>102.80679349657771</v>
      </c>
      <c r="AH191" s="249" t="str">
        <f t="shared" si="61"/>
        <v>0.327478261188515-0.408276592857003i</v>
      </c>
    </row>
    <row r="192" spans="9:34" x14ac:dyDescent="0.2">
      <c r="I192" s="246">
        <v>188</v>
      </c>
      <c r="J192" s="246">
        <f t="shared" si="49"/>
        <v>2.8330230350352794</v>
      </c>
      <c r="K192" s="246">
        <f t="shared" si="72"/>
        <v>680.80546774585071</v>
      </c>
      <c r="L192" s="246">
        <f t="shared" si="62"/>
        <v>4277.6269119882545</v>
      </c>
      <c r="M192" s="246">
        <f t="shared" si="50"/>
        <v>8122.1627372354742</v>
      </c>
      <c r="N192" s="246">
        <f>SQRT((ABS(AC192)-171.5+'Small Signal'!C$59)^2)</f>
        <v>75.053573072929112</v>
      </c>
      <c r="O192" s="246">
        <f t="shared" si="63"/>
        <v>102.90634047018052</v>
      </c>
      <c r="P192" s="246">
        <f t="shared" si="64"/>
        <v>17.056456029143384</v>
      </c>
      <c r="Q192" s="246">
        <f t="shared" si="65"/>
        <v>680.80546774585071</v>
      </c>
      <c r="R192" s="246" t="str">
        <f t="shared" si="51"/>
        <v>0.161233333333333+0.0201048464863448i</v>
      </c>
      <c r="S192" s="246" t="str">
        <f t="shared" si="52"/>
        <v>0.025-24.8696253582239i</v>
      </c>
      <c r="T192" s="246" t="str">
        <f t="shared" si="53"/>
        <v>12.4265176538764-11.9803608756758i</v>
      </c>
      <c r="U192" s="246" t="str">
        <f t="shared" si="54"/>
        <v>83.5567940068669-14.3611544274081i</v>
      </c>
      <c r="V192" s="246">
        <f t="shared" si="66"/>
        <v>38.56606895163182</v>
      </c>
      <c r="W192" s="246">
        <f t="shared" si="67"/>
        <v>-9.7523120203203657</v>
      </c>
      <c r="X192" s="246" t="str">
        <f t="shared" si="55"/>
        <v>0.999996704027841-0.000321135182140568i</v>
      </c>
      <c r="Y192" s="246" t="str">
        <f t="shared" si="56"/>
        <v>42.5393640628616+13.2519730510615i</v>
      </c>
      <c r="Z192" s="246" t="str">
        <f t="shared" si="57"/>
        <v>26.6156296636813+8.28199421686313i</v>
      </c>
      <c r="AA192" s="246" t="str">
        <f t="shared" si="58"/>
        <v>12.3539352565278-6.1450289120501i</v>
      </c>
      <c r="AB192" s="246">
        <f t="shared" si="68"/>
        <v>22.796238241581786</v>
      </c>
      <c r="AC192" s="246">
        <f t="shared" si="69"/>
        <v>-26.446426927070874</v>
      </c>
      <c r="AD192" s="248">
        <f t="shared" si="70"/>
        <v>-5.739782212438401</v>
      </c>
      <c r="AE192" s="248">
        <f t="shared" si="71"/>
        <v>129.3527673972514</v>
      </c>
      <c r="AF192" s="246">
        <f t="shared" si="59"/>
        <v>17.056456029143384</v>
      </c>
      <c r="AG192" s="246">
        <f t="shared" si="60"/>
        <v>102.90634047018052</v>
      </c>
      <c r="AH192" s="249" t="str">
        <f t="shared" si="61"/>
        <v>0.327464361905379-0.399332357920914i</v>
      </c>
    </row>
    <row r="193" spans="9:34" x14ac:dyDescent="0.2">
      <c r="I193" s="246">
        <v>189</v>
      </c>
      <c r="J193" s="246">
        <f t="shared" si="49"/>
        <v>2.8427731575620623</v>
      </c>
      <c r="K193" s="246">
        <f t="shared" si="72"/>
        <v>696.26274436333722</v>
      </c>
      <c r="L193" s="246">
        <f t="shared" si="62"/>
        <v>4374.7478453202566</v>
      </c>
      <c r="M193" s="246">
        <f t="shared" si="50"/>
        <v>8106.3545124958728</v>
      </c>
      <c r="N193" s="246">
        <f>SQRT((ABS(AC193)-171.5+'Small Signal'!C$59)^2)</f>
        <v>74.525663453032195</v>
      </c>
      <c r="O193" s="246">
        <f t="shared" si="63"/>
        <v>103.00048042119195</v>
      </c>
      <c r="P193" s="246">
        <f t="shared" si="64"/>
        <v>16.906627944901103</v>
      </c>
      <c r="Q193" s="246">
        <f t="shared" si="65"/>
        <v>696.26274436333722</v>
      </c>
      <c r="R193" s="246" t="str">
        <f t="shared" si="51"/>
        <v>0.161233333333333+0.0205613148730052i</v>
      </c>
      <c r="S193" s="246" t="str">
        <f t="shared" si="52"/>
        <v>0.025-24.3175109708789i</v>
      </c>
      <c r="T193" s="246" t="str">
        <f t="shared" si="53"/>
        <v>12.1575498213745-11.9866352608039i</v>
      </c>
      <c r="U193" s="246" t="str">
        <f t="shared" si="54"/>
        <v>83.5204005963214-14.6927254175717i</v>
      </c>
      <c r="V193" s="246">
        <f t="shared" si="66"/>
        <v>38.568215076046599</v>
      </c>
      <c r="W193" s="246">
        <f t="shared" si="67"/>
        <v>-9.9772612080516012</v>
      </c>
      <c r="X193" s="246" t="str">
        <f t="shared" si="55"/>
        <v>0.99999655266269-0.000328426362333919i</v>
      </c>
      <c r="Y193" s="246" t="str">
        <f t="shared" si="56"/>
        <v>42.6612025392212+13.5444327706685i</v>
      </c>
      <c r="Z193" s="246" t="str">
        <f t="shared" si="57"/>
        <v>26.6919692904586+8.4647390056691i</v>
      </c>
      <c r="AA193" s="246" t="str">
        <f t="shared" si="58"/>
        <v>12.2463016165345-6.23289458653088i</v>
      </c>
      <c r="AB193" s="246">
        <f t="shared" si="68"/>
        <v>22.760500132144816</v>
      </c>
      <c r="AC193" s="246">
        <f t="shared" si="69"/>
        <v>-26.974336546967809</v>
      </c>
      <c r="AD193" s="248">
        <f t="shared" si="70"/>
        <v>-5.8538721872437129</v>
      </c>
      <c r="AE193" s="248">
        <f t="shared" si="71"/>
        <v>129.97481696815976</v>
      </c>
      <c r="AF193" s="246">
        <f t="shared" si="59"/>
        <v>16.906627944901103</v>
      </c>
      <c r="AG193" s="246">
        <f t="shared" si="60"/>
        <v>103.00048042119195</v>
      </c>
      <c r="AH193" s="249" t="str">
        <f t="shared" si="61"/>
        <v>0.32745098340525-0.390589403108497i</v>
      </c>
    </row>
    <row r="194" spans="9:34" x14ac:dyDescent="0.2">
      <c r="I194" s="246">
        <v>190</v>
      </c>
      <c r="J194" s="246">
        <f t="shared" si="49"/>
        <v>2.852523280088846</v>
      </c>
      <c r="K194" s="246">
        <f t="shared" si="72"/>
        <v>712.07096910293831</v>
      </c>
      <c r="L194" s="246">
        <f t="shared" si="62"/>
        <v>4474.0738507367114</v>
      </c>
      <c r="M194" s="246">
        <f t="shared" si="50"/>
        <v>8090.1873715691854</v>
      </c>
      <c r="N194" s="246">
        <f>SQRT((ABS(AC194)-171.5+'Small Signal'!C$59)^2)</f>
        <v>73.990033991363276</v>
      </c>
      <c r="O194" s="246">
        <f t="shared" si="63"/>
        <v>103.08894193449693</v>
      </c>
      <c r="P194" s="246">
        <f t="shared" si="64"/>
        <v>16.757605205127568</v>
      </c>
      <c r="Q194" s="246">
        <f t="shared" si="65"/>
        <v>712.07096910293831</v>
      </c>
      <c r="R194" s="246" t="str">
        <f t="shared" si="51"/>
        <v>0.161233333333333+0.0210281470984625i</v>
      </c>
      <c r="S194" s="246" t="str">
        <f t="shared" si="52"/>
        <v>0.025-23.7776537161735i</v>
      </c>
      <c r="T194" s="246" t="str">
        <f t="shared" si="53"/>
        <v>11.8884358289922-11.9868711267196i</v>
      </c>
      <c r="U194" s="246" t="str">
        <f t="shared" si="54"/>
        <v>83.4821997107774-15.0321961765473i</v>
      </c>
      <c r="V194" s="246">
        <f t="shared" si="66"/>
        <v>38.570455616462276</v>
      </c>
      <c r="W194" s="246">
        <f t="shared" si="67"/>
        <v>-10.207563668418832</v>
      </c>
      <c r="X194" s="246" t="str">
        <f t="shared" si="55"/>
        <v>0.999996394346204-0.000335883084366249i</v>
      </c>
      <c r="Y194" s="246" t="str">
        <f t="shared" si="56"/>
        <v>42.7887081145523+13.8429209534508i</v>
      </c>
      <c r="Z194" s="246" t="str">
        <f t="shared" si="57"/>
        <v>26.7718594574239+8.65124839948176i</v>
      </c>
      <c r="AA194" s="246" t="str">
        <f t="shared" si="58"/>
        <v>12.1356019313038-6.3200776322973i</v>
      </c>
      <c r="AB194" s="246">
        <f t="shared" si="68"/>
        <v>22.723434619393224</v>
      </c>
      <c r="AC194" s="246">
        <f t="shared" si="69"/>
        <v>-27.509966008636734</v>
      </c>
      <c r="AD194" s="248">
        <f t="shared" si="70"/>
        <v>-5.9658294142656541</v>
      </c>
      <c r="AE194" s="248">
        <f t="shared" si="71"/>
        <v>130.59890794313367</v>
      </c>
      <c r="AF194" s="246">
        <f t="shared" si="59"/>
        <v>16.757605205127568</v>
      </c>
      <c r="AG194" s="246">
        <f t="shared" si="60"/>
        <v>103.08894193449693</v>
      </c>
      <c r="AH194" s="249" t="str">
        <f t="shared" si="61"/>
        <v>0.327438098712197-0.382043321571663i</v>
      </c>
    </row>
    <row r="195" spans="9:34" x14ac:dyDescent="0.2">
      <c r="I195" s="246">
        <v>191</v>
      </c>
      <c r="J195" s="246">
        <f t="shared" si="49"/>
        <v>2.8622734026156298</v>
      </c>
      <c r="K195" s="246">
        <f t="shared" si="72"/>
        <v>728.23811002962589</v>
      </c>
      <c r="L195" s="246">
        <f t="shared" si="62"/>
        <v>4575.6549930663759</v>
      </c>
      <c r="M195" s="246">
        <f t="shared" si="50"/>
        <v>8073.6531654803393</v>
      </c>
      <c r="N195" s="246">
        <f>SQRT((ABS(AC195)-171.5+'Small Signal'!C$59)^2)</f>
        <v>73.446729164511339</v>
      </c>
      <c r="O195" s="246">
        <f t="shared" si="63"/>
        <v>103.17145702615345</v>
      </c>
      <c r="P195" s="246">
        <f t="shared" si="64"/>
        <v>16.609364710793919</v>
      </c>
      <c r="Q195" s="246">
        <f t="shared" si="65"/>
        <v>728.23811002962589</v>
      </c>
      <c r="R195" s="246" t="str">
        <f t="shared" si="51"/>
        <v>0.161233333333333+0.021505578467412i</v>
      </c>
      <c r="S195" s="246" t="str">
        <f t="shared" si="52"/>
        <v>0.025-23.2497814814731i</v>
      </c>
      <c r="T195" s="246" t="str">
        <f t="shared" si="53"/>
        <v>11.619446830839-11.9810678794069i</v>
      </c>
      <c r="U195" s="246" t="str">
        <f t="shared" si="54"/>
        <v>83.4420954822392-15.3797704623427i</v>
      </c>
      <c r="V195" s="246">
        <f t="shared" si="66"/>
        <v>38.572794512350107</v>
      </c>
      <c r="W195" s="246">
        <f t="shared" si="67"/>
        <v>-10.443358081941497</v>
      </c>
      <c r="X195" s="246" t="str">
        <f t="shared" si="55"/>
        <v>0.999996228759147-0.000343509106764944i</v>
      </c>
      <c r="Y195" s="246" t="str">
        <f t="shared" si="56"/>
        <v>42.9221474053502+14.1475288648283i</v>
      </c>
      <c r="Z195" s="246" t="str">
        <f t="shared" si="57"/>
        <v>26.8554671799817+8.8415792089933i</v>
      </c>
      <c r="AA195" s="246" t="str">
        <f t="shared" si="58"/>
        <v>12.021819673955-6.4064592971003i</v>
      </c>
      <c r="AB195" s="246">
        <f t="shared" si="68"/>
        <v>22.685004401181637</v>
      </c>
      <c r="AC195" s="246">
        <f t="shared" si="69"/>
        <v>-28.05327083548865</v>
      </c>
      <c r="AD195" s="248">
        <f t="shared" si="70"/>
        <v>-6.0756396903877192</v>
      </c>
      <c r="AE195" s="248">
        <f t="shared" si="71"/>
        <v>131.22472786164209</v>
      </c>
      <c r="AF195" s="246">
        <f t="shared" si="59"/>
        <v>16.609364710793919</v>
      </c>
      <c r="AG195" s="246">
        <f t="shared" si="60"/>
        <v>103.17145702615345</v>
      </c>
      <c r="AH195" s="249" t="str">
        <f t="shared" si="61"/>
        <v>0.327425681846111-0.373689805688327i</v>
      </c>
    </row>
    <row r="196" spans="9:34" x14ac:dyDescent="0.2">
      <c r="I196" s="246">
        <v>192</v>
      </c>
      <c r="J196" s="246">
        <f t="shared" ref="J196:J259" si="73">1+I196*(LOG(fsw)-1)/500</f>
        <v>2.8720235251424127</v>
      </c>
      <c r="K196" s="246">
        <f t="shared" si="72"/>
        <v>744.77231611847253</v>
      </c>
      <c r="L196" s="246">
        <f t="shared" si="62"/>
        <v>4679.542473829697</v>
      </c>
      <c r="M196" s="246">
        <f t="shared" ref="M196:M259" si="74">SQRT((Fco_target-K197)^2)</f>
        <v>8056.7435602367041</v>
      </c>
      <c r="N196" s="246">
        <f>SQRT((ABS(AC196)-171.5+'Small Signal'!C$59)^2)</f>
        <v>72.895802804755078</v>
      </c>
      <c r="O196" s="246">
        <f t="shared" si="63"/>
        <v>103.24776212482358</v>
      </c>
      <c r="P196" s="246">
        <f t="shared" si="64"/>
        <v>16.461881161215487</v>
      </c>
      <c r="Q196" s="246">
        <f t="shared" si="65"/>
        <v>744.77231611847253</v>
      </c>
      <c r="R196" s="246" t="str">
        <f t="shared" ref="R196:R259" si="75">IMSUM(COMPLEX(DCRss,Lss*L196),COMPLEX(Rdsonss,0),COMPLEX(40/3*Risense,0))</f>
        <v>0.161233333333333+0.0219938496269996i</v>
      </c>
      <c r="S196" s="246" t="str">
        <f t="shared" ref="S196:S259" si="76">IMSUM(COMPLEX(ESRss,0),IMDIV(COMPLEX(1,0),COMPLEX(0,L196*Cbulkss)))</f>
        <v>0.025-22.7336281951387i</v>
      </c>
      <c r="T196" s="246" t="str">
        <f t="shared" ref="T196:T259" si="77">IMDIV(IMPRODUCT(S196,COMPLEX(Ross,0)),IMSUM(S196,COMPLEX(Ross,0)))</f>
        <v>11.350853477654-11.9692401259041i</v>
      </c>
      <c r="U196" s="246" t="str">
        <f t="shared" ref="U196:U259" si="78">IMPRODUCT(COMPLEX(Vinss,0),COMPLEX(M^2,0),IMDIV(IMSUB(COMPLEX(1,0),IMDIV(IMPRODUCT(R196,COMPLEX(M^2,0)),COMPLEX(Ross,0))),IMSUM(COMPLEX(1,0),IMDIV(IMPRODUCT(R196,COMPLEX(M^2,0)),T196))))</f>
        <v>83.3999864226452-15.7356581740543i</v>
      </c>
      <c r="V196" s="246">
        <f t="shared" si="66"/>
        <v>38.57523584580764</v>
      </c>
      <c r="W196" s="246">
        <f t="shared" si="67"/>
        <v>-10.684787471048766</v>
      </c>
      <c r="X196" s="246" t="str">
        <f t="shared" ref="X196:X259" si="79">IMSUM(COMPLEX(1,L196/(wn*q0)),IMPOWER(COMPLEX(0,L196/wn),2))</f>
        <v>0.999996055567624-0.000351308273392486i</v>
      </c>
      <c r="Y196" s="246" t="str">
        <f t="shared" ref="Y196:Y259" si="80">IMPRODUCT(COMPLEX(2*Ioutss*M^2,0),IMDIV(IMSUM(COMPLEX(1,0),IMDIV(COMPLEX(Ross,0),IMPRODUCT(COMPLEX(2,0),S196))),IMSUM(COMPLEX(1,0),IMDIV(IMPRODUCT(R196,COMPLEX(M^2,0)),T196))))</f>
        <v>43.0617998130096+14.4583463086997i</v>
      </c>
      <c r="Z196" s="246" t="str">
        <f t="shared" ref="Z196:Z259" si="81">IMPRODUCT(COMPLEX(Fm*40/3*Risense,0),Y196,X196)</f>
        <v>26.9429674799962+9.03578731484001i</v>
      </c>
      <c r="AA196" s="246" t="str">
        <f t="shared" ref="AA196:AA259" si="82">IMDIV(IMPRODUCT(COMPLEX(Fm,0),U196),IMSUM(COMPLEX(1,0),Z196))</f>
        <v>11.9049437694752-6.49191743443857i</v>
      </c>
      <c r="AB196" s="246">
        <f t="shared" si="68"/>
        <v>22.645172016745448</v>
      </c>
      <c r="AC196" s="246">
        <f t="shared" si="69"/>
        <v>-28.604197195244911</v>
      </c>
      <c r="AD196" s="248">
        <f t="shared" si="70"/>
        <v>-6.183290855529961</v>
      </c>
      <c r="AE196" s="248">
        <f t="shared" si="71"/>
        <v>131.85195932006849</v>
      </c>
      <c r="AF196" s="246">
        <f t="shared" ref="AF196:AF259" si="83">AD196+AB196</f>
        <v>16.461881161215487</v>
      </c>
      <c r="AG196" s="246">
        <f t="shared" ref="AG196:AG259" si="84">AE196+AC196</f>
        <v>103.24776212482358</v>
      </c>
      <c r="AH196" s="249" t="str">
        <f t="shared" ref="AH196:AH259" si="85">IMDIV(IMPRODUCT(COMPLEX(gea*Rea*Rslss/(Rslss+Rshss),0),COMPLEX(1,L196*Ccompss*Rcompss),COMPLEX(1,k_3*L196*Cffss*Rshss)),IMPRODUCT(COMPLEX(1,L196*Rea*Ccompss),COMPLEX(1,L196*Rcompss*Chfss),COMPLEX(1,k_3*L196*Rffss*Cffss)))</f>
        <v>0.327413707770304-0.365524644891106i</v>
      </c>
    </row>
    <row r="197" spans="9:34" x14ac:dyDescent="0.2">
      <c r="I197" s="246">
        <v>193</v>
      </c>
      <c r="J197" s="246">
        <f t="shared" si="73"/>
        <v>2.8817736476691964</v>
      </c>
      <c r="K197" s="246">
        <f t="shared" si="72"/>
        <v>761.68192136210757</v>
      </c>
      <c r="L197" s="246">
        <f t="shared" ref="L197:L260" si="86">2*PI()*K197</f>
        <v>4785.7886570467117</v>
      </c>
      <c r="M197" s="246">
        <f t="shared" si="74"/>
        <v>8039.4500326273928</v>
      </c>
      <c r="N197" s="246">
        <f>SQRT((ABS(AC197)-171.5+'Small Signal'!C$59)^2)</f>
        <v>72.337318356077844</v>
      </c>
      <c r="O197" s="246">
        <f t="shared" ref="O197:O260" si="87">ABS(AG197)</f>
        <v>103.31759906308878</v>
      </c>
      <c r="P197" s="246">
        <f t="shared" ref="P197:P260" si="88">ABS(AF197)</f>
        <v>16.315127075157438</v>
      </c>
      <c r="Q197" s="246">
        <f t="shared" ref="Q197:Q260" si="89">K197</f>
        <v>761.68192136210757</v>
      </c>
      <c r="R197" s="246" t="str">
        <f t="shared" si="75"/>
        <v>0.161233333333333+0.0224932066881195i</v>
      </c>
      <c r="S197" s="246" t="str">
        <f t="shared" si="76"/>
        <v>0.025-22.2289336924152i</v>
      </c>
      <c r="T197" s="246" t="str">
        <f t="shared" si="77"/>
        <v>11.0829248291647-11.9514175847009i</v>
      </c>
      <c r="U197" s="246" t="str">
        <f t="shared" si="78"/>
        <v>83.3557650503096-16.1000755736087i</v>
      </c>
      <c r="V197" s="246">
        <f t="shared" ref="V197:V260" si="90">20*LOG(IMABS(U197))</f>
        <v>38.577783844362934</v>
      </c>
      <c r="W197" s="246">
        <f t="shared" ref="W197:W260" si="91">IF(DEGREES(IMARGUMENT(U197))&gt;0,DEGREES(IMARGUMENT(U197))-360, DEGREES(IMARGUMENT(U197)))</f>
        <v>-10.931999381516876</v>
      </c>
      <c r="X197" s="246" t="str">
        <f t="shared" si="79"/>
        <v>0.999995874422405-0.000359284515383931i</v>
      </c>
      <c r="Y197" s="246" t="str">
        <f t="shared" si="80"/>
        <v>43.2079581532773+14.7754613056969i</v>
      </c>
      <c r="Z197" s="246" t="str">
        <f t="shared" si="81"/>
        <v>27.0345437797616+9.2339274652992i</v>
      </c>
      <c r="AA197" s="246" t="str">
        <f t="shared" si="82"/>
        <v>11.7849689361613-6.57632675008477i</v>
      </c>
      <c r="AB197" s="246">
        <f t="shared" ref="AB197:AB260" si="92">20*LOG(IMABS(AA197))</f>
        <v>22.603899915789626</v>
      </c>
      <c r="AC197" s="246">
        <f t="shared" ref="AC197:AC260" si="93">IF(DEGREES(IMARGUMENT(AA197))&gt;0,DEGREES(IMARGUMENT(AA197))-360, DEGREES(IMARGUMENT(AA197)))</f>
        <v>-29.162681643922163</v>
      </c>
      <c r="AD197" s="248">
        <f t="shared" ref="AD197:AD260" si="94">20*LOG(IMABS(AH197))</f>
        <v>-6.2887728406321877</v>
      </c>
      <c r="AE197" s="248">
        <f t="shared" ref="AE197:AE260" si="95">180+DEGREES(IMARGUMENT(AH197))</f>
        <v>132.48028070701093</v>
      </c>
      <c r="AF197" s="246">
        <f t="shared" si="83"/>
        <v>16.315127075157438</v>
      </c>
      <c r="AG197" s="246">
        <f t="shared" si="84"/>
        <v>103.31759906308878</v>
      </c>
      <c r="AH197" s="249" t="str">
        <f t="shared" si="85"/>
        <v>0.327402152341047-0.357543723544958i</v>
      </c>
    </row>
    <row r="198" spans="9:34" x14ac:dyDescent="0.2">
      <c r="I198" s="246">
        <v>194</v>
      </c>
      <c r="J198" s="246">
        <f t="shared" si="73"/>
        <v>2.8915237701959793</v>
      </c>
      <c r="K198" s="246">
        <f t="shared" si="72"/>
        <v>778.97544897141847</v>
      </c>
      <c r="L198" s="246">
        <f t="shared" si="86"/>
        <v>4894.4470956308378</v>
      </c>
      <c r="M198" s="246">
        <f t="shared" si="74"/>
        <v>8021.7638659271597</v>
      </c>
      <c r="N198" s="246">
        <f>SQRT((ABS(AC198)-171.5+'Small Signal'!C$59)^2)</f>
        <v>71.771349108877303</v>
      </c>
      <c r="O198" s="246">
        <f t="shared" si="87"/>
        <v>103.38071607191273</v>
      </c>
      <c r="P198" s="246">
        <f t="shared" si="88"/>
        <v>16.169072823980599</v>
      </c>
      <c r="Q198" s="246">
        <f t="shared" si="89"/>
        <v>778.97544897141847</v>
      </c>
      <c r="R198" s="246" t="str">
        <f t="shared" si="75"/>
        <v>0.161233333333333+0.0230039013494649i</v>
      </c>
      <c r="S198" s="246" t="str">
        <f t="shared" si="76"/>
        <v>0.025-21.7354435842957i</v>
      </c>
      <c r="T198" s="246" t="str">
        <f t="shared" si="77"/>
        <v>10.815927280018-11.9276449039093i</v>
      </c>
      <c r="U198" s="246" t="str">
        <f t="shared" si="78"/>
        <v>83.3093174882585-16.4732455153008i</v>
      </c>
      <c r="V198" s="246">
        <f t="shared" si="90"/>
        <v>38.580442883535405</v>
      </c>
      <c r="W198" s="246">
        <f t="shared" si="91"/>
        <v>-11.185146073731399</v>
      </c>
      <c r="X198" s="246" t="str">
        <f t="shared" si="79"/>
        <v>0.999995684958222-0.000367441853128378i</v>
      </c>
      <c r="Y198" s="246" t="str">
        <f t="shared" si="80"/>
        <v>43.3609293173139+15.0989597389976i</v>
      </c>
      <c r="Z198" s="246" t="str">
        <f t="shared" si="81"/>
        <v>27.1303883157349+9.43605305361996i</v>
      </c>
      <c r="AA198" s="246" t="str">
        <f t="shared" si="82"/>
        <v>11.6618960187512-6.65955908124i</v>
      </c>
      <c r="AB198" s="246">
        <f t="shared" si="92"/>
        <v>22.561150531717207</v>
      </c>
      <c r="AC198" s="246">
        <f t="shared" si="93"/>
        <v>-29.728650891122705</v>
      </c>
      <c r="AD198" s="248">
        <f t="shared" si="94"/>
        <v>-6.3920777077366084</v>
      </c>
      <c r="AE198" s="248">
        <f t="shared" si="95"/>
        <v>133.10936696303543</v>
      </c>
      <c r="AF198" s="246">
        <f t="shared" si="83"/>
        <v>16.169072823980599</v>
      </c>
      <c r="AG198" s="246">
        <f t="shared" si="84"/>
        <v>103.38071607191273</v>
      </c>
      <c r="AH198" s="249" t="str">
        <f t="shared" si="85"/>
        <v>0.327390992258885-0.349743018872593i</v>
      </c>
    </row>
    <row r="199" spans="9:34" x14ac:dyDescent="0.2">
      <c r="I199" s="246">
        <v>195</v>
      </c>
      <c r="J199" s="246">
        <f t="shared" si="73"/>
        <v>2.901273892722763</v>
      </c>
      <c r="K199" s="246">
        <f t="shared" si="72"/>
        <v>796.6616156716517</v>
      </c>
      <c r="L199" s="246">
        <f t="shared" si="86"/>
        <v>5005.5725583820722</v>
      </c>
      <c r="M199" s="246">
        <f t="shared" si="74"/>
        <v>8003.6761455027872</v>
      </c>
      <c r="N199" s="246">
        <f>SQRT((ABS(AC199)-171.5+'Small Signal'!C$59)^2)</f>
        <v>71.197978410717838</v>
      </c>
      <c r="O199" s="246">
        <f t="shared" si="87"/>
        <v>103.43686877118687</v>
      </c>
      <c r="P199" s="246">
        <f t="shared" si="88"/>
        <v>16.023686677045553</v>
      </c>
      <c r="Q199" s="246">
        <f t="shared" si="89"/>
        <v>796.6616156716517</v>
      </c>
      <c r="R199" s="246" t="str">
        <f t="shared" si="75"/>
        <v>0.161233333333333+0.0235261910243957i</v>
      </c>
      <c r="S199" s="246" t="str">
        <f t="shared" si="76"/>
        <v>0.025-21.2529091292985i</v>
      </c>
      <c r="T199" s="246" t="str">
        <f t="shared" si="77"/>
        <v>10.5501235083554-11.8979813892699i</v>
      </c>
      <c r="U199" s="246" t="str">
        <f t="shared" si="78"/>
        <v>83.2605230321137-16.8553976831075i</v>
      </c>
      <c r="V199" s="246">
        <f t="shared" si="90"/>
        <v>38.583217489102083</v>
      </c>
      <c r="W199" s="246">
        <f t="shared" si="91"/>
        <v>-11.444384724383063</v>
      </c>
      <c r="X199" s="246" t="str">
        <f t="shared" si="79"/>
        <v>0.999995486793032-0.000375784398295433i</v>
      </c>
      <c r="Y199" s="246" t="str">
        <f t="shared" si="80"/>
        <v>43.5210349658558+15.428924964614i</v>
      </c>
      <c r="Z199" s="246" t="str">
        <f t="shared" si="81"/>
        <v>27.230702572961+9.64221587305429i</v>
      </c>
      <c r="AA199" s="246" t="str">
        <f t="shared" si="82"/>
        <v>11.5357323101211-6.74148370868289i</v>
      </c>
      <c r="AB199" s="246">
        <f t="shared" si="92"/>
        <v>22.516886358879415</v>
      </c>
      <c r="AC199" s="246">
        <f t="shared" si="93"/>
        <v>-30.302021589282152</v>
      </c>
      <c r="AD199" s="248">
        <f t="shared" si="94"/>
        <v>-6.4931996818338602</v>
      </c>
      <c r="AE199" s="248">
        <f t="shared" si="95"/>
        <v>133.73889036046901</v>
      </c>
      <c r="AF199" s="246">
        <f t="shared" si="83"/>
        <v>16.023686677045553</v>
      </c>
      <c r="AG199" s="246">
        <f t="shared" si="84"/>
        <v>103.43686877118687</v>
      </c>
      <c r="AH199" s="249" t="str">
        <f t="shared" si="85"/>
        <v>0.327380205021678-0.342118598926694i</v>
      </c>
    </row>
    <row r="200" spans="9:34" x14ac:dyDescent="0.2">
      <c r="I200" s="246">
        <v>196</v>
      </c>
      <c r="J200" s="246">
        <f t="shared" si="73"/>
        <v>2.9110240152495463</v>
      </c>
      <c r="K200" s="246">
        <f>10^(J200)</f>
        <v>814.74933609602397</v>
      </c>
      <c r="L200" s="246">
        <f t="shared" si="86"/>
        <v>5119.2210575928602</v>
      </c>
      <c r="M200" s="246">
        <f t="shared" si="74"/>
        <v>7985.1777543196959</v>
      </c>
      <c r="N200" s="246">
        <f>SQRT((ABS(AC200)-171.5+'Small Signal'!C$59)^2)</f>
        <v>70.617299850466594</v>
      </c>
      <c r="O200" s="246">
        <f t="shared" si="87"/>
        <v>103.48582114906549</v>
      </c>
      <c r="P200" s="246">
        <f t="shared" si="88"/>
        <v>15.878934859481841</v>
      </c>
      <c r="Q200" s="246">
        <f t="shared" si="89"/>
        <v>814.74933609602397</v>
      </c>
      <c r="R200" s="246" t="str">
        <f t="shared" si="75"/>
        <v>0.161233333333333+0.0240603389706864i</v>
      </c>
      <c r="S200" s="246" t="str">
        <f t="shared" si="76"/>
        <v>0.025-20.7810871080897i</v>
      </c>
      <c r="T200" s="246" t="str">
        <f t="shared" si="77"/>
        <v>10.2857714557741-11.8625006450701i</v>
      </c>
      <c r="U200" s="246" t="str">
        <f t="shared" si="78"/>
        <v>83.2092536850173-17.2467688356947i</v>
      </c>
      <c r="V200" s="246">
        <f t="shared" si="90"/>
        <v>38.586112339016346</v>
      </c>
      <c r="W200" s="246">
        <f t="shared" si="91"/>
        <v>-11.70987763924145</v>
      </c>
      <c r="X200" s="246" t="str">
        <f t="shared" si="79"/>
        <v>0.999995279527249-0.000384316355907672i</v>
      </c>
      <c r="Y200" s="246" t="str">
        <f t="shared" si="80"/>
        <v>43.6886122580439+15.7654373827724i</v>
      </c>
      <c r="Z200" s="246" t="str">
        <f t="shared" si="81"/>
        <v>27.3356977411678+9.85246584746561i</v>
      </c>
      <c r="AA200" s="246" t="str">
        <f t="shared" si="82"/>
        <v>11.4064918582717-6.82196770197447i</v>
      </c>
      <c r="AB200" s="246">
        <f t="shared" si="92"/>
        <v>22.471070033688051</v>
      </c>
      <c r="AC200" s="246">
        <f t="shared" si="93"/>
        <v>-30.882700149533399</v>
      </c>
      <c r="AD200" s="248">
        <f t="shared" si="94"/>
        <v>-6.5921351742062084</v>
      </c>
      <c r="AE200" s="248">
        <f t="shared" si="95"/>
        <v>134.36852129859889</v>
      </c>
      <c r="AF200" s="246">
        <f t="shared" si="83"/>
        <v>15.878934859481841</v>
      </c>
      <c r="AG200" s="246">
        <f t="shared" si="84"/>
        <v>103.48582114906549</v>
      </c>
      <c r="AH200" s="249" t="str">
        <f t="shared" si="85"/>
        <v>0.327369768879221-0.334666620607849i</v>
      </c>
    </row>
    <row r="201" spans="9:34" x14ac:dyDescent="0.2">
      <c r="I201" s="246">
        <v>197</v>
      </c>
      <c r="J201" s="246">
        <f t="shared" si="73"/>
        <v>2.9207741377763297</v>
      </c>
      <c r="K201" s="246">
        <f>10^(J201)</f>
        <v>833.24772727911602</v>
      </c>
      <c r="L201" s="246">
        <f t="shared" si="86"/>
        <v>5235.4498772809247</v>
      </c>
      <c r="M201" s="246">
        <f t="shared" si="74"/>
        <v>7966.2593683465466</v>
      </c>
      <c r="N201" s="246">
        <f>SQRT((ABS(AC201)-171.5+'Small Signal'!C$59)^2)</f>
        <v>70.029417413156693</v>
      </c>
      <c r="O201" s="246">
        <f t="shared" si="87"/>
        <v>103.52734652262362</v>
      </c>
      <c r="P201" s="246">
        <f t="shared" si="88"/>
        <v>15.734781622323057</v>
      </c>
      <c r="Q201" s="246">
        <f t="shared" si="89"/>
        <v>833.24772727911602</v>
      </c>
      <c r="R201" s="246" t="str">
        <f t="shared" si="75"/>
        <v>0.161233333333333+0.0246066144232203i</v>
      </c>
      <c r="S201" s="246" t="str">
        <f t="shared" si="76"/>
        <v>0.025-20.3197397008899i</v>
      </c>
      <c r="T201" s="246" t="str">
        <f t="shared" si="77"/>
        <v>10.0231233469638-11.8212901319934i</v>
      </c>
      <c r="U201" s="246" t="str">
        <f t="shared" si="78"/>
        <v>83.1553736568252-17.6476030589492i</v>
      </c>
      <c r="V201" s="246">
        <f t="shared" si="90"/>
        <v>38.589132264914568</v>
      </c>
      <c r="W201" s="246">
        <f t="shared" si="91"/>
        <v>-11.981792477692233</v>
      </c>
      <c r="X201" s="246" t="str">
        <f t="shared" si="79"/>
        <v>0.999995062742933-0.000393042026460171i</v>
      </c>
      <c r="Y201" s="246" t="str">
        <f t="shared" si="80"/>
        <v>43.8640146164997+16.1085739666637i</v>
      </c>
      <c r="Z201" s="246" t="str">
        <f t="shared" si="81"/>
        <v>27.4455951935157+10.0668507351816i</v>
      </c>
      <c r="AA201" s="246" t="str">
        <f t="shared" si="82"/>
        <v>11.274195755204-6.90087629745166i</v>
      </c>
      <c r="AB201" s="246">
        <f t="shared" si="92"/>
        <v>22.423664419391798</v>
      </c>
      <c r="AC201" s="246">
        <f t="shared" si="93"/>
        <v>-31.470582586843303</v>
      </c>
      <c r="AD201" s="248">
        <f t="shared" si="94"/>
        <v>-6.6888827970687412</v>
      </c>
      <c r="AE201" s="248">
        <f t="shared" si="95"/>
        <v>134.99792910946692</v>
      </c>
      <c r="AF201" s="246">
        <f t="shared" si="83"/>
        <v>15.734781622323057</v>
      </c>
      <c r="AG201" s="246">
        <f t="shared" si="84"/>
        <v>103.52734652262362</v>
      </c>
      <c r="AH201" s="249" t="str">
        <f t="shared" si="85"/>
        <v>0.327359662789421-0.327383327727271i</v>
      </c>
    </row>
    <row r="202" spans="9:34" x14ac:dyDescent="0.2">
      <c r="I202" s="246">
        <v>198</v>
      </c>
      <c r="J202" s="246">
        <f t="shared" si="73"/>
        <v>2.9305242603031134</v>
      </c>
      <c r="K202" s="246">
        <f>10^(J202)</f>
        <v>852.16611325226495</v>
      </c>
      <c r="L202" s="246">
        <f t="shared" si="86"/>
        <v>5354.3176020629662</v>
      </c>
      <c r="M202" s="246">
        <f t="shared" si="74"/>
        <v>7946.9114518555079</v>
      </c>
      <c r="N202" s="246">
        <f>SQRT((ABS(AC202)-171.5+'Small Signal'!C$59)^2)</f>
        <v>69.434445602958363</v>
      </c>
      <c r="O202" s="246">
        <f t="shared" si="87"/>
        <v>103.56122847228512</v>
      </c>
      <c r="P202" s="246">
        <f t="shared" si="88"/>
        <v>15.591189324887782</v>
      </c>
      <c r="Q202" s="246">
        <f t="shared" si="89"/>
        <v>852.16611325226495</v>
      </c>
      <c r="R202" s="246" t="str">
        <f t="shared" si="75"/>
        <v>0.161233333333333+0.0251652927296959i</v>
      </c>
      <c r="S202" s="246" t="str">
        <f t="shared" si="76"/>
        <v>0.025-19.8686343676019i</v>
      </c>
      <c r="T202" s="246" t="str">
        <f t="shared" si="77"/>
        <v>9.76242475674288-11.7744506468053i</v>
      </c>
      <c r="U202" s="246" t="str">
        <f t="shared" si="78"/>
        <v>83.0987388245875-18.0581520257763i</v>
      </c>
      <c r="V202" s="246">
        <f t="shared" si="90"/>
        <v>38.592282253141576</v>
      </c>
      <c r="W202" s="246">
        <f t="shared" si="91"/>
        <v>-12.260302489764427</v>
      </c>
      <c r="X202" s="246" t="str">
        <f t="shared" si="79"/>
        <v>0.999994836002954-0.000401965808088142i</v>
      </c>
      <c r="Y202" s="246" t="str">
        <f t="shared" si="80"/>
        <v>44.0476125302797+16.4584077444781i</v>
      </c>
      <c r="Z202" s="246" t="str">
        <f t="shared" si="81"/>
        <v>27.5606269890175+10.2854158035288i</v>
      </c>
      <c r="AA202" s="246" t="str">
        <f t="shared" si="82"/>
        <v>11.1388724041923-6.97807330838216i</v>
      </c>
      <c r="AB202" s="246">
        <f t="shared" si="92"/>
        <v>22.374632694274112</v>
      </c>
      <c r="AC202" s="246">
        <f t="shared" si="93"/>
        <v>-32.065554397041623</v>
      </c>
      <c r="AD202" s="248">
        <f t="shared" si="94"/>
        <v>-6.7834433693863305</v>
      </c>
      <c r="AE202" s="248">
        <f t="shared" si="95"/>
        <v>135.62678286932675</v>
      </c>
      <c r="AF202" s="246">
        <f t="shared" si="83"/>
        <v>15.591189324887782</v>
      </c>
      <c r="AG202" s="246">
        <f t="shared" si="84"/>
        <v>103.56122847228512</v>
      </c>
      <c r="AH202" s="249" t="str">
        <f t="shared" si="85"/>
        <v>0.327349866375863-0.320265049113265i</v>
      </c>
    </row>
    <row r="203" spans="9:34" x14ac:dyDescent="0.2">
      <c r="I203" s="246">
        <v>199</v>
      </c>
      <c r="J203" s="246">
        <f t="shared" si="73"/>
        <v>2.9402743828298967</v>
      </c>
      <c r="K203" s="246">
        <f>10^(J203)</f>
        <v>871.51402974330347</v>
      </c>
      <c r="L203" s="246">
        <f t="shared" si="86"/>
        <v>5475.8841466839976</v>
      </c>
      <c r="M203" s="246">
        <f t="shared" si="74"/>
        <v>7927.1242526158094</v>
      </c>
      <c r="N203" s="246">
        <f>SQRT((ABS(AC203)-171.5+'Small Signal'!C$59)^2)</f>
        <v>68.832509531707643</v>
      </c>
      <c r="O203" s="246">
        <f t="shared" si="87"/>
        <v>103.58726174247889</v>
      </c>
      <c r="P203" s="246">
        <f t="shared" si="88"/>
        <v>15.448118529173756</v>
      </c>
      <c r="Q203" s="246">
        <f t="shared" si="89"/>
        <v>871.51402974330347</v>
      </c>
      <c r="R203" s="246" t="str">
        <f t="shared" si="75"/>
        <v>0.161233333333333+0.0257366554894148i</v>
      </c>
      <c r="S203" s="246" t="str">
        <f t="shared" si="76"/>
        <v>0.025-19.4275437306003i</v>
      </c>
      <c r="T203" s="246" t="str">
        <f t="shared" si="77"/>
        <v>9.50391373154932-11.7220957295684i</v>
      </c>
      <c r="U203" s="246" t="str">
        <f t="shared" si="78"/>
        <v>83.0391961510605-18.4786752627886i</v>
      </c>
      <c r="V203" s="246">
        <f t="shared" si="90"/>
        <v>38.595567445215984</v>
      </c>
      <c r="W203" s="246">
        <f t="shared" si="91"/>
        <v>-12.545586766418531</v>
      </c>
      <c r="X203" s="246" t="str">
        <f t="shared" si="79"/>
        <v>0.999994598850105-0.000411092198783802i</v>
      </c>
      <c r="Y203" s="246" t="str">
        <f t="shared" si="80"/>
        <v>44.2397943973464+16.815007230229i</v>
      </c>
      <c r="Z203" s="246" t="str">
        <f t="shared" si="81"/>
        <v>27.6810363996501+10.5082034712298i</v>
      </c>
      <c r="AA203" s="246" t="str">
        <f t="shared" si="82"/>
        <v>11.0005577619139-7.05342156627293i</v>
      </c>
      <c r="AB203" s="246">
        <f t="shared" si="92"/>
        <v>22.323938442990187</v>
      </c>
      <c r="AC203" s="246">
        <f t="shared" si="93"/>
        <v>-32.667490468292364</v>
      </c>
      <c r="AD203" s="248">
        <f t="shared" si="94"/>
        <v>-6.8758199138164304</v>
      </c>
      <c r="AE203" s="248">
        <f t="shared" si="95"/>
        <v>136.25475221077124</v>
      </c>
      <c r="AF203" s="246">
        <f t="shared" si="83"/>
        <v>15.448118529173756</v>
      </c>
      <c r="AG203" s="246">
        <f t="shared" si="84"/>
        <v>103.58726174247889</v>
      </c>
      <c r="AH203" s="249" t="str">
        <f t="shared" si="85"/>
        <v>0.327340359886744-0.313308196760505i</v>
      </c>
    </row>
    <row r="204" spans="9:34" x14ac:dyDescent="0.2">
      <c r="I204" s="246">
        <v>200</v>
      </c>
      <c r="J204" s="246">
        <f t="shared" si="73"/>
        <v>2.95002450535668</v>
      </c>
      <c r="K204" s="246">
        <f>10^(J204)</f>
        <v>891.30122898300249</v>
      </c>
      <c r="L204" s="246">
        <f t="shared" si="86"/>
        <v>5600.2107862171097</v>
      </c>
      <c r="M204" s="246">
        <f t="shared" si="74"/>
        <v>7906.887796978177</v>
      </c>
      <c r="N204" s="246">
        <f>SQRT((ABS(AC204)-171.5+'Small Signal'!C$59)^2)</f>
        <v>68.223744970529367</v>
      </c>
      <c r="O204" s="246">
        <f t="shared" si="87"/>
        <v>103.60525310105027</v>
      </c>
      <c r="P204" s="246">
        <f t="shared" si="88"/>
        <v>15.305528105909998</v>
      </c>
      <c r="Q204" s="246">
        <f t="shared" si="89"/>
        <v>891.30122898300249</v>
      </c>
      <c r="R204" s="246" t="str">
        <f t="shared" si="75"/>
        <v>0.161233333333333+0.0263209906952204i</v>
      </c>
      <c r="S204" s="246" t="str">
        <f t="shared" si="76"/>
        <v>0.025-18.9962454601222i</v>
      </c>
      <c r="T204" s="246" t="str">
        <f t="shared" si="77"/>
        <v>9.24781997168624-11.6643510047767i</v>
      </c>
      <c r="U204" s="246" t="str">
        <f t="shared" si="78"/>
        <v>82.976583057713-18.9094404233831i</v>
      </c>
      <c r="V204" s="246">
        <f t="shared" si="90"/>
        <v>38.598993137647064</v>
      </c>
      <c r="W204" s="246">
        <f t="shared" si="91"/>
        <v>-12.837830503915713</v>
      </c>
      <c r="X204" s="246" t="str">
        <f t="shared" si="79"/>
        <v>0.999994350806181-0.000420425798663561i</v>
      </c>
      <c r="Y204" s="246" t="str">
        <f t="shared" si="80"/>
        <v>44.44096740822+17.1784357984274i</v>
      </c>
      <c r="Z204" s="246" t="str">
        <f t="shared" si="81"/>
        <v>27.8070784631921+10.7352529155676i</v>
      </c>
      <c r="AA204" s="246" t="str">
        <f t="shared" si="82"/>
        <v>10.8592955518808-7.12678339192193i</v>
      </c>
      <c r="AB204" s="246">
        <f t="shared" si="92"/>
        <v>22.271545750714662</v>
      </c>
      <c r="AC204" s="246">
        <f t="shared" si="93"/>
        <v>-33.276255029470633</v>
      </c>
      <c r="AD204" s="248">
        <f t="shared" si="94"/>
        <v>-6.9660176448046638</v>
      </c>
      <c r="AE204" s="248">
        <f t="shared" si="95"/>
        <v>136.8815081305209</v>
      </c>
      <c r="AF204" s="246">
        <f t="shared" si="83"/>
        <v>15.305528105909998</v>
      </c>
      <c r="AG204" s="246">
        <f t="shared" si="84"/>
        <v>103.60525310105027</v>
      </c>
      <c r="AH204" s="249" t="str">
        <f t="shared" si="85"/>
        <v>0.327331124155066-0.306509264021214i</v>
      </c>
    </row>
    <row r="205" spans="9:34" x14ac:dyDescent="0.2">
      <c r="I205" s="246">
        <v>201</v>
      </c>
      <c r="J205" s="246">
        <f t="shared" si="73"/>
        <v>2.9597746278834633</v>
      </c>
      <c r="K205" s="246">
        <f t="shared" ref="K205:K253" si="96">10^(J205)</f>
        <v>911.53768462063488</v>
      </c>
      <c r="L205" s="246">
        <f t="shared" si="86"/>
        <v>5727.360186948873</v>
      </c>
      <c r="M205" s="246">
        <f t="shared" si="74"/>
        <v>7886.1918848476571</v>
      </c>
      <c r="N205" s="246">
        <f>SQRT((ABS(AC205)-171.5+'Small Signal'!C$59)^2)</f>
        <v>67.608298362242294</v>
      </c>
      <c r="O205" s="246">
        <f t="shared" si="87"/>
        <v>103.6150221501604</v>
      </c>
      <c r="P205" s="246">
        <f t="shared" si="88"/>
        <v>15.163375351792784</v>
      </c>
      <c r="Q205" s="246">
        <f t="shared" si="89"/>
        <v>911.53768462063488</v>
      </c>
      <c r="R205" s="246" t="str">
        <f t="shared" si="75"/>
        <v>0.161233333333333+0.0269185928786597i</v>
      </c>
      <c r="S205" s="246" t="str">
        <f t="shared" si="76"/>
        <v>0.025-18.5745221622036i</v>
      </c>
      <c r="T205" s="246" t="str">
        <f t="shared" si="77"/>
        <v>8.99436407979794-11.6013534633819i</v>
      </c>
      <c r="U205" s="246" t="str">
        <f t="shared" si="78"/>
        <v>82.9107267483751-19.3507235665339i</v>
      </c>
      <c r="V205" s="246">
        <f t="shared" si="90"/>
        <v>38.602564781003132</v>
      </c>
      <c r="W205" s="246">
        <f t="shared" si="91"/>
        <v>-13.137225283129634</v>
      </c>
      <c r="X205" s="246" t="str">
        <f t="shared" si="79"/>
        <v>0.999994091371019-0.000429971312286693i</v>
      </c>
      <c r="Y205" s="246" t="str">
        <f t="shared" si="80"/>
        <v>44.6515584724642+17.5487509971674i</v>
      </c>
      <c r="Z205" s="246" t="str">
        <f t="shared" si="81"/>
        <v>27.9390205628177+10.9665996409053i</v>
      </c>
      <c r="AA205" s="246" t="str">
        <f t="shared" si="82"/>
        <v>10.71513744566-7.19802109438199i</v>
      </c>
      <c r="AB205" s="246">
        <f t="shared" si="92"/>
        <v>22.217419299728896</v>
      </c>
      <c r="AC205" s="246">
        <f t="shared" si="93"/>
        <v>-33.891701637757706</v>
      </c>
      <c r="AD205" s="248">
        <f t="shared" si="94"/>
        <v>-7.0540439479361128</v>
      </c>
      <c r="AE205" s="248">
        <f t="shared" si="95"/>
        <v>137.50672378791811</v>
      </c>
      <c r="AF205" s="246">
        <f t="shared" si="83"/>
        <v>15.163375351792784</v>
      </c>
      <c r="AG205" s="246">
        <f t="shared" si="84"/>
        <v>103.6150221501604</v>
      </c>
      <c r="AH205" s="249" t="str">
        <f t="shared" si="85"/>
        <v>0.327322140559997-0.299864823837309i</v>
      </c>
    </row>
    <row r="206" spans="9:34" x14ac:dyDescent="0.2">
      <c r="I206" s="246">
        <v>202</v>
      </c>
      <c r="J206" s="246">
        <f t="shared" si="73"/>
        <v>2.9695247504102467</v>
      </c>
      <c r="K206" s="246">
        <f t="shared" si="96"/>
        <v>932.23359675115444</v>
      </c>
      <c r="L206" s="246">
        <f t="shared" si="86"/>
        <v>5857.3964379660329</v>
      </c>
      <c r="M206" s="246">
        <f t="shared" si="74"/>
        <v>7865.026084542309</v>
      </c>
      <c r="N206" s="246">
        <f>SQRT((ABS(AC206)-171.5+'Small Signal'!C$59)^2)</f>
        <v>66.986326792366526</v>
      </c>
      <c r="O206" s="246">
        <f t="shared" si="87"/>
        <v>103.61640208164603</v>
      </c>
      <c r="P206" s="246">
        <f t="shared" si="88"/>
        <v>15.02161611731815</v>
      </c>
      <c r="Q206" s="246">
        <f t="shared" si="89"/>
        <v>932.23359675115444</v>
      </c>
      <c r="R206" s="246" t="str">
        <f t="shared" si="75"/>
        <v>0.161233333333333+0.0275297632584404i</v>
      </c>
      <c r="S206" s="246" t="str">
        <f t="shared" si="76"/>
        <v>0.025-18.1621612691023i</v>
      </c>
      <c r="T206" s="246" t="str">
        <f t="shared" si="77"/>
        <v>8.74375688016826-11.5332506931536i</v>
      </c>
      <c r="U206" s="246" t="str">
        <f t="shared" si="78"/>
        <v>82.8414434793578-19.8028094404601i</v>
      </c>
      <c r="V206" s="246">
        <f t="shared" si="90"/>
        <v>38.606287978121642</v>
      </c>
      <c r="W206" s="246">
        <f t="shared" si="91"/>
        <v>-13.443969364722514</v>
      </c>
      <c r="X206" s="246" t="str">
        <f t="shared" si="79"/>
        <v>0.999993820021483-0.000439733551026645i</v>
      </c>
      <c r="Y206" s="246" t="str">
        <f t="shared" si="80"/>
        <v>44.872015189639+17.9260037936487i</v>
      </c>
      <c r="Z206" s="246" t="str">
        <f t="shared" si="81"/>
        <v>28.0771430344586+11.202275004817i</v>
      </c>
      <c r="AA206" s="246" t="str">
        <f t="shared" si="82"/>
        <v>10.5681432084567-7.26699749558636i</v>
      </c>
      <c r="AB206" s="246">
        <f t="shared" si="92"/>
        <v>22.161524468036898</v>
      </c>
      <c r="AC206" s="246">
        <f t="shared" si="93"/>
        <v>-34.51367320763346</v>
      </c>
      <c r="AD206" s="248">
        <f t="shared" si="94"/>
        <v>-7.1399083507187475</v>
      </c>
      <c r="AE206" s="248">
        <f t="shared" si="95"/>
        <v>138.13007528927949</v>
      </c>
      <c r="AF206" s="246">
        <f t="shared" si="83"/>
        <v>15.02161611731815</v>
      </c>
      <c r="AG206" s="246">
        <f t="shared" si="84"/>
        <v>103.61640208164603</v>
      </c>
      <c r="AH206" s="249" t="str">
        <f t="shared" si="85"/>
        <v>0.32731339098934-0.293371527012598i</v>
      </c>
    </row>
    <row r="207" spans="9:34" x14ac:dyDescent="0.2">
      <c r="I207" s="246">
        <v>203</v>
      </c>
      <c r="J207" s="246">
        <f t="shared" si="73"/>
        <v>2.9792748729370304</v>
      </c>
      <c r="K207" s="246">
        <f t="shared" si="96"/>
        <v>953.39939705650295</v>
      </c>
      <c r="L207" s="246">
        <f t="shared" si="86"/>
        <v>5990.3850834592959</v>
      </c>
      <c r="M207" s="246">
        <f t="shared" si="74"/>
        <v>7843.3797275351562</v>
      </c>
      <c r="N207" s="246">
        <f>SQRT((ABS(AC207)-171.5+'Small Signal'!C$59)^2)</f>
        <v>66.357997916792243</v>
      </c>
      <c r="O207" s="246">
        <f t="shared" si="87"/>
        <v>103.60924037020129</v>
      </c>
      <c r="P207" s="246">
        <f t="shared" si="88"/>
        <v>14.880204944508584</v>
      </c>
      <c r="Q207" s="246">
        <f t="shared" si="89"/>
        <v>953.39939705650295</v>
      </c>
      <c r="R207" s="246" t="str">
        <f t="shared" si="75"/>
        <v>0.161233333333333+0.0281548098922587i</v>
      </c>
      <c r="S207" s="246" t="str">
        <f t="shared" si="76"/>
        <v>0.025-17.7589549321545i</v>
      </c>
      <c r="T207" s="246" t="str">
        <f t="shared" si="77"/>
        <v>8.49619881251759-11.4602000651648i</v>
      </c>
      <c r="U207" s="246" t="str">
        <f t="shared" si="78"/>
        <v>82.7685377714961-20.2659917700937i</v>
      </c>
      <c r="V207" s="246">
        <f t="shared" si="90"/>
        <v>38.610168481335577</v>
      </c>
      <c r="W207" s="246">
        <f t="shared" si="91"/>
        <v>-13.758268001149842</v>
      </c>
      <c r="X207" s="246" t="str">
        <f t="shared" si="79"/>
        <v>0.999993536210416-0.00044971743549619i</v>
      </c>
      <c r="Y207" s="246" t="str">
        <f t="shared" si="80"/>
        <v>45.1028068663199+18.3102377455513i</v>
      </c>
      <c r="Z207" s="246" t="str">
        <f t="shared" si="81"/>
        <v>28.2217398029305+11.4423056977014i</v>
      </c>
      <c r="AA207" s="246" t="str">
        <f t="shared" si="82"/>
        <v>10.4183808057789-7.33357647794573i</v>
      </c>
      <c r="AB207" s="246">
        <f t="shared" si="92"/>
        <v>22.103827429554606</v>
      </c>
      <c r="AC207" s="246">
        <f t="shared" si="93"/>
        <v>-35.14200208320775</v>
      </c>
      <c r="AD207" s="248">
        <f t="shared" si="94"/>
        <v>-7.2236224850460218</v>
      </c>
      <c r="AE207" s="248">
        <f t="shared" si="95"/>
        <v>138.75124245340905</v>
      </c>
      <c r="AF207" s="246">
        <f t="shared" si="83"/>
        <v>14.880204944508584</v>
      </c>
      <c r="AG207" s="246">
        <f t="shared" si="84"/>
        <v>103.60924037020129</v>
      </c>
      <c r="AH207" s="249" t="str">
        <f t="shared" si="85"/>
        <v>0.327304857803041-0.287026100524211i</v>
      </c>
    </row>
    <row r="208" spans="9:34" x14ac:dyDescent="0.2">
      <c r="I208" s="246">
        <v>204</v>
      </c>
      <c r="J208" s="246">
        <f t="shared" si="73"/>
        <v>2.9890249954638137</v>
      </c>
      <c r="K208" s="246">
        <f t="shared" si="96"/>
        <v>975.04575406365495</v>
      </c>
      <c r="L208" s="246">
        <f t="shared" si="86"/>
        <v>6126.3931557605974</v>
      </c>
      <c r="M208" s="246">
        <f t="shared" si="74"/>
        <v>7821.2419030767678</v>
      </c>
      <c r="N208" s="246">
        <f>SQRT((ABS(AC208)-171.5+'Small Signal'!C$59)^2)</f>
        <v>65.723489844359619</v>
      </c>
      <c r="O208" s="246">
        <f t="shared" si="87"/>
        <v>103.593399398153</v>
      </c>
      <c r="P208" s="246">
        <f t="shared" si="88"/>
        <v>14.739095213724946</v>
      </c>
      <c r="Q208" s="246">
        <f t="shared" si="89"/>
        <v>975.04575406365495</v>
      </c>
      <c r="R208" s="246" t="str">
        <f t="shared" si="75"/>
        <v>0.161233333333333+0.0287940478320748i</v>
      </c>
      <c r="S208" s="246" t="str">
        <f t="shared" si="76"/>
        <v>0.025-17.3646999170096i</v>
      </c>
      <c r="T208" s="246" t="str">
        <f t="shared" si="77"/>
        <v>8.25187940303592-11.3823678844187i</v>
      </c>
      <c r="U208" s="246" t="str">
        <f t="shared" si="78"/>
        <v>82.6918015591781-20.7405735470311i</v>
      </c>
      <c r="V208" s="246">
        <f t="shared" si="90"/>
        <v>38.614212188577007</v>
      </c>
      <c r="W208" s="246">
        <f t="shared" si="91"/>
        <v>-14.080333766520805</v>
      </c>
      <c r="X208" s="246" t="str">
        <f t="shared" si="79"/>
        <v>0.999993239365529-0.000459927998027639i</v>
      </c>
      <c r="Y208" s="246" t="str">
        <f t="shared" si="80"/>
        <v>45.3444255807021+18.7014880910241i</v>
      </c>
      <c r="Z208" s="246" t="str">
        <f t="shared" si="81"/>
        <v>28.3731190477622+11.6867131713418i</v>
      </c>
      <c r="AA208" s="246" t="str">
        <f t="shared" si="82"/>
        <v>10.2659264680974-7.39762355180938i</v>
      </c>
      <c r="AB208" s="246">
        <f t="shared" si="92"/>
        <v>22.044295255379829</v>
      </c>
      <c r="AC208" s="246">
        <f t="shared" si="93"/>
        <v>-35.776510155640374</v>
      </c>
      <c r="AD208" s="248">
        <f t="shared" si="94"/>
        <v>-7.3052000416548832</v>
      </c>
      <c r="AE208" s="248">
        <f t="shared" si="95"/>
        <v>139.36990955379338</v>
      </c>
      <c r="AF208" s="246">
        <f t="shared" si="83"/>
        <v>14.739095213724946</v>
      </c>
      <c r="AG208" s="246">
        <f t="shared" si="84"/>
        <v>103.593399398153</v>
      </c>
      <c r="AH208" s="249" t="str">
        <f t="shared" si="85"/>
        <v>0.327296523797654-0.280825345872372i</v>
      </c>
    </row>
    <row r="209" spans="9:34" x14ac:dyDescent="0.2">
      <c r="I209" s="246">
        <v>205</v>
      </c>
      <c r="J209" s="246">
        <f t="shared" si="73"/>
        <v>2.998775117990597</v>
      </c>
      <c r="K209" s="246">
        <f t="shared" si="96"/>
        <v>997.1835785220436</v>
      </c>
      <c r="L209" s="246">
        <f t="shared" si="86"/>
        <v>6265.4892091304655</v>
      </c>
      <c r="M209" s="246">
        <f t="shared" si="74"/>
        <v>7798.6014526957424</v>
      </c>
      <c r="N209" s="246">
        <f>SQRT((ABS(AC209)-171.5+'Small Signal'!C$59)^2)</f>
        <v>65.082990972908362</v>
      </c>
      <c r="O209" s="246">
        <f t="shared" si="87"/>
        <v>103.56875700615905</v>
      </c>
      <c r="P209" s="246">
        <f t="shared" si="88"/>
        <v>14.598239298656088</v>
      </c>
      <c r="Q209" s="246">
        <f t="shared" si="89"/>
        <v>997.1835785220436</v>
      </c>
      <c r="R209" s="246" t="str">
        <f t="shared" si="75"/>
        <v>0.161233333333333+0.0294477992829132i</v>
      </c>
      <c r="S209" s="246" t="str">
        <f t="shared" si="76"/>
        <v>0.025-16.9791975011905i</v>
      </c>
      <c r="T209" s="246" t="str">
        <f t="shared" si="77"/>
        <v>8.01097681444937-11.29992851274i</v>
      </c>
      <c r="U209" s="246" t="str">
        <f t="shared" si="78"/>
        <v>82.6110132710057-21.2268673203456i</v>
      </c>
      <c r="V209" s="246">
        <f t="shared" si="90"/>
        <v>38.618425138202142</v>
      </c>
      <c r="W209" s="246">
        <f t="shared" si="91"/>
        <v>-14.410386905390277</v>
      </c>
      <c r="X209" s="246" t="str">
        <f t="shared" si="79"/>
        <v>0.999992928888254-0.000470370385209368i</v>
      </c>
      <c r="Y209" s="246" t="str">
        <f t="shared" si="80"/>
        <v>45.5973872962203+19.0997807493137i</v>
      </c>
      <c r="Z209" s="246" t="str">
        <f t="shared" si="81"/>
        <v>28.5316038996146+11.9355130114135i</v>
      </c>
      <c r="AA209" s="246" t="str">
        <f t="shared" si="82"/>
        <v>10.110864710679-7.45900643926275i</v>
      </c>
      <c r="AB209" s="246">
        <f t="shared" si="92"/>
        <v>21.982896015615211</v>
      </c>
      <c r="AC209" s="246">
        <f t="shared" si="93"/>
        <v>-36.41700902709163</v>
      </c>
      <c r="AD209" s="248">
        <f t="shared" si="94"/>
        <v>-7.3846567169591228</v>
      </c>
      <c r="AE209" s="248">
        <f t="shared" si="95"/>
        <v>139.98576603325068</v>
      </c>
      <c r="AF209" s="246">
        <f t="shared" si="83"/>
        <v>14.598239298656088</v>
      </c>
      <c r="AG209" s="246">
        <f t="shared" si="84"/>
        <v>103.56875700615905</v>
      </c>
      <c r="AH209" s="249" t="str">
        <f t="shared" si="85"/>
        <v>0.327288372171638-0.274766137467672i</v>
      </c>
    </row>
    <row r="210" spans="9:34" x14ac:dyDescent="0.2">
      <c r="I210" s="246">
        <v>206</v>
      </c>
      <c r="J210" s="246">
        <f t="shared" si="73"/>
        <v>3.0085252405173804</v>
      </c>
      <c r="K210" s="246">
        <f t="shared" si="96"/>
        <v>1019.8240289030692</v>
      </c>
      <c r="L210" s="246">
        <f t="shared" si="86"/>
        <v>6407.7433543124544</v>
      </c>
      <c r="M210" s="246">
        <f t="shared" si="74"/>
        <v>7775.4469645743266</v>
      </c>
      <c r="N210" s="246">
        <f>SQRT((ABS(AC210)-171.5+'Small Signal'!C$59)^2)</f>
        <v>64.436699777618344</v>
      </c>
      <c r="O210" s="246">
        <f t="shared" si="87"/>
        <v>103.53520696473666</v>
      </c>
      <c r="P210" s="246">
        <f t="shared" si="88"/>
        <v>14.457588728490197</v>
      </c>
      <c r="Q210" s="246">
        <f t="shared" si="89"/>
        <v>1019.8240289030692</v>
      </c>
      <c r="R210" s="246" t="str">
        <f t="shared" si="75"/>
        <v>0.161233333333333+0.0301163937652685i</v>
      </c>
      <c r="S210" s="246" t="str">
        <f t="shared" si="76"/>
        <v>0.025-16.6022533739289i</v>
      </c>
      <c r="T210" s="246" t="str">
        <f t="shared" si="77"/>
        <v>7.77365747599289-11.2130634720384i</v>
      </c>
      <c r="U210" s="246" t="str">
        <f t="shared" si="78"/>
        <v>82.5259368362747-21.7251954863032i</v>
      </c>
      <c r="V210" s="246">
        <f t="shared" si="90"/>
        <v>38.622813502364394</v>
      </c>
      <c r="W210" s="246">
        <f t="shared" si="91"/>
        <v>-14.748655701622432</v>
      </c>
      <c r="X210" s="246" t="str">
        <f t="shared" si="79"/>
        <v>0.999992604152534-0.00048104986047993i</v>
      </c>
      <c r="Y210" s="246" t="str">
        <f t="shared" si="80"/>
        <v>45.8622330254641+19.5051312232613i</v>
      </c>
      <c r="Z210" s="246" t="str">
        <f t="shared" si="81"/>
        <v>28.6975331680776+12.1887142484416i</v>
      </c>
      <c r="AA210" s="246" t="str">
        <f t="shared" si="82"/>
        <v>9.95328830607913-7.51759567034542i</v>
      </c>
      <c r="AB210" s="246">
        <f t="shared" si="92"/>
        <v>21.919598881182804</v>
      </c>
      <c r="AC210" s="246">
        <f t="shared" si="93"/>
        <v>-37.063300222381663</v>
      </c>
      <c r="AD210" s="248">
        <f t="shared" si="94"/>
        <v>-7.4620101526926064</v>
      </c>
      <c r="AE210" s="248">
        <f t="shared" si="95"/>
        <v>140.59850718711832</v>
      </c>
      <c r="AF210" s="246">
        <f t="shared" si="83"/>
        <v>14.457588728490197</v>
      </c>
      <c r="AG210" s="246">
        <f t="shared" si="84"/>
        <v>103.53520696473666</v>
      </c>
      <c r="AH210" s="249" t="str">
        <f t="shared" si="85"/>
        <v>0.327280386491547-0.268845421055061i</v>
      </c>
    </row>
    <row r="211" spans="9:34" x14ac:dyDescent="0.2">
      <c r="I211" s="246">
        <v>207</v>
      </c>
      <c r="J211" s="246">
        <f t="shared" si="73"/>
        <v>3.0182753630441641</v>
      </c>
      <c r="K211" s="246">
        <f t="shared" si="96"/>
        <v>1042.978517024485</v>
      </c>
      <c r="L211" s="246">
        <f t="shared" si="86"/>
        <v>6553.2272938721981</v>
      </c>
      <c r="M211" s="246">
        <f t="shared" si="74"/>
        <v>7751.7667677963509</v>
      </c>
      <c r="N211" s="246">
        <f>SQRT((ABS(AC211)-171.5+'Small Signal'!C$59)^2)</f>
        <v>63.784824550822947</v>
      </c>
      <c r="O211" s="246">
        <f t="shared" si="87"/>
        <v>103.49265936220695</v>
      </c>
      <c r="P211" s="246">
        <f t="shared" si="88"/>
        <v>14.317094356185123</v>
      </c>
      <c r="Q211" s="246">
        <f t="shared" si="89"/>
        <v>1042.978517024485</v>
      </c>
      <c r="R211" s="246" t="str">
        <f t="shared" si="75"/>
        <v>0.161233333333333+0.0308001682811993i</v>
      </c>
      <c r="S211" s="246" t="str">
        <f t="shared" si="76"/>
        <v>0.025-16.2336775382232i</v>
      </c>
      <c r="T211" s="246" t="str">
        <f t="shared" si="77"/>
        <v>7.54007579326352-11.1219605359315i</v>
      </c>
      <c r="U211" s="246" t="str">
        <f t="shared" si="78"/>
        <v>82.436320610954-22.2358905746066i</v>
      </c>
      <c r="V211" s="246">
        <f t="shared" si="90"/>
        <v>38.627383578739391</v>
      </c>
      <c r="W211" s="246">
        <f t="shared" si="91"/>
        <v>-15.095376868517105</v>
      </c>
      <c r="X211" s="246" t="str">
        <f t="shared" si="79"/>
        <v>0.999992264503559-0.00049197180678107i</v>
      </c>
      <c r="Y211" s="246" t="str">
        <f t="shared" si="80"/>
        <v>46.1395300454908+19.9175433940036i</v>
      </c>
      <c r="Z211" s="246" t="str">
        <f t="shared" si="81"/>
        <v>28.8712621015237+12.4463186011534i</v>
      </c>
      <c r="AA211" s="246" t="str">
        <f t="shared" si="82"/>
        <v>9.79329820715354-7.57326518740147i</v>
      </c>
      <c r="AB211" s="246">
        <f t="shared" si="92"/>
        <v>21.854374225038853</v>
      </c>
      <c r="AC211" s="246">
        <f t="shared" si="93"/>
        <v>-37.71517544917706</v>
      </c>
      <c r="AD211" s="248">
        <f t="shared" si="94"/>
        <v>-7.537279868853731</v>
      </c>
      <c r="AE211" s="248">
        <f t="shared" si="95"/>
        <v>141.207834811384</v>
      </c>
      <c r="AF211" s="246">
        <f t="shared" si="83"/>
        <v>14.317094356185123</v>
      </c>
      <c r="AG211" s="246">
        <f t="shared" si="84"/>
        <v>103.49265936220695</v>
      </c>
      <c r="AH211" s="249" t="str">
        <f t="shared" si="85"/>
        <v>0.327272550658902-0.263060212173743i</v>
      </c>
    </row>
    <row r="212" spans="9:34" x14ac:dyDescent="0.2">
      <c r="I212" s="246">
        <v>208</v>
      </c>
      <c r="J212" s="246">
        <f t="shared" si="73"/>
        <v>3.0280254855709474</v>
      </c>
      <c r="K212" s="246">
        <f t="shared" si="96"/>
        <v>1066.6587138024611</v>
      </c>
      <c r="L212" s="246">
        <f t="shared" si="86"/>
        <v>6702.0143583386989</v>
      </c>
      <c r="M212" s="246">
        <f t="shared" si="74"/>
        <v>7727.5489264645403</v>
      </c>
      <c r="N212" s="246">
        <f>SQRT((ABS(AC212)-171.5+'Small Signal'!C$59)^2)</f>
        <v>63.12758309281736</v>
      </c>
      <c r="O212" s="246">
        <f t="shared" si="87"/>
        <v>103.44104090537297</v>
      </c>
      <c r="P212" s="246">
        <f t="shared" si="88"/>
        <v>14.176706531694908</v>
      </c>
      <c r="Q212" s="246">
        <f t="shared" si="89"/>
        <v>1066.6587138024611</v>
      </c>
      <c r="R212" s="246" t="str">
        <f t="shared" si="75"/>
        <v>0.161233333333333+0.0314994674841919i</v>
      </c>
      <c r="S212" s="246" t="str">
        <f t="shared" si="76"/>
        <v>0.025-15.8732842150721i</v>
      </c>
      <c r="T212" s="246" t="str">
        <f t="shared" si="77"/>
        <v>7.31037393707837-11.026812817483i</v>
      </c>
      <c r="U212" s="246" t="str">
        <f t="shared" si="78"/>
        <v>82.3418962163359-22.759295528339i</v>
      </c>
      <c r="V212" s="246">
        <f t="shared" si="90"/>
        <v>38.632141780385723</v>
      </c>
      <c r="W212" s="246">
        <f t="shared" si="91"/>
        <v>-15.45079596145456</v>
      </c>
      <c r="X212" s="246" t="str">
        <f t="shared" si="79"/>
        <v>0.99999190925645-0.000503141729270968i</v>
      </c>
      <c r="Y212" s="246" t="str">
        <f t="shared" si="80"/>
        <v>46.4298731653806+20.3370081972456i</v>
      </c>
      <c r="Z212" s="246" t="str">
        <f t="shared" si="81"/>
        <v>29.0531631795303+12.708319645561i</v>
      </c>
      <c r="AA212" s="246" t="str">
        <f t="shared" si="82"/>
        <v>9.63100341887802-7.62589295295377i</v>
      </c>
      <c r="AB212" s="246">
        <f t="shared" si="92"/>
        <v>21.787193722178927</v>
      </c>
      <c r="AC212" s="246">
        <f t="shared" si="93"/>
        <v>-38.37241690718264</v>
      </c>
      <c r="AD212" s="248">
        <f t="shared" si="94"/>
        <v>-7.6104871904840197</v>
      </c>
      <c r="AE212" s="248">
        <f t="shared" si="95"/>
        <v>141.81345781255561</v>
      </c>
      <c r="AF212" s="246">
        <f t="shared" si="83"/>
        <v>14.176706531694908</v>
      </c>
      <c r="AG212" s="246">
        <f t="shared" si="84"/>
        <v>103.44104090537297</v>
      </c>
      <c r="AH212" s="249" t="str">
        <f t="shared" si="85"/>
        <v>0.327264848877764-0.257407594652186i</v>
      </c>
    </row>
    <row r="213" spans="9:34" x14ac:dyDescent="0.2">
      <c r="I213" s="246">
        <v>209</v>
      </c>
      <c r="J213" s="246">
        <f t="shared" si="73"/>
        <v>3.0377756080977307</v>
      </c>
      <c r="K213" s="246">
        <f t="shared" si="96"/>
        <v>1090.876555134271</v>
      </c>
      <c r="L213" s="246">
        <f t="shared" si="86"/>
        <v>6854.1795431663331</v>
      </c>
      <c r="M213" s="246">
        <f t="shared" si="74"/>
        <v>7702.7812336842926</v>
      </c>
      <c r="N213" s="246">
        <f>SQRT((ABS(AC213)-171.5+'Small Signal'!C$59)^2)</f>
        <v>62.465202353568458</v>
      </c>
      <c r="O213" s="246">
        <f t="shared" si="87"/>
        <v>103.3802951300176</v>
      </c>
      <c r="P213" s="246">
        <f t="shared" si="88"/>
        <v>14.036375278945698</v>
      </c>
      <c r="Q213" s="246">
        <f t="shared" si="89"/>
        <v>1090.876555134271</v>
      </c>
      <c r="R213" s="246" t="str">
        <f t="shared" si="75"/>
        <v>0.161233333333333+0.0322146438528818i</v>
      </c>
      <c r="S213" s="246" t="str">
        <f t="shared" si="76"/>
        <v>0.025-15.520891749833i</v>
      </c>
      <c r="T213" s="246" t="str">
        <f t="shared" si="77"/>
        <v>7.08468170966052-10.9278178604924i</v>
      </c>
      <c r="U213" s="246" t="str">
        <f t="shared" si="78"/>
        <v>82.24237728295-23.2957639742307i</v>
      </c>
      <c r="V213" s="246">
        <f t="shared" si="90"/>
        <v>38.637094623498712</v>
      </c>
      <c r="W213" s="246">
        <f t="shared" si="91"/>
        <v>-15.815167814370614</v>
      </c>
      <c r="X213" s="246" t="str">
        <f t="shared" si="79"/>
        <v>0.999991537694873-0.000514565258099096i</v>
      </c>
      <c r="Y213" s="246" t="str">
        <f t="shared" si="80"/>
        <v>46.7338860465855+20.7635021693995i</v>
      </c>
      <c r="Z213" s="246" t="str">
        <f t="shared" si="81"/>
        <v>29.2436269382018+12.9747019024421i</v>
      </c>
      <c r="AA213" s="246" t="str">
        <f t="shared" si="82"/>
        <v>9.46652081773371-7.67536155620504i</v>
      </c>
      <c r="AB213" s="246">
        <f t="shared" si="92"/>
        <v>21.718030447798942</v>
      </c>
      <c r="AC213" s="246">
        <f t="shared" si="93"/>
        <v>-39.034797646431535</v>
      </c>
      <c r="AD213" s="248">
        <f t="shared" si="94"/>
        <v>-7.6816551688532444</v>
      </c>
      <c r="AE213" s="248">
        <f t="shared" si="95"/>
        <v>142.41509277644914</v>
      </c>
      <c r="AF213" s="246">
        <f t="shared" si="83"/>
        <v>14.036375278945698</v>
      </c>
      <c r="AG213" s="246">
        <f t="shared" si="84"/>
        <v>103.3802951300176</v>
      </c>
      <c r="AH213" s="249" t="str">
        <f t="shared" si="85"/>
        <v>0.327257265622928-0.251884719137501i</v>
      </c>
    </row>
    <row r="214" spans="9:34" x14ac:dyDescent="0.2">
      <c r="I214" s="246">
        <v>210</v>
      </c>
      <c r="J214" s="246">
        <f t="shared" si="73"/>
        <v>3.047525730624514</v>
      </c>
      <c r="K214" s="246">
        <f t="shared" si="96"/>
        <v>1115.6442479145194</v>
      </c>
      <c r="L214" s="246">
        <f t="shared" si="86"/>
        <v>7009.7995465359281</v>
      </c>
      <c r="M214" s="246">
        <f t="shared" si="74"/>
        <v>7677.45120541084</v>
      </c>
      <c r="N214" s="246">
        <f>SQRT((ABS(AC214)-171.5+'Small Signal'!C$59)^2)</f>
        <v>61.797918025651001</v>
      </c>
      <c r="O214" s="246">
        <f t="shared" si="87"/>
        <v>103.31038251914362</v>
      </c>
      <c r="P214" s="246">
        <f t="shared" si="88"/>
        <v>13.896050475316837</v>
      </c>
      <c r="Q214" s="246">
        <f t="shared" si="89"/>
        <v>1115.6442479145194</v>
      </c>
      <c r="R214" s="246" t="str">
        <f t="shared" si="75"/>
        <v>0.161233333333333+0.0329460578687189i</v>
      </c>
      <c r="S214" s="246" t="str">
        <f t="shared" si="76"/>
        <v>0.025-15.1763225206598i</v>
      </c>
      <c r="T214" s="246" t="str">
        <f t="shared" si="77"/>
        <v>6.86311648574761-10.8251767413641i</v>
      </c>
      <c r="U214" s="246" t="str">
        <f t="shared" si="78"/>
        <v>82.1374580917201-23.8456604792425i</v>
      </c>
      <c r="V214" s="246">
        <f t="shared" si="90"/>
        <v>38.642248712785545</v>
      </c>
      <c r="W214" s="246">
        <f t="shared" si="91"/>
        <v>-16.188757001432549</v>
      </c>
      <c r="X214" s="246" t="str">
        <f t="shared" si="79"/>
        <v>0.999991149069597-0.000526248151244067i</v>
      </c>
      <c r="Y214" s="246" t="str">
        <f t="shared" si="80"/>
        <v>47.0522225762113+21.1969858506999i</v>
      </c>
      <c r="Z214" s="246" t="str">
        <f t="shared" si="81"/>
        <v>29.4430628284589+13.2454398351407i</v>
      </c>
      <c r="AA214" s="246" t="str">
        <f t="shared" si="82"/>
        <v>9.29997491794531-7.72155881304207i</v>
      </c>
      <c r="AB214" s="246">
        <f t="shared" si="92"/>
        <v>21.646858972971366</v>
      </c>
      <c r="AC214" s="246">
        <f t="shared" si="93"/>
        <v>-39.702081974348992</v>
      </c>
      <c r="AD214" s="248">
        <f t="shared" si="94"/>
        <v>-7.7508084976545284</v>
      </c>
      <c r="AE214" s="248">
        <f t="shared" si="95"/>
        <v>143.01246449349262</v>
      </c>
      <c r="AF214" s="246">
        <f t="shared" si="83"/>
        <v>13.896050475316837</v>
      </c>
      <c r="AG214" s="246">
        <f t="shared" si="84"/>
        <v>103.31038251914362</v>
      </c>
      <c r="AH214" s="249" t="str">
        <f t="shared" si="85"/>
        <v>0.327249785608649-0.246488801658439i</v>
      </c>
    </row>
    <row r="215" spans="9:34" x14ac:dyDescent="0.2">
      <c r="I215" s="246">
        <v>211</v>
      </c>
      <c r="J215" s="246">
        <f t="shared" si="73"/>
        <v>3.0572758531512974</v>
      </c>
      <c r="K215" s="246">
        <f t="shared" si="96"/>
        <v>1140.9742761879713</v>
      </c>
      <c r="L215" s="246">
        <f t="shared" si="86"/>
        <v>7168.9528080141245</v>
      </c>
      <c r="M215" s="246">
        <f t="shared" si="74"/>
        <v>7651.5460741567258</v>
      </c>
      <c r="N215" s="246">
        <f>SQRT((ABS(AC215)-171.5+'Small Signal'!C$59)^2)</f>
        <v>61.12597408913598</v>
      </c>
      <c r="O215" s="246">
        <f t="shared" si="87"/>
        <v>103.23128052771095</v>
      </c>
      <c r="P215" s="246">
        <f t="shared" si="88"/>
        <v>13.755682032352274</v>
      </c>
      <c r="Q215" s="246">
        <f t="shared" si="89"/>
        <v>1140.9742761879713</v>
      </c>
      <c r="R215" s="246" t="str">
        <f t="shared" si="75"/>
        <v>0.161233333333333+0.0336940781976664i</v>
      </c>
      <c r="S215" s="246" t="str">
        <f t="shared" si="76"/>
        <v>0.025-14.8394028489739i</v>
      </c>
      <c r="T215" s="246" t="str">
        <f t="shared" si="77"/>
        <v>6.64578322555919-10.7190931881102i</v>
      </c>
      <c r="U215" s="246" t="str">
        <f t="shared" si="78"/>
        <v>82.0268121037121-24.4093607887334i</v>
      </c>
      <c r="V215" s="246">
        <f t="shared" si="90"/>
        <v>38.647610724160501</v>
      </c>
      <c r="W215" s="246">
        <f t="shared" si="91"/>
        <v>-16.571838325339826</v>
      </c>
      <c r="X215" s="246" t="str">
        <f t="shared" si="79"/>
        <v>0.999990742596985-0.000538196297415915i</v>
      </c>
      <c r="Y215" s="246" t="str">
        <f t="shared" si="80"/>
        <v>47.3855682928938+21.6374020311218i</v>
      </c>
      <c r="Z215" s="246" t="str">
        <f t="shared" si="81"/>
        <v>29.6519001070647+13.5204967488093i</v>
      </c>
      <c r="AA215" s="246" t="str">
        <f t="shared" si="82"/>
        <v>9.13149758441395-7.76437835425249i</v>
      </c>
      <c r="AB215" s="246">
        <f t="shared" si="92"/>
        <v>21.573655457187392</v>
      </c>
      <c r="AC215" s="246">
        <f t="shared" si="93"/>
        <v>-40.374025910864034</v>
      </c>
      <c r="AD215" s="248">
        <f t="shared" si="94"/>
        <v>-7.8179734248351185</v>
      </c>
      <c r="AE215" s="248">
        <f t="shared" si="95"/>
        <v>143.60530643857498</v>
      </c>
      <c r="AF215" s="246">
        <f t="shared" si="83"/>
        <v>13.755682032352274</v>
      </c>
      <c r="AG215" s="246">
        <f t="shared" si="84"/>
        <v>103.23128052771095</v>
      </c>
      <c r="AH215" s="249" t="str">
        <f t="shared" si="85"/>
        <v>0.327242393757862-0.241217122221285i</v>
      </c>
    </row>
    <row r="216" spans="9:34" x14ac:dyDescent="0.2">
      <c r="I216" s="246">
        <v>212</v>
      </c>
      <c r="J216" s="246">
        <f t="shared" si="73"/>
        <v>3.0670259756780807</v>
      </c>
      <c r="K216" s="246">
        <f t="shared" si="96"/>
        <v>1166.8794074420862</v>
      </c>
      <c r="L216" s="246">
        <f t="shared" si="86"/>
        <v>7331.7195480905375</v>
      </c>
      <c r="M216" s="246">
        <f t="shared" si="74"/>
        <v>7625.0527825564059</v>
      </c>
      <c r="N216" s="246">
        <f>SQRT((ABS(AC216)-171.5+'Small Signal'!C$59)^2)</f>
        <v>60.449622309597686</v>
      </c>
      <c r="O216" s="246">
        <f t="shared" si="87"/>
        <v>103.14298351350251</v>
      </c>
      <c r="P216" s="246">
        <f t="shared" si="88"/>
        <v>13.615220076414053</v>
      </c>
      <c r="Q216" s="246">
        <f t="shared" si="89"/>
        <v>1166.8794074420862</v>
      </c>
      <c r="R216" s="246" t="str">
        <f t="shared" si="75"/>
        <v>0.161233333333333+0.0344590818760255i</v>
      </c>
      <c r="S216" s="246" t="str">
        <f t="shared" si="76"/>
        <v>0.025-14.5099629119216i</v>
      </c>
      <c r="T216" s="246" t="str">
        <f t="shared" si="77"/>
        <v>6.43277455597978-10.6097727225015i</v>
      </c>
      <c r="U216" s="246" t="str">
        <f t="shared" si="78"/>
        <v>81.9100903691136-24.9872520406447i</v>
      </c>
      <c r="V216" s="246">
        <f t="shared" si="90"/>
        <v>38.653187384422473</v>
      </c>
      <c r="W216" s="246">
        <f t="shared" si="91"/>
        <v>-16.964697333733497</v>
      </c>
      <c r="X216" s="246" t="str">
        <f t="shared" si="79"/>
        <v>0.999990317457412-0.000550415719024278i</v>
      </c>
      <c r="Y216" s="246" t="str">
        <f t="shared" si="80"/>
        <v>47.7346418643207+22.0846738234996i</v>
      </c>
      <c r="Z216" s="246" t="str">
        <f t="shared" si="81"/>
        <v>29.8705887597694+13.7998235813194i</v>
      </c>
      <c r="AA216" s="246" t="str">
        <f t="shared" si="82"/>
        <v>8.96122769277974-7.80372019656213i</v>
      </c>
      <c r="AB216" s="246">
        <f t="shared" si="92"/>
        <v>21.498397737118605</v>
      </c>
      <c r="AC216" s="246">
        <f t="shared" si="93"/>
        <v>-41.050377690402321</v>
      </c>
      <c r="AD216" s="248">
        <f t="shared" si="94"/>
        <v>-7.8831776607045523</v>
      </c>
      <c r="AE216" s="248">
        <f t="shared" si="95"/>
        <v>144.19336120390483</v>
      </c>
      <c r="AF216" s="246">
        <f t="shared" si="83"/>
        <v>13.615220076414053</v>
      </c>
      <c r="AG216" s="246">
        <f t="shared" si="84"/>
        <v>103.14298351350251</v>
      </c>
      <c r="AH216" s="249" t="str">
        <f t="shared" si="85"/>
        <v>0.327235075171835-0.236067023437919i</v>
      </c>
    </row>
    <row r="217" spans="9:34" x14ac:dyDescent="0.2">
      <c r="I217" s="246">
        <v>213</v>
      </c>
      <c r="J217" s="246">
        <f t="shared" si="73"/>
        <v>3.0767760982048644</v>
      </c>
      <c r="K217" s="246">
        <f t="shared" si="96"/>
        <v>1193.3726990424052</v>
      </c>
      <c r="L217" s="246">
        <f t="shared" si="86"/>
        <v>7498.1818086124867</v>
      </c>
      <c r="M217" s="246">
        <f t="shared" si="74"/>
        <v>7597.9579767847499</v>
      </c>
      <c r="N217" s="246">
        <f>SQRT((ABS(AC217)-171.5+'Small Signal'!C$59)^2)</f>
        <v>59.769121690845964</v>
      </c>
      <c r="O217" s="246">
        <f t="shared" si="87"/>
        <v>103.04550257461896</v>
      </c>
      <c r="P217" s="246">
        <f t="shared" si="88"/>
        <v>13.474615127990788</v>
      </c>
      <c r="Q217" s="246">
        <f t="shared" si="89"/>
        <v>1193.3726990424052</v>
      </c>
      <c r="R217" s="246" t="str">
        <f t="shared" si="75"/>
        <v>0.161233333333333+0.0352414545004787i</v>
      </c>
      <c r="S217" s="246" t="str">
        <f t="shared" si="76"/>
        <v>0.025-14.1878366567761i</v>
      </c>
      <c r="T217" s="246" t="str">
        <f t="shared" si="77"/>
        <v>6.22417091582544-10.4974218308028i</v>
      </c>
      <c r="U217" s="246" t="str">
        <f t="shared" si="78"/>
        <v>81.7869198053764-25.5797329491527i</v>
      </c>
      <c r="V217" s="246">
        <f t="shared" si="90"/>
        <v>38.658985447539465</v>
      </c>
      <c r="W217" s="246">
        <f t="shared" si="91"/>
        <v>-17.367630865237629</v>
      </c>
      <c r="X217" s="246" t="str">
        <f t="shared" si="79"/>
        <v>0.999989872793608-0.000562912575213964i</v>
      </c>
      <c r="Y217" s="246" t="str">
        <f t="shared" si="80"/>
        <v>48.1001966147137+22.5387025466941i</v>
      </c>
      <c r="Z217" s="246" t="str">
        <f t="shared" si="81"/>
        <v>30.099600455495+14.0833575750955i</v>
      </c>
      <c r="AA217" s="246" t="str">
        <f t="shared" si="82"/>
        <v>8.78931073766293-7.83949129107404i</v>
      </c>
      <c r="AB217" s="246">
        <f t="shared" si="92"/>
        <v>21.421065410960583</v>
      </c>
      <c r="AC217" s="246">
        <f t="shared" si="93"/>
        <v>-41.73087830915405</v>
      </c>
      <c r="AD217" s="248">
        <f t="shared" si="94"/>
        <v>-7.9464502829697956</v>
      </c>
      <c r="AE217" s="248">
        <f t="shared" si="95"/>
        <v>144.77638088377302</v>
      </c>
      <c r="AF217" s="246">
        <f t="shared" si="83"/>
        <v>13.474615127990788</v>
      </c>
      <c r="AG217" s="246">
        <f t="shared" si="84"/>
        <v>103.04550257461896</v>
      </c>
      <c r="AH217" s="249" t="str">
        <f t="shared" si="85"/>
        <v>0.327227815100175-0.231035909185372i</v>
      </c>
    </row>
    <row r="218" spans="9:34" x14ac:dyDescent="0.2">
      <c r="I218" s="246">
        <v>214</v>
      </c>
      <c r="J218" s="246">
        <f t="shared" si="73"/>
        <v>3.0865262207316477</v>
      </c>
      <c r="K218" s="246">
        <f t="shared" si="96"/>
        <v>1220.4675048140618</v>
      </c>
      <c r="L218" s="246">
        <f t="shared" si="86"/>
        <v>7668.4234941378445</v>
      </c>
      <c r="M218" s="246">
        <f t="shared" si="74"/>
        <v>7570.2479998260915</v>
      </c>
      <c r="N218" s="246">
        <f>SQRT((ABS(AC218)-171.5+'Small Signal'!C$59)^2)</f>
        <v>59.084737884410373</v>
      </c>
      <c r="O218" s="246">
        <f t="shared" si="87"/>
        <v>102.93886529496007</v>
      </c>
      <c r="P218" s="246">
        <f t="shared" si="88"/>
        <v>13.333818278391295</v>
      </c>
      <c r="Q218" s="246">
        <f t="shared" si="89"/>
        <v>1220.4675048140618</v>
      </c>
      <c r="R218" s="246" t="str">
        <f t="shared" si="75"/>
        <v>0.161233333333333+0.0360415904224479i</v>
      </c>
      <c r="S218" s="246" t="str">
        <f t="shared" si="76"/>
        <v>0.025-13.8728617172394i</v>
      </c>
      <c r="T218" s="246" t="str">
        <f t="shared" si="77"/>
        <v>6.02004076065118-10.3822471679121i</v>
      </c>
      <c r="U218" s="246" t="str">
        <f t="shared" si="78"/>
        <v>81.6569013336807-26.1872139501369i</v>
      </c>
      <c r="V218" s="246">
        <f t="shared" si="90"/>
        <v>38.665011667121576</v>
      </c>
      <c r="W218" s="246">
        <f t="shared" si="91"/>
        <v>-17.78094762670915</v>
      </c>
      <c r="X218" s="246" t="str">
        <f t="shared" si="79"/>
        <v>0.99998940770894-0.00057569316496944i</v>
      </c>
      <c r="Y218" s="246" t="str">
        <f t="shared" si="80"/>
        <v>48.4830220996772+22.9993653999554i</v>
      </c>
      <c r="Z218" s="246" t="str">
        <f t="shared" si="81"/>
        <v>30.3394295299075+14.3710208180654i</v>
      </c>
      <c r="AA218" s="246" t="str">
        <f t="shared" si="82"/>
        <v>8.61589839075688-7.8716060437442i</v>
      </c>
      <c r="AB218" s="246">
        <f t="shared" si="92"/>
        <v>21.341639917738728</v>
      </c>
      <c r="AC218" s="246">
        <f t="shared" si="93"/>
        <v>-42.415262115589627</v>
      </c>
      <c r="AD218" s="248">
        <f t="shared" si="94"/>
        <v>-8.0078216393474335</v>
      </c>
      <c r="AE218" s="248">
        <f t="shared" si="95"/>
        <v>145.35412741054969</v>
      </c>
      <c r="AF218" s="246">
        <f t="shared" si="83"/>
        <v>13.333818278391295</v>
      </c>
      <c r="AG218" s="246">
        <f t="shared" si="84"/>
        <v>102.93886529496007</v>
      </c>
      <c r="AH218" s="249" t="str">
        <f t="shared" si="85"/>
        <v>0.32722059891114-0.226121243296177i</v>
      </c>
    </row>
    <row r="219" spans="9:34" x14ac:dyDescent="0.2">
      <c r="I219" s="246">
        <v>215</v>
      </c>
      <c r="J219" s="246">
        <f t="shared" si="73"/>
        <v>3.096276343258431</v>
      </c>
      <c r="K219" s="246">
        <f t="shared" si="96"/>
        <v>1248.1774817727201</v>
      </c>
      <c r="L219" s="246">
        <f t="shared" si="86"/>
        <v>7842.5304142267705</v>
      </c>
      <c r="M219" s="246">
        <f t="shared" si="74"/>
        <v>7541.9088845904871</v>
      </c>
      <c r="N219" s="246">
        <f>SQRT((ABS(AC219)-171.5+'Small Signal'!C$59)^2)</f>
        <v>58.396742558249628</v>
      </c>
      <c r="O219" s="246">
        <f t="shared" si="87"/>
        <v>102.82311539990843</v>
      </c>
      <c r="P219" s="246">
        <f t="shared" si="88"/>
        <v>13.192781362581206</v>
      </c>
      <c r="Q219" s="246">
        <f t="shared" si="89"/>
        <v>1248.1774817727201</v>
      </c>
      <c r="R219" s="246" t="str">
        <f t="shared" si="75"/>
        <v>0.161233333333333+0.0368598929468658i</v>
      </c>
      <c r="S219" s="246" t="str">
        <f t="shared" si="76"/>
        <v>0.025-13.5648793316019i</v>
      </c>
      <c r="T219" s="246" t="str">
        <f t="shared" si="77"/>
        <v>5.82044082223879-10.2644547990862i</v>
      </c>
      <c r="U219" s="246" t="str">
        <f t="shared" si="78"/>
        <v>81.5196078620718-26.8101172995045i</v>
      </c>
      <c r="V219" s="246">
        <f t="shared" si="90"/>
        <v>38.671272764614557</v>
      </c>
      <c r="W219" s="246">
        <f t="shared" si="91"/>
        <v>-18.204968803298492</v>
      </c>
      <c r="X219" s="246" t="str">
        <f t="shared" si="79"/>
        <v>0.999988921265593-0.000588763930289808i</v>
      </c>
      <c r="Y219" s="246" t="str">
        <f t="shared" si="80"/>
        <v>48.8839457247363+23.4665129077688i</v>
      </c>
      <c r="Z219" s="246" t="str">
        <f t="shared" si="81"/>
        <v>30.5905939960445+14.662718640755i</v>
      </c>
      <c r="AA219" s="246" t="str">
        <f t="shared" si="82"/>
        <v>8.44114801107147-7.89998680265436i</v>
      </c>
      <c r="AB219" s="246">
        <f t="shared" si="92"/>
        <v>21.260104610977663</v>
      </c>
      <c r="AC219" s="246">
        <f t="shared" si="93"/>
        <v>-43.103257441750372</v>
      </c>
      <c r="AD219" s="248">
        <f t="shared" si="94"/>
        <v>-8.0673232483964572</v>
      </c>
      <c r="AE219" s="248">
        <f t="shared" si="95"/>
        <v>145.9263728416588</v>
      </c>
      <c r="AF219" s="246">
        <f t="shared" si="83"/>
        <v>13.192781362581206</v>
      </c>
      <c r="AG219" s="246">
        <f t="shared" si="84"/>
        <v>102.82311539990843</v>
      </c>
      <c r="AH219" s="249" t="str">
        <f t="shared" si="85"/>
        <v>0.327213412062198-0.221320548278865i</v>
      </c>
    </row>
    <row r="220" spans="9:34" x14ac:dyDescent="0.2">
      <c r="I220" s="246">
        <v>216</v>
      </c>
      <c r="J220" s="246">
        <f t="shared" si="73"/>
        <v>3.1060264657852144</v>
      </c>
      <c r="K220" s="246">
        <f t="shared" si="96"/>
        <v>1276.5165970083247</v>
      </c>
      <c r="L220" s="246">
        <f t="shared" si="86"/>
        <v>8020.5903266935902</v>
      </c>
      <c r="M220" s="246">
        <f t="shared" si="74"/>
        <v>7512.9263468736517</v>
      </c>
      <c r="N220" s="246">
        <f>SQRT((ABS(AC220)-171.5+'Small Signal'!C$59)^2)</f>
        <v>57.705412727554204</v>
      </c>
      <c r="O220" s="246">
        <f t="shared" si="87"/>
        <v>102.69831232523111</v>
      </c>
      <c r="P220" s="246">
        <f t="shared" si="88"/>
        <v>13.051457126970337</v>
      </c>
      <c r="Q220" s="246">
        <f t="shared" si="89"/>
        <v>1276.5165970083247</v>
      </c>
      <c r="R220" s="246" t="str">
        <f t="shared" si="75"/>
        <v>0.161233333333333+0.0376967745354599i</v>
      </c>
      <c r="S220" s="246" t="str">
        <f t="shared" si="76"/>
        <v>0.025-13.2637342627197i</v>
      </c>
      <c r="T220" s="246" t="str">
        <f t="shared" si="77"/>
        <v>5.62541641767023-10.1442494827952i</v>
      </c>
      <c r="U220" s="246" t="str">
        <f t="shared" si="78"/>
        <v>81.3745821028223-27.4488771139445i</v>
      </c>
      <c r="V220" s="246">
        <f t="shared" si="90"/>
        <v>38.677775392696397</v>
      </c>
      <c r="W220" s="246">
        <f t="shared" si="91"/>
        <v>-18.640028702952304</v>
      </c>
      <c r="X220" s="246" t="str">
        <f t="shared" si="79"/>
        <v>0.999988412482685-0.000602131459435866i</v>
      </c>
      <c r="Y220" s="246" t="str">
        <f t="shared" si="80"/>
        <v>49.3038344025617+23.9399661124549i</v>
      </c>
      <c r="Z220" s="246" t="str">
        <f t="shared" si="81"/>
        <v>30.8536365788304+14.9583378552955i</v>
      </c>
      <c r="AA220" s="246" t="str">
        <f t="shared" si="82"/>
        <v>8.26522211024471-7.92456430706288i</v>
      </c>
      <c r="AB220" s="246">
        <f t="shared" si="92"/>
        <v>21.176444826172865</v>
      </c>
      <c r="AC220" s="246">
        <f t="shared" si="93"/>
        <v>-43.794587272445796</v>
      </c>
      <c r="AD220" s="248">
        <f t="shared" si="94"/>
        <v>-8.1249876992025278</v>
      </c>
      <c r="AE220" s="248">
        <f t="shared" si="95"/>
        <v>146.49289959767691</v>
      </c>
      <c r="AF220" s="246">
        <f t="shared" si="83"/>
        <v>13.051457126970337</v>
      </c>
      <c r="AG220" s="246">
        <f t="shared" si="84"/>
        <v>102.69831232523111</v>
      </c>
      <c r="AH220" s="249" t="str">
        <f t="shared" si="85"/>
        <v>0.327206240070775-0.216631404067945i</v>
      </c>
    </row>
    <row r="221" spans="9:34" x14ac:dyDescent="0.2">
      <c r="I221" s="246">
        <v>217</v>
      </c>
      <c r="J221" s="246">
        <f t="shared" si="73"/>
        <v>3.1157765883119977</v>
      </c>
      <c r="K221" s="246">
        <f t="shared" si="96"/>
        <v>1305.4991347251598</v>
      </c>
      <c r="L221" s="246">
        <f t="shared" si="86"/>
        <v>8202.692981840788</v>
      </c>
      <c r="M221" s="246">
        <f t="shared" si="74"/>
        <v>7483.2857781570829</v>
      </c>
      <c r="N221" s="246">
        <f>SQRT((ABS(AC221)-171.5+'Small Signal'!C$59)^2)</f>
        <v>57.01103005092115</v>
      </c>
      <c r="O221" s="246">
        <f t="shared" si="87"/>
        <v>102.56453070300161</v>
      </c>
      <c r="P221" s="246">
        <f t="shared" si="88"/>
        <v>12.909799391010301</v>
      </c>
      <c r="Q221" s="246">
        <f t="shared" si="89"/>
        <v>1305.4991347251598</v>
      </c>
      <c r="R221" s="246" t="str">
        <f t="shared" si="75"/>
        <v>0.161233333333333+0.0385526570146517i</v>
      </c>
      <c r="S221" s="246" t="str">
        <f t="shared" si="76"/>
        <v>0.025-12.9692747197678i</v>
      </c>
      <c r="T221" s="246" t="str">
        <f t="shared" si="77"/>
        <v>5.43500180273712-10.0218339975982i</v>
      </c>
      <c r="U221" s="246" t="str">
        <f t="shared" si="78"/>
        <v>81.2213342106889-28.1039393419682i</v>
      </c>
      <c r="V221" s="246">
        <f t="shared" si="90"/>
        <v>38.684526093296647</v>
      </c>
      <c r="W221" s="246">
        <f t="shared" si="91"/>
        <v>-19.086475437000296</v>
      </c>
      <c r="X221" s="246" t="str">
        <f t="shared" si="79"/>
        <v>0.999987880334288-0.000615802490250892i</v>
      </c>
      <c r="Y221" s="246" t="str">
        <f t="shared" si="80"/>
        <v>49.7435962423113+24.41951348959i</v>
      </c>
      <c r="Z221" s="246" t="str">
        <f t="shared" si="81"/>
        <v>31.1291257693306+15.2577448207301i</v>
      </c>
      <c r="AA221" s="246" t="str">
        <f t="shared" si="82"/>
        <v>8.08828777643026-7.94527809349927i</v>
      </c>
      <c r="AB221" s="246">
        <f t="shared" si="92"/>
        <v>21.09064794153614</v>
      </c>
      <c r="AC221" s="246">
        <f t="shared" si="93"/>
        <v>-44.48896994907885</v>
      </c>
      <c r="AD221" s="248">
        <f t="shared" si="94"/>
        <v>-8.1808485505258393</v>
      </c>
      <c r="AE221" s="248">
        <f t="shared" si="95"/>
        <v>147.05350065208046</v>
      </c>
      <c r="AF221" s="246">
        <f t="shared" si="83"/>
        <v>12.909799391010301</v>
      </c>
      <c r="AG221" s="246">
        <f t="shared" si="84"/>
        <v>102.56453070300161</v>
      </c>
      <c r="AH221" s="249" t="str">
        <f t="shared" si="85"/>
        <v>0.327199068485121-0.212051446802735i</v>
      </c>
    </row>
    <row r="222" spans="9:34" x14ac:dyDescent="0.2">
      <c r="I222" s="246">
        <v>218</v>
      </c>
      <c r="J222" s="246">
        <f t="shared" si="73"/>
        <v>3.125526710838781</v>
      </c>
      <c r="K222" s="246">
        <f t="shared" si="96"/>
        <v>1335.1397034417289</v>
      </c>
      <c r="L222" s="246">
        <f t="shared" si="86"/>
        <v>8388.9301676971809</v>
      </c>
      <c r="M222" s="246">
        <f t="shared" si="74"/>
        <v>7452.9722382446907</v>
      </c>
      <c r="N222" s="246">
        <f>SQRT((ABS(AC222)-171.5+'Small Signal'!C$59)^2)</f>
        <v>56.313880095532909</v>
      </c>
      <c r="O222" s="246">
        <f t="shared" si="87"/>
        <v>102.42185976905327</v>
      </c>
      <c r="P222" s="246">
        <f t="shared" si="88"/>
        <v>12.767763201538859</v>
      </c>
      <c r="Q222" s="246">
        <f t="shared" si="89"/>
        <v>1335.1397034417289</v>
      </c>
      <c r="R222" s="246" t="str">
        <f t="shared" si="75"/>
        <v>0.161233333333333+0.0394279717881768i</v>
      </c>
      <c r="S222" s="246" t="str">
        <f t="shared" si="76"/>
        <v>0.025-12.6813522817305i</v>
      </c>
      <c r="T222" s="246" t="str">
        <f t="shared" si="77"/>
        <v>5.2492205643641-9.89740851531016i</v>
      </c>
      <c r="U222" s="246" t="str">
        <f t="shared" si="78"/>
        <v>81.0593392279005-28.7757616511303i</v>
      </c>
      <c r="V222" s="246">
        <f t="shared" si="90"/>
        <v>38.691531249595442</v>
      </c>
      <c r="W222" s="246">
        <f t="shared" si="91"/>
        <v>-19.54467163845457</v>
      </c>
      <c r="X222" s="246" t="str">
        <f t="shared" si="79"/>
        <v>0.999987323747359-0.000629783913556821i</v>
      </c>
      <c r="Y222" s="246" t="str">
        <f t="shared" si="80"/>
        <v>50.204182262612+24.9049075589421i</v>
      </c>
      <c r="Z222" s="246" t="str">
        <f t="shared" si="81"/>
        <v>31.4176568933921+15.560783317526i</v>
      </c>
      <c r="AA222" s="246" t="str">
        <f t="shared" si="82"/>
        <v>7.91051606083279-7.96207685454682i</v>
      </c>
      <c r="AB222" s="246">
        <f t="shared" si="92"/>
        <v>21.0027034315385</v>
      </c>
      <c r="AC222" s="246">
        <f t="shared" si="93"/>
        <v>-45.186119904467091</v>
      </c>
      <c r="AD222" s="248">
        <f t="shared" si="94"/>
        <v>-8.2349402299996406</v>
      </c>
      <c r="AE222" s="248">
        <f t="shared" si="95"/>
        <v>147.60797967352036</v>
      </c>
      <c r="AF222" s="246">
        <f t="shared" si="83"/>
        <v>12.767763201538859</v>
      </c>
      <c r="AG222" s="246">
        <f t="shared" si="84"/>
        <v>102.42185976905327</v>
      </c>
      <c r="AH222" s="249" t="str">
        <f t="shared" si="85"/>
        <v>0.327191882855253-0.207578367634432i</v>
      </c>
    </row>
    <row r="223" spans="9:34" x14ac:dyDescent="0.2">
      <c r="I223" s="246">
        <v>219</v>
      </c>
      <c r="J223" s="246">
        <f t="shared" si="73"/>
        <v>3.1352768333655643</v>
      </c>
      <c r="K223" s="246">
        <f t="shared" si="96"/>
        <v>1365.4532433541208</v>
      </c>
      <c r="L223" s="246">
        <f t="shared" si="86"/>
        <v>8579.3957562833239</v>
      </c>
      <c r="M223" s="246">
        <f t="shared" si="74"/>
        <v>7421.970447732263</v>
      </c>
      <c r="N223" s="246">
        <f>SQRT((ABS(AC223)-171.5+'Small Signal'!C$59)^2)</f>
        <v>55.61425157531265</v>
      </c>
      <c r="O223" s="246">
        <f t="shared" si="87"/>
        <v>102.27040269714412</v>
      </c>
      <c r="P223" s="246">
        <f t="shared" si="88"/>
        <v>12.625304978885966</v>
      </c>
      <c r="Q223" s="246">
        <f t="shared" si="89"/>
        <v>1365.4532433541208</v>
      </c>
      <c r="R223" s="246" t="str">
        <f t="shared" si="75"/>
        <v>0.161233333333333+0.0403231600545316i</v>
      </c>
      <c r="S223" s="246" t="str">
        <f t="shared" si="76"/>
        <v>0.025-12.3998218225907i</v>
      </c>
      <c r="T223" s="246" t="str">
        <f t="shared" si="77"/>
        <v>5.06808604672021-9.77117002211398i</v>
      </c>
      <c r="U223" s="246" t="str">
        <f t="shared" si="78"/>
        <v>80.8880343208597-29.464813215093i</v>
      </c>
      <c r="V223" s="246">
        <f t="shared" si="90"/>
        <v>38.698797031287512</v>
      </c>
      <c r="W223" s="246">
        <f t="shared" si="91"/>
        <v>-20.014995219631217</v>
      </c>
      <c r="X223" s="246" t="str">
        <f t="shared" si="79"/>
        <v>0.999986741599575-0.000644082776627535i</v>
      </c>
      <c r="Y223" s="246" t="str">
        <f t="shared" si="80"/>
        <v>50.6865881174713+25.3958611610427i</v>
      </c>
      <c r="Z223" s="246" t="str">
        <f t="shared" si="81"/>
        <v>31.7198531879215+15.867272212587i</v>
      </c>
      <c r="AA223" s="246" t="str">
        <f t="shared" si="82"/>
        <v>7.73208133147707-7.9749187463996i</v>
      </c>
      <c r="AB223" s="246">
        <f t="shared" si="92"/>
        <v>20.912602912824305</v>
      </c>
      <c r="AC223" s="246">
        <f t="shared" si="93"/>
        <v>-45.88574842468735</v>
      </c>
      <c r="AD223" s="248">
        <f t="shared" si="94"/>
        <v>-8.2872979339383388</v>
      </c>
      <c r="AE223" s="248">
        <f t="shared" si="95"/>
        <v>148.15615112183147</v>
      </c>
      <c r="AF223" s="246">
        <f t="shared" si="83"/>
        <v>12.625304978885966</v>
      </c>
      <c r="AG223" s="246">
        <f t="shared" si="84"/>
        <v>102.27040269714412</v>
      </c>
      <c r="AH223" s="249" t="str">
        <f t="shared" si="85"/>
        <v>0.327184668703907-0.203209911560793i</v>
      </c>
    </row>
    <row r="224" spans="9:34" x14ac:dyDescent="0.2">
      <c r="I224" s="246">
        <v>220</v>
      </c>
      <c r="J224" s="246">
        <f t="shared" si="73"/>
        <v>3.1450269558923485</v>
      </c>
      <c r="K224" s="246">
        <f t="shared" si="96"/>
        <v>1396.4550338665483</v>
      </c>
      <c r="L224" s="246">
        <f t="shared" si="86"/>
        <v>8774.1857509272686</v>
      </c>
      <c r="M224" s="246">
        <f t="shared" si="74"/>
        <v>7390.2647803059617</v>
      </c>
      <c r="N224" s="246">
        <f>SQRT((ABS(AC224)-171.5+'Small Signal'!C$59)^2)</f>
        <v>54.912435566327673</v>
      </c>
      <c r="O224" s="246">
        <f t="shared" si="87"/>
        <v>102.11027586560229</v>
      </c>
      <c r="P224" s="246">
        <f t="shared" si="88"/>
        <v>12.482382653847843</v>
      </c>
      <c r="Q224" s="246">
        <f t="shared" si="89"/>
        <v>1396.4550338665483</v>
      </c>
      <c r="R224" s="246" t="str">
        <f t="shared" si="75"/>
        <v>0.161233333333333+0.0412386730293582i</v>
      </c>
      <c r="S224" s="246" t="str">
        <f t="shared" si="76"/>
        <v>0.025-12.1245414381798i</v>
      </c>
      <c r="T224" s="246" t="str">
        <f t="shared" si="77"/>
        <v>4.8916018057563-9.64331178869293i</v>
      </c>
      <c r="U224" s="246" t="str">
        <f t="shared" si="78"/>
        <v>80.706815792681-30.1715743815875i</v>
      </c>
      <c r="V224" s="246">
        <f t="shared" si="90"/>
        <v>38.706329332312734</v>
      </c>
      <c r="W224" s="246">
        <f t="shared" si="91"/>
        <v>-20.497840170634131</v>
      </c>
      <c r="X224" s="246" t="str">
        <f t="shared" si="79"/>
        <v>0.999986132717073-0.000658706286741012i</v>
      </c>
      <c r="Y224" s="246" t="str">
        <f t="shared" si="80"/>
        <v>51.1918558217179+25.8920433667536i</v>
      </c>
      <c r="Z224" s="246" t="str">
        <f t="shared" si="81"/>
        <v>32.0363668763563+16.1770028943368i</v>
      </c>
      <c r="AA224" s="246" t="str">
        <f t="shared" si="82"/>
        <v>7.55316059925558-7.98377164179116i</v>
      </c>
      <c r="AB224" s="246">
        <f t="shared" si="92"/>
        <v>20.820340182127918</v>
      </c>
      <c r="AC224" s="246">
        <f t="shared" si="93"/>
        <v>-46.587564433672334</v>
      </c>
      <c r="AD224" s="248">
        <f t="shared" si="94"/>
        <v>-8.3379575282800751</v>
      </c>
      <c r="AE224" s="248">
        <f t="shared" si="95"/>
        <v>148.69784029927462</v>
      </c>
      <c r="AF224" s="246">
        <f t="shared" si="83"/>
        <v>12.482382653847843</v>
      </c>
      <c r="AG224" s="246">
        <f t="shared" si="84"/>
        <v>102.11027586560229</v>
      </c>
      <c r="AH224" s="249" t="str">
        <f t="shared" si="85"/>
        <v>0.327177411497445-0.198943876287854i</v>
      </c>
    </row>
    <row r="225" spans="9:34" x14ac:dyDescent="0.2">
      <c r="I225" s="246">
        <v>221</v>
      </c>
      <c r="J225" s="246">
        <f t="shared" si="73"/>
        <v>3.1547770784191318</v>
      </c>
      <c r="K225" s="246">
        <f t="shared" si="96"/>
        <v>1428.1607012928498</v>
      </c>
      <c r="L225" s="246">
        <f t="shared" si="86"/>
        <v>8973.3983346545283</v>
      </c>
      <c r="M225" s="246">
        <f t="shared" si="74"/>
        <v>7357.8392548659258</v>
      </c>
      <c r="N225" s="246">
        <f>SQRT((ABS(AC225)-171.5+'Small Signal'!C$59)^2)</f>
        <v>54.208724703946729</v>
      </c>
      <c r="O225" s="246">
        <f t="shared" si="87"/>
        <v>101.94160806272041</v>
      </c>
      <c r="P225" s="246">
        <f t="shared" si="88"/>
        <v>12.338955794740892</v>
      </c>
      <c r="Q225" s="246">
        <f t="shared" si="89"/>
        <v>1428.1607012928498</v>
      </c>
      <c r="R225" s="246" t="str">
        <f t="shared" si="75"/>
        <v>0.161233333333333+0.0421749721728763i</v>
      </c>
      <c r="S225" s="246" t="str">
        <f t="shared" si="76"/>
        <v>0.025-11.8553723746512i</v>
      </c>
      <c r="T225" s="246" t="str">
        <f t="shared" si="77"/>
        <v>4.71976208702873-9.51402288991228i</v>
      </c>
      <c r="U225" s="246" t="str">
        <f t="shared" si="78"/>
        <v>80.5150358549505-30.896536199415i</v>
      </c>
      <c r="V225" s="246">
        <f t="shared" si="90"/>
        <v>38.714133700172276</v>
      </c>
      <c r="W225" s="246">
        <f t="shared" si="91"/>
        <v>-20.993617400165032</v>
      </c>
      <c r="X225" s="246" t="str">
        <f t="shared" si="79"/>
        <v>0.99998549587208-0.000673661814812115i</v>
      </c>
      <c r="Y225" s="246" t="str">
        <f t="shared" si="80"/>
        <v>51.7210754593918+26.3930749842489i</v>
      </c>
      <c r="Z225" s="246" t="str">
        <f t="shared" si="81"/>
        <v>32.3678802328939+16.4897364556033i</v>
      </c>
      <c r="AA225" s="246" t="str">
        <f t="shared" si="82"/>
        <v>7.37393282169683-7.9886133254726i</v>
      </c>
      <c r="AB225" s="246">
        <f t="shared" si="92"/>
        <v>20.725911245893712</v>
      </c>
      <c r="AC225" s="246">
        <f t="shared" si="93"/>
        <v>-47.291275296053271</v>
      </c>
      <c r="AD225" s="248">
        <f t="shared" si="94"/>
        <v>-8.3869554511528204</v>
      </c>
      <c r="AE225" s="248">
        <f t="shared" si="95"/>
        <v>149.23288335877368</v>
      </c>
      <c r="AF225" s="246">
        <f t="shared" si="83"/>
        <v>12.338955794740892</v>
      </c>
      <c r="AG225" s="246">
        <f t="shared" si="84"/>
        <v>101.94160806272041</v>
      </c>
      <c r="AH225" s="249" t="str">
        <f t="shared" si="85"/>
        <v>0.327170096616648-0.194778111118097i</v>
      </c>
    </row>
    <row r="226" spans="9:34" x14ac:dyDescent="0.2">
      <c r="I226" s="246">
        <v>222</v>
      </c>
      <c r="J226" s="246">
        <f t="shared" si="73"/>
        <v>3.1645272009459151</v>
      </c>
      <c r="K226" s="246">
        <f t="shared" si="96"/>
        <v>1460.586226732886</v>
      </c>
      <c r="L226" s="246">
        <f t="shared" si="86"/>
        <v>9177.1339196769404</v>
      </c>
      <c r="M226" s="246">
        <f t="shared" si="74"/>
        <v>7324.677527471089</v>
      </c>
      <c r="N226" s="246">
        <f>SQRT((ABS(AC226)-171.5+'Small Signal'!C$59)^2)</f>
        <v>53.503412366490835</v>
      </c>
      <c r="O226" s="246">
        <f t="shared" si="87"/>
        <v>101.76453963763228</v>
      </c>
      <c r="P226" s="246">
        <f t="shared" si="88"/>
        <v>12.194985723848049</v>
      </c>
      <c r="Q226" s="246">
        <f t="shared" si="89"/>
        <v>1460.586226732886</v>
      </c>
      <c r="R226" s="246" t="str">
        <f t="shared" si="75"/>
        <v>0.161233333333333+0.0431325294224816i</v>
      </c>
      <c r="S226" s="246" t="str">
        <f t="shared" si="76"/>
        <v>0.025-11.5921789585424i</v>
      </c>
      <c r="T226" s="246" t="str">
        <f t="shared" si="77"/>
        <v>4.5525523218451-9.38348777407125i</v>
      </c>
      <c r="U226" s="246" t="str">
        <f t="shared" si="78"/>
        <v>80.3119991413387-31.6401997792167i</v>
      </c>
      <c r="V226" s="246">
        <f t="shared" si="90"/>
        <v>38.722215255845896</v>
      </c>
      <c r="W226" s="246">
        <f t="shared" si="91"/>
        <v>-21.502755619977918</v>
      </c>
      <c r="X226" s="246" t="str">
        <f t="shared" si="79"/>
        <v>0.999984829780439-0.000688956899107879i</v>
      </c>
      <c r="Y226" s="246" t="str">
        <f t="shared" si="80"/>
        <v>52.2753868547684+26.8985236246757i</v>
      </c>
      <c r="Z226" s="246" t="str">
        <f t="shared" si="81"/>
        <v>32.715106622695+16.8052006000676i</v>
      </c>
      <c r="AA226" s="246" t="str">
        <f t="shared" si="82"/>
        <v>7.19457819021421-7.98943163002961i</v>
      </c>
      <c r="AB226" s="246">
        <f t="shared" si="92"/>
        <v>20.629314341361138</v>
      </c>
      <c r="AC226" s="246">
        <f t="shared" si="93"/>
        <v>-47.996587633509158</v>
      </c>
      <c r="AD226" s="248">
        <f t="shared" si="94"/>
        <v>-8.4343286175130885</v>
      </c>
      <c r="AE226" s="248">
        <f t="shared" si="95"/>
        <v>149.76112727114145</v>
      </c>
      <c r="AF226" s="246">
        <f t="shared" si="83"/>
        <v>12.194985723848049</v>
      </c>
      <c r="AG226" s="246">
        <f t="shared" si="84"/>
        <v>101.76453963763228</v>
      </c>
      <c r="AH226" s="249" t="str">
        <f t="shared" si="85"/>
        <v>0.327162709327361-0.190710515864485i</v>
      </c>
    </row>
    <row r="227" spans="9:34" x14ac:dyDescent="0.2">
      <c r="I227" s="246">
        <v>223</v>
      </c>
      <c r="J227" s="246">
        <f t="shared" si="73"/>
        <v>3.1742773234726984</v>
      </c>
      <c r="K227" s="246">
        <f t="shared" si="96"/>
        <v>1493.7479541277221</v>
      </c>
      <c r="L227" s="246">
        <f t="shared" si="86"/>
        <v>9385.49519800487</v>
      </c>
      <c r="M227" s="246">
        <f t="shared" si="74"/>
        <v>7290.7628831010807</v>
      </c>
      <c r="N227" s="246">
        <f>SQRT((ABS(AC227)-171.5+'Small Signal'!C$59)^2)</f>
        <v>52.796791850230349</v>
      </c>
      <c r="O227" s="246">
        <f t="shared" si="87"/>
        <v>101.57922160370383</v>
      </c>
      <c r="P227" s="246">
        <f t="shared" si="88"/>
        <v>12.050435622690935</v>
      </c>
      <c r="Q227" s="246">
        <f t="shared" si="89"/>
        <v>1493.7479541277221</v>
      </c>
      <c r="R227" s="246" t="str">
        <f t="shared" si="75"/>
        <v>0.161233333333333+0.0441118274306229i</v>
      </c>
      <c r="S227" s="246" t="str">
        <f t="shared" si="76"/>
        <v>0.025-11.3348285283891i</v>
      </c>
      <c r="T227" s="246" t="str">
        <f t="shared" si="77"/>
        <v>4.38994963698548-9.25188588128381i</v>
      </c>
      <c r="U227" s="246" t="str">
        <f t="shared" si="78"/>
        <v>80.0969589451494-32.4030754589259i</v>
      </c>
      <c r="V227" s="246">
        <f t="shared" si="90"/>
        <v>38.730578603222995</v>
      </c>
      <c r="W227" s="246">
        <f t="shared" si="91"/>
        <v>-22.025702274127163</v>
      </c>
      <c r="X227" s="246" t="str">
        <f t="shared" si="79"/>
        <v>0.999984133099019-0.000704599249047131i</v>
      </c>
      <c r="Y227" s="246" t="str">
        <f t="shared" si="80"/>
        <v>52.8559811812362+27.4078982844735i</v>
      </c>
      <c r="Z227" s="246" t="str">
        <f t="shared" si="81"/>
        <v>33.0787915024775+17.1230862459839i</v>
      </c>
      <c r="AA227" s="246" t="str">
        <f t="shared" si="82"/>
        <v>7.01527740683705-7.98622451050379i</v>
      </c>
      <c r="AB227" s="246">
        <f t="shared" si="92"/>
        <v>20.530549948956608</v>
      </c>
      <c r="AC227" s="246">
        <f t="shared" si="93"/>
        <v>-48.703208149769651</v>
      </c>
      <c r="AD227" s="248">
        <f t="shared" si="94"/>
        <v>-8.4801143262656726</v>
      </c>
      <c r="AE227" s="248">
        <f t="shared" si="95"/>
        <v>150.28242975347348</v>
      </c>
      <c r="AF227" s="246">
        <f t="shared" si="83"/>
        <v>12.050435622690935</v>
      </c>
      <c r="AG227" s="246">
        <f t="shared" si="84"/>
        <v>101.57922160370383</v>
      </c>
      <c r="AH227" s="249" t="str">
        <f t="shared" si="85"/>
        <v>0.327155234750909-0.186739039789835i</v>
      </c>
    </row>
    <row r="228" spans="9:34" x14ac:dyDescent="0.2">
      <c r="I228" s="246">
        <v>224</v>
      </c>
      <c r="J228" s="246">
        <f t="shared" si="73"/>
        <v>3.1840274459994817</v>
      </c>
      <c r="K228" s="246">
        <f t="shared" si="96"/>
        <v>1527.6625984977304</v>
      </c>
      <c r="L228" s="246">
        <f t="shared" si="86"/>
        <v>9598.5871932087266</v>
      </c>
      <c r="M228" s="246">
        <f t="shared" si="74"/>
        <v>7256.0782272310953</v>
      </c>
      <c r="N228" s="246">
        <f>SQRT((ABS(AC228)-171.5+'Small Signal'!C$59)^2)</f>
        <v>52.089155540714799</v>
      </c>
      <c r="O228" s="246">
        <f t="shared" si="87"/>
        <v>101.38581470177185</v>
      </c>
      <c r="P228" s="246">
        <f t="shared" si="88"/>
        <v>11.905270625671513</v>
      </c>
      <c r="Q228" s="246">
        <f t="shared" si="89"/>
        <v>1527.6625984977304</v>
      </c>
      <c r="R228" s="246" t="str">
        <f t="shared" si="75"/>
        <v>0.161233333333333+0.045113359808081i</v>
      </c>
      <c r="S228" s="246" t="str">
        <f t="shared" si="76"/>
        <v>0.025-11.0831913678581i</v>
      </c>
      <c r="T228" s="246" t="str">
        <f t="shared" si="77"/>
        <v>4.23192337350912-9.11939131013032i</v>
      </c>
      <c r="U228" s="246" t="str">
        <f t="shared" si="78"/>
        <v>79.8691131624569-33.1856817404105i</v>
      </c>
      <c r="V228" s="246">
        <f t="shared" si="90"/>
        <v>38.739227726840021</v>
      </c>
      <c r="W228" s="246">
        <f t="shared" si="91"/>
        <v>-22.562924513908651</v>
      </c>
      <c r="X228" s="246" t="str">
        <f t="shared" si="79"/>
        <v>0.999983404423005-0.000720596749086395i</v>
      </c>
      <c r="Y228" s="246" t="str">
        <f t="shared" si="80"/>
        <v>53.4641024780693+27.9206433988604i</v>
      </c>
      <c r="Z228" s="246" t="str">
        <f t="shared" si="81"/>
        <v>33.459713362668+17.4430437987136i</v>
      </c>
      <c r="AA228" s="246" t="str">
        <f t="shared" si="82"/>
        <v>6.83621095657815-7.97900005696361i</v>
      </c>
      <c r="AB228" s="246">
        <f t="shared" si="92"/>
        <v>20.429620795901737</v>
      </c>
      <c r="AC228" s="246">
        <f t="shared" si="93"/>
        <v>-49.410844459285201</v>
      </c>
      <c r="AD228" s="248">
        <f t="shared" si="94"/>
        <v>-8.5243501702302247</v>
      </c>
      <c r="AE228" s="248">
        <f t="shared" si="95"/>
        <v>150.79665916105705</v>
      </c>
      <c r="AF228" s="246">
        <f t="shared" si="83"/>
        <v>11.905270625671513</v>
      </c>
      <c r="AG228" s="246">
        <f t="shared" si="84"/>
        <v>101.38581470177185</v>
      </c>
      <c r="AH228" s="249" t="str">
        <f t="shared" si="85"/>
        <v>0.327147657834231-0.182861680570958i</v>
      </c>
    </row>
    <row r="229" spans="9:34" x14ac:dyDescent="0.2">
      <c r="I229" s="246">
        <v>225</v>
      </c>
      <c r="J229" s="246">
        <f t="shared" si="73"/>
        <v>3.193777568526265</v>
      </c>
      <c r="K229" s="246">
        <f t="shared" si="96"/>
        <v>1562.347254367716</v>
      </c>
      <c r="L229" s="246">
        <f t="shared" si="86"/>
        <v>9816.5173133556</v>
      </c>
      <c r="M229" s="246">
        <f t="shared" si="74"/>
        <v>7220.6060772154779</v>
      </c>
      <c r="N229" s="246">
        <f>SQRT((ABS(AC229)-171.5+'Small Signal'!C$59)^2)</f>
        <v>51.38079408543706</v>
      </c>
      <c r="O229" s="246">
        <f t="shared" si="87"/>
        <v>101.18448843069896</v>
      </c>
      <c r="P229" s="246">
        <f t="shared" si="88"/>
        <v>11.759457901749924</v>
      </c>
      <c r="Q229" s="246">
        <f t="shared" si="89"/>
        <v>1562.347254367716</v>
      </c>
      <c r="R229" s="246" t="str">
        <f t="shared" si="75"/>
        <v>0.161233333333333+0.0461376313727713i</v>
      </c>
      <c r="S229" s="246" t="str">
        <f t="shared" si="76"/>
        <v>0.025-10.8371406403642i</v>
      </c>
      <c r="T229" s="246" t="str">
        <f t="shared" si="77"/>
        <v>4.07843561044065-8.98617253135176i</v>
      </c>
      <c r="U229" s="246" t="str">
        <f t="shared" si="78"/>
        <v>79.627599922298-33.9885439588247i</v>
      </c>
      <c r="V229" s="246">
        <f t="shared" si="90"/>
        <v>38.748165876586157</v>
      </c>
      <c r="W229" s="246">
        <f t="shared" si="91"/>
        <v>-23.114910219079402</v>
      </c>
      <c r="X229" s="246" t="str">
        <f t="shared" si="79"/>
        <v>0.99998264228307-0.000736957462694013i</v>
      </c>
      <c r="Y229" s="246" t="str">
        <f t="shared" si="80"/>
        <v>54.1010490389738+28.4361323174371i</v>
      </c>
      <c r="Z229" s="246" t="str">
        <f t="shared" si="81"/>
        <v>33.8586845884119+17.7646790613962i</v>
      </c>
      <c r="AA229" s="246" t="str">
        <f t="shared" si="82"/>
        <v>6.6575583816556-7.96777644488354i</v>
      </c>
      <c r="AB229" s="246">
        <f t="shared" si="92"/>
        <v>20.326531851026594</v>
      </c>
      <c r="AC229" s="246">
        <f t="shared" si="93"/>
        <v>-50.119205914562933</v>
      </c>
      <c r="AD229" s="248">
        <f t="shared" si="94"/>
        <v>-8.5670739492766703</v>
      </c>
      <c r="AE229" s="248">
        <f t="shared" si="95"/>
        <v>151.3036943452619</v>
      </c>
      <c r="AF229" s="246">
        <f t="shared" si="83"/>
        <v>11.759457901749924</v>
      </c>
      <c r="AG229" s="246">
        <f t="shared" si="84"/>
        <v>101.18448843069896</v>
      </c>
      <c r="AH229" s="249" t="str">
        <f t="shared" si="85"/>
        <v>0.32713996331969-0.179076483287055i</v>
      </c>
    </row>
    <row r="230" spans="9:34" x14ac:dyDescent="0.2">
      <c r="I230" s="246">
        <v>226</v>
      </c>
      <c r="J230" s="246">
        <f t="shared" si="73"/>
        <v>3.2035276910530484</v>
      </c>
      <c r="K230" s="246">
        <f t="shared" si="96"/>
        <v>1597.8194043833332</v>
      </c>
      <c r="L230" s="246">
        <f t="shared" si="86"/>
        <v>10039.395405147798</v>
      </c>
      <c r="M230" s="246">
        <f t="shared" si="74"/>
        <v>7184.3285534756678</v>
      </c>
      <c r="N230" s="246">
        <f>SQRT((ABS(AC230)-171.5+'Small Signal'!C$59)^2)</f>
        <v>50.671995572826248</v>
      </c>
      <c r="O230" s="246">
        <f t="shared" si="87"/>
        <v>100.9754200527987</v>
      </c>
      <c r="P230" s="246">
        <f t="shared" si="88"/>
        <v>11.612966723942993</v>
      </c>
      <c r="Q230" s="246">
        <f t="shared" si="89"/>
        <v>1597.8194043833332</v>
      </c>
      <c r="R230" s="246" t="str">
        <f t="shared" si="75"/>
        <v>0.161233333333333+0.0471851584041946i</v>
      </c>
      <c r="S230" s="246" t="str">
        <f t="shared" si="76"/>
        <v>0.025-10.5965523251386i</v>
      </c>
      <c r="T230" s="246" t="str">
        <f t="shared" si="77"/>
        <v>3.92944168943794-8.85239214703916i</v>
      </c>
      <c r="U230" s="246" t="str">
        <f t="shared" si="78"/>
        <v>79.3714928855339-34.8121926405366i</v>
      </c>
      <c r="V230" s="246">
        <f t="shared" si="90"/>
        <v>38.757395437899291</v>
      </c>
      <c r="W230" s="246">
        <f t="shared" si="91"/>
        <v>-23.682169065541569</v>
      </c>
      <c r="X230" s="246" t="str">
        <f t="shared" si="79"/>
        <v>0.999981845142407-0.000753689636414503i</v>
      </c>
      <c r="Y230" s="246" t="str">
        <f t="shared" si="80"/>
        <v>54.7681746291282+28.9536601492317i</v>
      </c>
      <c r="Z230" s="246" t="str">
        <f t="shared" si="81"/>
        <v>34.2765522122523+18.087548750814i</v>
      </c>
      <c r="AA230" s="246" t="str">
        <f t="shared" si="82"/>
        <v>6.4794975637605-7.95258182389761i</v>
      </c>
      <c r="AB230" s="246">
        <f t="shared" si="92"/>
        <v>20.221290310852581</v>
      </c>
      <c r="AC230" s="246">
        <f t="shared" si="93"/>
        <v>-50.828004427173752</v>
      </c>
      <c r="AD230" s="248">
        <f t="shared" si="94"/>
        <v>-8.608323586909588</v>
      </c>
      <c r="AE230" s="248">
        <f t="shared" si="95"/>
        <v>151.80342447997245</v>
      </c>
      <c r="AF230" s="246">
        <f t="shared" si="83"/>
        <v>11.612966723942993</v>
      </c>
      <c r="AG230" s="246">
        <f t="shared" si="84"/>
        <v>100.9754200527987</v>
      </c>
      <c r="AH230" s="249" t="str">
        <f t="shared" si="85"/>
        <v>0.327132135714457-0.175381539431834i</v>
      </c>
    </row>
    <row r="231" spans="9:34" x14ac:dyDescent="0.2">
      <c r="I231" s="246">
        <v>227</v>
      </c>
      <c r="J231" s="246">
        <f t="shared" si="73"/>
        <v>3.2132778135798317</v>
      </c>
      <c r="K231" s="246">
        <f t="shared" si="96"/>
        <v>1634.0969281231435</v>
      </c>
      <c r="L231" s="246">
        <f t="shared" si="86"/>
        <v>10267.333809290631</v>
      </c>
      <c r="M231" s="246">
        <f t="shared" si="74"/>
        <v>7147.2273704880863</v>
      </c>
      <c r="N231" s="246">
        <f>SQRT((ABS(AC231)-171.5+'Small Signal'!C$59)^2)</f>
        <v>49.963044722498154</v>
      </c>
      <c r="O231" s="246">
        <f t="shared" si="87"/>
        <v>100.75879358168496</v>
      </c>
      <c r="P231" s="246">
        <f t="shared" si="88"/>
        <v>11.465768526546036</v>
      </c>
      <c r="Q231" s="246">
        <f t="shared" si="89"/>
        <v>1634.0969281231435</v>
      </c>
      <c r="R231" s="246" t="str">
        <f t="shared" si="75"/>
        <v>0.161233333333333+0.048256468903666i</v>
      </c>
      <c r="S231" s="246" t="str">
        <f t="shared" si="76"/>
        <v>0.025-10.3613051547171i</v>
      </c>
      <c r="T231" s="246" t="str">
        <f t="shared" si="77"/>
        <v>3.7848907368667-8.71820669349728i</v>
      </c>
      <c r="U231" s="246" t="str">
        <f t="shared" si="78"/>
        <v>79.0997961945379-35.6571614990709i</v>
      </c>
      <c r="V231" s="246">
        <f t="shared" si="90"/>
        <v>38.766917785817647</v>
      </c>
      <c r="W231" s="246">
        <f t="shared" si="91"/>
        <v>-24.265233639160908</v>
      </c>
      <c r="X231" s="246" t="str">
        <f t="shared" si="79"/>
        <v>0.999981011393632-0.00077080170402519i</v>
      </c>
      <c r="Y231" s="246" t="str">
        <f t="shared" si="80"/>
        <v>55.4668894790351+29.4724359208909i</v>
      </c>
      <c r="Z231" s="246" t="str">
        <f t="shared" si="81"/>
        <v>34.7141985260213+18.4111555832574i</v>
      </c>
      <c r="AA231" s="246" t="str">
        <f t="shared" si="82"/>
        <v>6.30220402044441-7.93345414619022i</v>
      </c>
      <c r="AB231" s="246">
        <f t="shared" si="92"/>
        <v>20.113905577082779</v>
      </c>
      <c r="AC231" s="246">
        <f t="shared" si="93"/>
        <v>-51.536955277501846</v>
      </c>
      <c r="AD231" s="248">
        <f t="shared" si="94"/>
        <v>-8.648137050536743</v>
      </c>
      <c r="AE231" s="248">
        <f t="shared" si="95"/>
        <v>152.2957488591868</v>
      </c>
      <c r="AF231" s="246">
        <f t="shared" si="83"/>
        <v>11.465768526546036</v>
      </c>
      <c r="AG231" s="246">
        <f t="shared" si="84"/>
        <v>100.75879358168496</v>
      </c>
      <c r="AH231" s="249" t="str">
        <f t="shared" si="85"/>
        <v>0.327124159259464-0.171774985948843i</v>
      </c>
    </row>
    <row r="232" spans="9:34" x14ac:dyDescent="0.2">
      <c r="I232" s="246">
        <v>228</v>
      </c>
      <c r="J232" s="246">
        <f t="shared" si="73"/>
        <v>3.223027936106615</v>
      </c>
      <c r="K232" s="246">
        <f t="shared" si="96"/>
        <v>1671.1981111107257</v>
      </c>
      <c r="L232" s="246">
        <f t="shared" si="86"/>
        <v>10500.44741711719</v>
      </c>
      <c r="M232" s="246">
        <f t="shared" si="74"/>
        <v>7109.2838275673848</v>
      </c>
      <c r="N232" s="246">
        <f>SQRT((ABS(AC232)-171.5+'Small Signal'!C$59)^2)</f>
        <v>49.254222091543056</v>
      </c>
      <c r="O232" s="246">
        <f t="shared" si="87"/>
        <v>100.53479875997363</v>
      </c>
      <c r="P232" s="246">
        <f t="shared" si="88"/>
        <v>11.317836950095716</v>
      </c>
      <c r="Q232" s="246">
        <f t="shared" si="89"/>
        <v>1671.1981111107257</v>
      </c>
      <c r="R232" s="246" t="str">
        <f t="shared" si="75"/>
        <v>0.161233333333333+0.0493521028604508i</v>
      </c>
      <c r="S232" s="246" t="str">
        <f t="shared" si="76"/>
        <v>0.025-10.1312805538158i</v>
      </c>
      <c r="T232" s="246" t="str">
        <f t="shared" si="77"/>
        <v>3.64472618003825-8.58376648573462i</v>
      </c>
      <c r="U232" s="246" t="str">
        <f t="shared" si="78"/>
        <v>78.8114390569412-36.5239850112751i</v>
      </c>
      <c r="V232" s="246">
        <f t="shared" si="90"/>
        <v>38.776733121083637</v>
      </c>
      <c r="W232" s="246">
        <f t="shared" si="91"/>
        <v>-24.864660594765677</v>
      </c>
      <c r="X232" s="246" t="str">
        <f t="shared" si="79"/>
        <v>0.999980139355544-0.000788302290787216i</v>
      </c>
      <c r="Y232" s="246" t="str">
        <f t="shared" si="80"/>
        <v>56.1986609937007+29.9915739882258i</v>
      </c>
      <c r="Z232" s="246" t="str">
        <f t="shared" si="81"/>
        <v>35.1725415133386+18.7349428930176i</v>
      </c>
      <c r="AA232" s="246" t="str">
        <f t="shared" si="82"/>
        <v>6.12585022149332-7.91044093646686i</v>
      </c>
      <c r="AB232" s="246">
        <f t="shared" si="92"/>
        <v>20.004389225712586</v>
      </c>
      <c r="AC232" s="246">
        <f t="shared" si="93"/>
        <v>-52.245777908456944</v>
      </c>
      <c r="AD232" s="248">
        <f t="shared" si="94"/>
        <v>-8.6865522756168705</v>
      </c>
      <c r="AE232" s="248">
        <f t="shared" si="95"/>
        <v>152.78057666843057</v>
      </c>
      <c r="AF232" s="246">
        <f t="shared" si="83"/>
        <v>11.317836950095716</v>
      </c>
      <c r="AG232" s="246">
        <f t="shared" si="84"/>
        <v>100.53479875997363</v>
      </c>
      <c r="AH232" s="249" t="str">
        <f t="shared" si="85"/>
        <v>0.327116017897826-0.168255004289537i</v>
      </c>
    </row>
    <row r="233" spans="9:34" x14ac:dyDescent="0.2">
      <c r="I233" s="246">
        <v>229</v>
      </c>
      <c r="J233" s="246">
        <f t="shared" si="73"/>
        <v>3.2327780586333987</v>
      </c>
      <c r="K233" s="246">
        <f t="shared" si="96"/>
        <v>1709.1416540314265</v>
      </c>
      <c r="L233" s="246">
        <f t="shared" si="86"/>
        <v>10738.853728498874</v>
      </c>
      <c r="M233" s="246">
        <f t="shared" si="74"/>
        <v>7070.4787994404733</v>
      </c>
      <c r="N233" s="246">
        <f>SQRT((ABS(AC233)-171.5+'Small Signal'!C$59)^2)</f>
        <v>48.545803301475701</v>
      </c>
      <c r="O233" s="246">
        <f t="shared" si="87"/>
        <v>100.30363003412455</v>
      </c>
      <c r="P233" s="246">
        <f t="shared" si="88"/>
        <v>11.169147874200942</v>
      </c>
      <c r="Q233" s="246">
        <f t="shared" si="89"/>
        <v>1709.1416540314265</v>
      </c>
      <c r="R233" s="246" t="str">
        <f t="shared" si="75"/>
        <v>0.161233333333333+0.0504726125239447i</v>
      </c>
      <c r="S233" s="246" t="str">
        <f t="shared" si="76"/>
        <v>0.025-9.90636257956326i</v>
      </c>
      <c r="T233" s="246" t="str">
        <f t="shared" si="77"/>
        <v>3.50888625470374-8.4492155013518i</v>
      </c>
      <c r="U233" s="246" t="str">
        <f t="shared" si="78"/>
        <v>78.5052699484525-37.4131955077554i</v>
      </c>
      <c r="V233" s="246">
        <f t="shared" si="90"/>
        <v>38.786840286314423</v>
      </c>
      <c r="W233" s="246">
        <f t="shared" si="91"/>
        <v>-25.48103185858016</v>
      </c>
      <c r="X233" s="246" t="str">
        <f t="shared" si="79"/>
        <v>0.999979227269735-0.000806200217793065i</v>
      </c>
      <c r="Y233" s="246" t="str">
        <f t="shared" si="80"/>
        <v>56.9650141042892+30.510084638054i</v>
      </c>
      <c r="Z233" s="246" t="str">
        <f t="shared" si="81"/>
        <v>35.6525350569875+19.0582887441035i</v>
      </c>
      <c r="AA233" s="246" t="str">
        <f t="shared" si="82"/>
        <v>5.95060493086876-7.88359900608341i</v>
      </c>
      <c r="AB233" s="246">
        <f t="shared" si="92"/>
        <v>19.892754968041807</v>
      </c>
      <c r="AC233" s="246">
        <f t="shared" si="93"/>
        <v>-52.954196698524306</v>
      </c>
      <c r="AD233" s="248">
        <f t="shared" si="94"/>
        <v>-8.7236070938408652</v>
      </c>
      <c r="AE233" s="248">
        <f t="shared" si="95"/>
        <v>153.25782673264885</v>
      </c>
      <c r="AF233" s="246">
        <f t="shared" si="83"/>
        <v>11.169147874200942</v>
      </c>
      <c r="AG233" s="246">
        <f t="shared" si="84"/>
        <v>100.30363003412455</v>
      </c>
      <c r="AH233" s="249" t="str">
        <f t="shared" si="85"/>
        <v>0.327107695242679-0.164819819493551i</v>
      </c>
    </row>
    <row r="234" spans="9:34" x14ac:dyDescent="0.2">
      <c r="I234" s="246">
        <v>230</v>
      </c>
      <c r="J234" s="246">
        <f t="shared" si="73"/>
        <v>3.242528181160182</v>
      </c>
      <c r="K234" s="246">
        <f t="shared" si="96"/>
        <v>1747.9466821583385</v>
      </c>
      <c r="L234" s="246">
        <f t="shared" si="86"/>
        <v>10982.672911070578</v>
      </c>
      <c r="M234" s="246">
        <f t="shared" si="74"/>
        <v>7030.7927266064835</v>
      </c>
      <c r="N234" s="246">
        <f>SQRT((ABS(AC234)-171.5+'Small Signal'!C$59)^2)</f>
        <v>47.83805829022134</v>
      </c>
      <c r="O234" s="246">
        <f t="shared" si="87"/>
        <v>100.06548553342787</v>
      </c>
      <c r="P234" s="246">
        <f t="shared" si="88"/>
        <v>11.019679438476807</v>
      </c>
      <c r="Q234" s="246">
        <f t="shared" si="89"/>
        <v>1747.9466821583385</v>
      </c>
      <c r="R234" s="246" t="str">
        <f t="shared" si="75"/>
        <v>0.161233333333333+0.0516185626820317i</v>
      </c>
      <c r="S234" s="246" t="str">
        <f t="shared" si="76"/>
        <v>0.025-9.68643786306066i</v>
      </c>
      <c r="T234" s="246" t="str">
        <f t="shared" si="77"/>
        <v>3.37730450123375-8.31469130146182i</v>
      </c>
      <c r="U234" s="246" t="str">
        <f t="shared" si="78"/>
        <v>78.1800504223907-38.3253197024792i</v>
      </c>
      <c r="V234" s="246">
        <f t="shared" si="90"/>
        <v>38.797236560055097</v>
      </c>
      <c r="W234" s="246">
        <f t="shared" si="91"/>
        <v>-26.11495587139073</v>
      </c>
      <c r="X234" s="246" t="str">
        <f t="shared" si="79"/>
        <v>0.999978273297041-0.000824504506412788i</v>
      </c>
      <c r="Y234" s="246" t="str">
        <f t="shared" si="80"/>
        <v>57.7675311761484+31.0268638144365i</v>
      </c>
      <c r="Z234" s="246" t="str">
        <f t="shared" si="81"/>
        <v>36.1551688671318+19.3804994940177i</v>
      </c>
      <c r="AA234" s="246" t="str">
        <f t="shared" si="82"/>
        <v>5.77663257942976-7.85299411451149i</v>
      </c>
      <c r="AB234" s="246">
        <f t="shared" si="92"/>
        <v>19.779018603937576</v>
      </c>
      <c r="AC234" s="246">
        <f t="shared" si="93"/>
        <v>-53.661941709778652</v>
      </c>
      <c r="AD234" s="248">
        <f t="shared" si="94"/>
        <v>-8.7593391654607693</v>
      </c>
      <c r="AE234" s="248">
        <f t="shared" si="95"/>
        <v>153.72742724320653</v>
      </c>
      <c r="AF234" s="246">
        <f t="shared" si="83"/>
        <v>11.019679438476807</v>
      </c>
      <c r="AG234" s="246">
        <f t="shared" si="84"/>
        <v>100.06548553342787</v>
      </c>
      <c r="AH234" s="249" t="str">
        <f t="shared" si="85"/>
        <v>0.327099174544383-0.161467699290754i</v>
      </c>
    </row>
    <row r="235" spans="9:34" x14ac:dyDescent="0.2">
      <c r="I235" s="246">
        <v>231</v>
      </c>
      <c r="J235" s="246">
        <f t="shared" si="73"/>
        <v>3.2522783036869654</v>
      </c>
      <c r="K235" s="246">
        <f t="shared" si="96"/>
        <v>1787.632754992328</v>
      </c>
      <c r="L235" s="246">
        <f t="shared" si="86"/>
        <v>11232.027860800761</v>
      </c>
      <c r="M235" s="246">
        <f t="shared" si="74"/>
        <v>6990.2056054779068</v>
      </c>
      <c r="N235" s="246">
        <f>SQRT((ABS(AC235)-171.5+'Small Signal'!C$59)^2)</f>
        <v>47.13125059323508</v>
      </c>
      <c r="O235" s="246">
        <f t="shared" si="87"/>
        <v>99.820566059829019</v>
      </c>
      <c r="P235" s="246">
        <f t="shared" si="88"/>
        <v>10.869412051910206</v>
      </c>
      <c r="Q235" s="246">
        <f t="shared" si="89"/>
        <v>1787.632754992328</v>
      </c>
      <c r="R235" s="246" t="str">
        <f t="shared" si="75"/>
        <v>0.161233333333333+0.0527905309457636i</v>
      </c>
      <c r="S235" s="246" t="str">
        <f t="shared" si="76"/>
        <v>0.025-9.47139555223825i</v>
      </c>
      <c r="T235" s="246" t="str">
        <f t="shared" si="77"/>
        <v>3.24991024723902-8.1803249861746i</v>
      </c>
      <c r="U235" s="246" t="str">
        <f t="shared" si="78"/>
        <v>77.8344485173014-39.2608745762299i</v>
      </c>
      <c r="V235" s="246">
        <f t="shared" si="90"/>
        <v>38.807917426319513</v>
      </c>
      <c r="W235" s="246">
        <f t="shared" si="91"/>
        <v>-26.767068868578622</v>
      </c>
      <c r="X235" s="246" t="str">
        <f t="shared" si="79"/>
        <v>0.999977275513837-0.000843224382841196i</v>
      </c>
      <c r="Y235" s="246" t="str">
        <f t="shared" si="80"/>
        <v>58.6078513718331+31.5406819012099i</v>
      </c>
      <c r="Z235" s="246" t="str">
        <f t="shared" si="81"/>
        <v>36.6814680667691+19.7008027670717i</v>
      </c>
      <c r="AA235" s="246" t="str">
        <f t="shared" si="82"/>
        <v>5.60409267321298-7.81870058185318i</v>
      </c>
      <c r="AB235" s="246">
        <f t="shared" si="92"/>
        <v>19.663197967756304</v>
      </c>
      <c r="AC235" s="246">
        <f t="shared" si="93"/>
        <v>-54.36874940676492</v>
      </c>
      <c r="AD235" s="248">
        <f t="shared" si="94"/>
        <v>-8.7937859158460974</v>
      </c>
      <c r="AE235" s="248">
        <f t="shared" si="95"/>
        <v>154.18931546659394</v>
      </c>
      <c r="AF235" s="246">
        <f t="shared" si="83"/>
        <v>10.869412051910206</v>
      </c>
      <c r="AG235" s="246">
        <f t="shared" si="84"/>
        <v>99.820566059829019</v>
      </c>
      <c r="AH235" s="249" t="str">
        <f t="shared" si="85"/>
        <v>0.327090438656997-0.158196953224568i</v>
      </c>
    </row>
    <row r="236" spans="9:34" x14ac:dyDescent="0.2">
      <c r="I236" s="246">
        <v>232</v>
      </c>
      <c r="J236" s="246">
        <f t="shared" si="73"/>
        <v>3.2620284262137487</v>
      </c>
      <c r="K236" s="246">
        <f t="shared" si="96"/>
        <v>1828.2198761209047</v>
      </c>
      <c r="L236" s="246">
        <f t="shared" si="86"/>
        <v>11487.044263936552</v>
      </c>
      <c r="M236" s="246">
        <f t="shared" si="74"/>
        <v>6948.6969782978767</v>
      </c>
      <c r="N236" s="246">
        <f>SQRT((ABS(AC236)-171.5+'Small Signal'!C$59)^2)</f>
        <v>46.425636657557391</v>
      </c>
      <c r="O236" s="246">
        <f t="shared" si="87"/>
        <v>99.56907409492112</v>
      </c>
      <c r="P236" s="246">
        <f t="shared" si="88"/>
        <v>10.718328391079481</v>
      </c>
      <c r="Q236" s="246">
        <f t="shared" si="89"/>
        <v>1828.2198761209047</v>
      </c>
      <c r="R236" s="246" t="str">
        <f t="shared" si="75"/>
        <v>0.161233333333333+0.0539891080405018i</v>
      </c>
      <c r="S236" s="246" t="str">
        <f t="shared" si="76"/>
        <v>0.025-9.26112725598107i</v>
      </c>
      <c r="T236" s="246" t="str">
        <f t="shared" si="77"/>
        <v>3.12662907471039-8.04624118211874i</v>
      </c>
      <c r="U236" s="246" t="str">
        <f t="shared" si="78"/>
        <v>77.4670317591151-40.2203625172222i</v>
      </c>
      <c r="V236" s="246">
        <f t="shared" si="90"/>
        <v>38.818876316997788</v>
      </c>
      <c r="W236" s="246">
        <f t="shared" si="91"/>
        <v>-27.438036191730472</v>
      </c>
      <c r="X236" s="246" t="str">
        <f t="shared" si="79"/>
        <v>0.999976231908157-0.000862369282748276i</v>
      </c>
      <c r="Y236" s="246" t="str">
        <f t="shared" si="80"/>
        <v>59.4876693501214+32.0501714914201i</v>
      </c>
      <c r="Z236" s="246" t="str">
        <f t="shared" si="81"/>
        <v>37.2324923597651+20.0183397939318i</v>
      </c>
      <c r="AA236" s="246" t="str">
        <f t="shared" si="82"/>
        <v>5.43313924155842-7.78080085659103i</v>
      </c>
      <c r="AB236" s="246">
        <f t="shared" si="92"/>
        <v>19.545312867389871</v>
      </c>
      <c r="AC236" s="246">
        <f t="shared" si="93"/>
        <v>-55.074363342442609</v>
      </c>
      <c r="AD236" s="248">
        <f t="shared" si="94"/>
        <v>-8.8269844763103897</v>
      </c>
      <c r="AE236" s="248">
        <f t="shared" si="95"/>
        <v>154.64343743736373</v>
      </c>
      <c r="AF236" s="246">
        <f t="shared" si="83"/>
        <v>10.718328391079481</v>
      </c>
      <c r="AG236" s="246">
        <f t="shared" si="84"/>
        <v>99.56907409492112</v>
      </c>
      <c r="AH236" s="249" t="str">
        <f t="shared" si="85"/>
        <v>0.327081470003997-0.155005931796133i</v>
      </c>
    </row>
    <row r="237" spans="9:34" x14ac:dyDescent="0.2">
      <c r="I237" s="246">
        <v>233</v>
      </c>
      <c r="J237" s="246">
        <f t="shared" si="73"/>
        <v>3.271778548740532</v>
      </c>
      <c r="K237" s="246">
        <f t="shared" si="96"/>
        <v>1869.728503300935</v>
      </c>
      <c r="L237" s="246">
        <f t="shared" si="86"/>
        <v>11747.850660355314</v>
      </c>
      <c r="M237" s="246">
        <f t="shared" si="74"/>
        <v>6906.2459228285134</v>
      </c>
      <c r="N237" s="246">
        <f>SQRT((ABS(AC237)-171.5+'Small Signal'!C$59)^2)</f>
        <v>45.721465192221075</v>
      </c>
      <c r="O237" s="246">
        <f t="shared" si="87"/>
        <v>99.311212829971481</v>
      </c>
      <c r="P237" s="246">
        <f t="shared" si="88"/>
        <v>10.566413387729593</v>
      </c>
      <c r="Q237" s="246">
        <f t="shared" si="89"/>
        <v>1869.728503300935</v>
      </c>
      <c r="R237" s="246" t="str">
        <f t="shared" si="75"/>
        <v>0.161233333333333+0.05521489810367i</v>
      </c>
      <c r="S237" s="246" t="str">
        <f t="shared" si="76"/>
        <v>0.025-9.055526989495i</v>
      </c>
      <c r="T237" s="246" t="str">
        <f t="shared" si="77"/>
        <v>3.00738327006118-7.91255805944163i</v>
      </c>
      <c r="U237" s="246" t="str">
        <f t="shared" si="78"/>
        <v>77.0762597610614-41.2042656096424i</v>
      </c>
      <c r="V237" s="246">
        <f t="shared" si="90"/>
        <v>38.830104324271339</v>
      </c>
      <c r="W237" s="246">
        <f t="shared" si="91"/>
        <v>-28.128553624848731</v>
      </c>
      <c r="X237" s="246" t="str">
        <f t="shared" si="79"/>
        <v>0.999975140375637-0.000881948856035193i</v>
      </c>
      <c r="Y237" s="246" t="str">
        <f t="shared" si="80"/>
        <v>60.4087331617332+32.5538140742937i</v>
      </c>
      <c r="Z237" s="246" t="str">
        <f t="shared" si="81"/>
        <v>37.8093346941101+20.3321570741382i</v>
      </c>
      <c r="AA237" s="246" t="str">
        <f t="shared" si="82"/>
        <v>5.26392032881928-7.73938504316484i</v>
      </c>
      <c r="AB237" s="246">
        <f t="shared" si="92"/>
        <v>19.425385016950386</v>
      </c>
      <c r="AC237" s="246">
        <f t="shared" si="93"/>
        <v>-55.778534807778918</v>
      </c>
      <c r="AD237" s="248">
        <f t="shared" si="94"/>
        <v>-8.8589716292207932</v>
      </c>
      <c r="AE237" s="248">
        <f t="shared" si="95"/>
        <v>155.08974763775041</v>
      </c>
      <c r="AF237" s="246">
        <f t="shared" si="83"/>
        <v>10.566413387729593</v>
      </c>
      <c r="AG237" s="246">
        <f t="shared" si="84"/>
        <v>99.311212829971481</v>
      </c>
      <c r="AH237" s="249" t="str">
        <f t="shared" si="85"/>
        <v>0.32707225054315-0.151893025628836i</v>
      </c>
    </row>
    <row r="238" spans="9:34" x14ac:dyDescent="0.2">
      <c r="I238" s="246">
        <v>234</v>
      </c>
      <c r="J238" s="246">
        <f t="shared" si="73"/>
        <v>3.2815286712673157</v>
      </c>
      <c r="K238" s="246">
        <f t="shared" si="96"/>
        <v>1912.1795587702984</v>
      </c>
      <c r="L238" s="246">
        <f t="shared" si="86"/>
        <v>12014.578508354683</v>
      </c>
      <c r="M238" s="246">
        <f t="shared" si="74"/>
        <v>6862.831041805186</v>
      </c>
      <c r="N238" s="246">
        <f>SQRT((ABS(AC238)-171.5+'Small Signal'!C$59)^2)</f>
        <v>45.018976558071842</v>
      </c>
      <c r="O238" s="246">
        <f t="shared" si="87"/>
        <v>99.047185224389949</v>
      </c>
      <c r="P238" s="246">
        <f t="shared" si="88"/>
        <v>10.413654206275991</v>
      </c>
      <c r="Q238" s="246">
        <f t="shared" si="89"/>
        <v>1912.1795587702984</v>
      </c>
      <c r="R238" s="246" t="str">
        <f t="shared" si="75"/>
        <v>0.161233333333333+0.056468518989267i</v>
      </c>
      <c r="S238" s="246" t="str">
        <f t="shared" si="76"/>
        <v>0.025-8.85449112088517i</v>
      </c>
      <c r="T238" s="246" t="str">
        <f t="shared" si="77"/>
        <v>2.89209225574773-7.77938737573132i</v>
      </c>
      <c r="U238" s="246" t="str">
        <f t="shared" si="78"/>
        <v>76.6604764333833-42.213038947073i</v>
      </c>
      <c r="V238" s="246">
        <f t="shared" si="90"/>
        <v>38.841589879926751</v>
      </c>
      <c r="W238" s="246">
        <f t="shared" si="91"/>
        <v>-28.839348746135023</v>
      </c>
      <c r="X238" s="246" t="str">
        <f t="shared" si="79"/>
        <v>0.999973998715271-0.000901972971698293i</v>
      </c>
      <c r="Y238" s="246" t="str">
        <f t="shared" si="80"/>
        <v>61.3728411793021+33.0499255721408i</v>
      </c>
      <c r="Z238" s="246" t="str">
        <f t="shared" si="81"/>
        <v>38.4131193185265+20.6411973194705i</v>
      </c>
      <c r="AA238" s="246" t="str">
        <f t="shared" si="82"/>
        <v>5.09657753281605-7.69455039428803i</v>
      </c>
      <c r="AB238" s="246">
        <f t="shared" si="92"/>
        <v>19.303437963649138</v>
      </c>
      <c r="AC238" s="246">
        <f t="shared" si="93"/>
        <v>-56.481023441928151</v>
      </c>
      <c r="AD238" s="248">
        <f t="shared" si="94"/>
        <v>-8.8897837573731469</v>
      </c>
      <c r="AE238" s="248">
        <f t="shared" si="95"/>
        <v>155.52820866631811</v>
      </c>
      <c r="AF238" s="246">
        <f t="shared" si="83"/>
        <v>10.413654206275991</v>
      </c>
      <c r="AG238" s="246">
        <f t="shared" si="84"/>
        <v>99.047185224389949</v>
      </c>
      <c r="AH238" s="249" t="str">
        <f t="shared" si="85"/>
        <v>0.327062761730474-0.148856664652799i</v>
      </c>
    </row>
    <row r="239" spans="9:34" x14ac:dyDescent="0.2">
      <c r="I239" s="246">
        <v>235</v>
      </c>
      <c r="J239" s="246">
        <f t="shared" si="73"/>
        <v>3.291278793794099</v>
      </c>
      <c r="K239" s="246">
        <f t="shared" si="96"/>
        <v>1955.594439793626</v>
      </c>
      <c r="L239" s="246">
        <f t="shared" si="86"/>
        <v>12287.362250913404</v>
      </c>
      <c r="M239" s="246">
        <f t="shared" si="74"/>
        <v>6818.4304521512913</v>
      </c>
      <c r="N239" s="246">
        <f>SQRT((ABS(AC239)-171.5+'Small Signal'!C$59)^2)</f>
        <v>44.318402199649597</v>
      </c>
      <c r="O239" s="246">
        <f t="shared" si="87"/>
        <v>98.777193097534337</v>
      </c>
      <c r="P239" s="246">
        <f t="shared" si="88"/>
        <v>10.260040211872621</v>
      </c>
      <c r="Q239" s="246">
        <f t="shared" si="89"/>
        <v>1955.594439793626</v>
      </c>
      <c r="R239" s="246" t="str">
        <f t="shared" si="75"/>
        <v>0.161233333333333+0.057750602579293i</v>
      </c>
      <c r="S239" s="246" t="str">
        <f t="shared" si="76"/>
        <v>0.025-8.65791831892122i</v>
      </c>
      <c r="T239" s="246" t="str">
        <f t="shared" si="77"/>
        <v>2.78067300241902-7.64683454433031i</v>
      </c>
      <c r="U239" s="246" t="str">
        <f t="shared" si="78"/>
        <v>76.2179018262428-43.2471028327638i</v>
      </c>
      <c r="V239" s="246">
        <f t="shared" si="90"/>
        <v>38.853318398203022</v>
      </c>
      <c r="W239" s="246">
        <f t="shared" si="91"/>
        <v>-29.5711822838994</v>
      </c>
      <c r="X239" s="246" t="str">
        <f t="shared" si="79"/>
        <v>0.999972804624975-0.000922451722803508i</v>
      </c>
      <c r="Y239" s="246" t="str">
        <f t="shared" si="80"/>
        <v>62.3818378727207+33.5366406636702i</v>
      </c>
      <c r="Z239" s="246" t="str">
        <f t="shared" si="81"/>
        <v>39.0449991140098+20.9442896386323i</v>
      </c>
      <c r="AA239" s="246" t="str">
        <f t="shared" si="82"/>
        <v>4.93124559258562-7.64640077316415i</v>
      </c>
      <c r="AB239" s="246">
        <f t="shared" si="92"/>
        <v>19.179497009461546</v>
      </c>
      <c r="AC239" s="246">
        <f t="shared" si="93"/>
        <v>-57.181597800350396</v>
      </c>
      <c r="AD239" s="248">
        <f t="shared" si="94"/>
        <v>-8.919456797588925</v>
      </c>
      <c r="AE239" s="248">
        <f t="shared" si="95"/>
        <v>155.95879089788474</v>
      </c>
      <c r="AF239" s="246">
        <f t="shared" si="83"/>
        <v>10.260040211872621</v>
      </c>
      <c r="AG239" s="246">
        <f t="shared" si="84"/>
        <v>98.777193097534337</v>
      </c>
      <c r="AH239" s="249" t="str">
        <f t="shared" si="85"/>
        <v>0.327052984483215-0.145895317308865i</v>
      </c>
    </row>
    <row r="240" spans="9:34" x14ac:dyDescent="0.2">
      <c r="I240" s="246">
        <v>236</v>
      </c>
      <c r="J240" s="246">
        <f t="shared" si="73"/>
        <v>3.3010289163208828</v>
      </c>
      <c r="K240" s="246">
        <f t="shared" si="96"/>
        <v>1999.99502944752</v>
      </c>
      <c r="L240" s="246">
        <f t="shared" si="86"/>
        <v>12566.339383456861</v>
      </c>
      <c r="M240" s="246">
        <f t="shared" si="74"/>
        <v>6773.0217739482086</v>
      </c>
      <c r="N240" s="246">
        <f>SQRT((ABS(AC240)-171.5+'Small Signal'!C$59)^2)</f>
        <v>43.619964121350023</v>
      </c>
      <c r="O240" s="246">
        <f t="shared" si="87"/>
        <v>98.501436258195099</v>
      </c>
      <c r="P240" s="246">
        <f t="shared" si="88"/>
        <v>10.105562929730951</v>
      </c>
      <c r="Q240" s="246">
        <f t="shared" si="89"/>
        <v>1999.99502944752</v>
      </c>
      <c r="R240" s="246" t="str">
        <f t="shared" si="75"/>
        <v>0.161233333333333+0.0590617951022472i</v>
      </c>
      <c r="S240" s="246" t="str">
        <f t="shared" si="76"/>
        <v>0.025-8.46570950196157i</v>
      </c>
      <c r="T240" s="246" t="str">
        <f t="shared" si="77"/>
        <v>2.67304042080101-7.5149987245609i</v>
      </c>
      <c r="U240" s="246" t="str">
        <f t="shared" si="78"/>
        <v>75.7466236436156-44.3068337125379i</v>
      </c>
      <c r="V240" s="246">
        <f t="shared" si="90"/>
        <v>38.86527187854638</v>
      </c>
      <c r="W240" s="246">
        <f t="shared" si="91"/>
        <v>-30.324849462264467</v>
      </c>
      <c r="X240" s="246" t="str">
        <f t="shared" si="79"/>
        <v>0.99997155569694-0.000943395431573742i</v>
      </c>
      <c r="Y240" s="246" t="str">
        <f t="shared" si="80"/>
        <v>63.4376082110649+34.0118958373386i</v>
      </c>
      <c r="Z240" s="246" t="str">
        <f t="shared" si="81"/>
        <v>39.7061520631492+21.240138928243i</v>
      </c>
      <c r="AA240" s="246" t="str">
        <f t="shared" si="82"/>
        <v>4.7680520273513-7.59504609092813i</v>
      </c>
      <c r="AB240" s="246">
        <f t="shared" si="92"/>
        <v>19.053589128196936</v>
      </c>
      <c r="AC240" s="246">
        <f t="shared" si="93"/>
        <v>-57.880035878649984</v>
      </c>
      <c r="AD240" s="248">
        <f t="shared" si="94"/>
        <v>-8.9480261984659855</v>
      </c>
      <c r="AE240" s="248">
        <f t="shared" si="95"/>
        <v>156.38147213684508</v>
      </c>
      <c r="AF240" s="246">
        <f t="shared" si="83"/>
        <v>10.105562929730951</v>
      </c>
      <c r="AG240" s="246">
        <f t="shared" si="84"/>
        <v>98.501436258195099</v>
      </c>
      <c r="AH240" s="249" t="str">
        <f t="shared" si="85"/>
        <v>0.327042899141777-0.143007489771675i</v>
      </c>
    </row>
    <row r="241" spans="9:34" x14ac:dyDescent="0.2">
      <c r="I241" s="246">
        <v>237</v>
      </c>
      <c r="J241" s="246">
        <f t="shared" si="73"/>
        <v>3.3107790388476661</v>
      </c>
      <c r="K241" s="246">
        <f t="shared" si="96"/>
        <v>2045.4037076506031</v>
      </c>
      <c r="L241" s="246">
        <f t="shared" si="86"/>
        <v>12851.650523160919</v>
      </c>
      <c r="M241" s="246">
        <f t="shared" si="74"/>
        <v>6726.5821191547893</v>
      </c>
      <c r="N241" s="246">
        <f>SQRT((ABS(AC241)-171.5+'Small Signal'!C$59)^2)</f>
        <v>42.923874409665274</v>
      </c>
      <c r="O241" s="246">
        <f t="shared" si="87"/>
        <v>98.220111675555216</v>
      </c>
      <c r="P241" s="246">
        <f t="shared" si="88"/>
        <v>9.9502159964164285</v>
      </c>
      <c r="Q241" s="246">
        <f t="shared" si="89"/>
        <v>2045.4037076506031</v>
      </c>
      <c r="R241" s="246" t="str">
        <f t="shared" si="75"/>
        <v>0.161233333333333+0.0604027574588563i</v>
      </c>
      <c r="S241" s="246" t="str">
        <f t="shared" si="76"/>
        <v>0.025-8.2777677880116i</v>
      </c>
      <c r="T241" s="246" t="str">
        <f t="shared" si="77"/>
        <v>2.56910773275829-7.3839729314514i</v>
      </c>
      <c r="U241" s="246" t="str">
        <f t="shared" si="78"/>
        <v>75.2445884840507-45.3925536689086i</v>
      </c>
      <c r="V241" s="246">
        <f t="shared" si="90"/>
        <v>38.877428464386675</v>
      </c>
      <c r="W241" s="246">
        <f t="shared" si="91"/>
        <v>-31.101181318928969</v>
      </c>
      <c r="X241" s="246" t="str">
        <f t="shared" si="79"/>
        <v>0.999970249412784-0.000964814654591724i</v>
      </c>
      <c r="Y241" s="246" t="str">
        <f t="shared" si="80"/>
        <v>64.5420704386001+34.4734111293823i</v>
      </c>
      <c r="Z241" s="246" t="str">
        <f t="shared" si="81"/>
        <v>40.3977766989803+21.5273144420814i</v>
      </c>
      <c r="AA241" s="246" t="str">
        <f t="shared" si="82"/>
        <v>4.60711682801353-7.54060172471784i</v>
      </c>
      <c r="AB241" s="246">
        <f t="shared" si="92"/>
        <v>18.925742878610457</v>
      </c>
      <c r="AC241" s="246">
        <f t="shared" si="93"/>
        <v>-58.576125590334733</v>
      </c>
      <c r="AD241" s="248">
        <f t="shared" si="94"/>
        <v>-8.9755268821940284</v>
      </c>
      <c r="AE241" s="248">
        <f t="shared" si="95"/>
        <v>156.79623726588994</v>
      </c>
      <c r="AF241" s="246">
        <f t="shared" si="83"/>
        <v>9.9502159964164285</v>
      </c>
      <c r="AG241" s="246">
        <f t="shared" si="84"/>
        <v>98.220111675555216</v>
      </c>
      <c r="AH241" s="249" t="str">
        <f t="shared" si="85"/>
        <v>0.327032485430532-0.140191725191426i</v>
      </c>
    </row>
    <row r="242" spans="9:34" x14ac:dyDescent="0.2">
      <c r="I242" s="246">
        <v>238</v>
      </c>
      <c r="J242" s="246">
        <f t="shared" si="73"/>
        <v>3.3205291613744494</v>
      </c>
      <c r="K242" s="246">
        <f t="shared" si="96"/>
        <v>2091.8433624440217</v>
      </c>
      <c r="L242" s="246">
        <f t="shared" si="86"/>
        <v>13143.43947982942</v>
      </c>
      <c r="M242" s="246">
        <f t="shared" si="74"/>
        <v>6679.0880800707455</v>
      </c>
      <c r="N242" s="246">
        <f>SQRT((ABS(AC242)-171.5+'Small Signal'!C$59)^2)</f>
        <v>42.230334802866849</v>
      </c>
      <c r="O242" s="246">
        <f t="shared" si="87"/>
        <v>97.933412694855974</v>
      </c>
      <c r="P242" s="246">
        <f t="shared" si="88"/>
        <v>9.7939951038827004</v>
      </c>
      <c r="Q242" s="246">
        <f t="shared" si="89"/>
        <v>2091.8433624440217</v>
      </c>
      <c r="R242" s="246" t="str">
        <f t="shared" si="75"/>
        <v>0.161233333333333+0.0617741655551983i</v>
      </c>
      <c r="S242" s="246" t="str">
        <f t="shared" si="76"/>
        <v>0.025-8.09399844589116i</v>
      </c>
      <c r="T242" s="246" t="str">
        <f t="shared" si="77"/>
        <v>2.46878682119223-7.25384416263981i</v>
      </c>
      <c r="U242" s="246" t="str">
        <f t="shared" si="78"/>
        <v>74.7095928866919-46.5045182869832i</v>
      </c>
      <c r="V242" s="246">
        <f t="shared" si="90"/>
        <v>38.889761953802783</v>
      </c>
      <c r="W242" s="246">
        <f t="shared" si="91"/>
        <v>-31.901045973248657</v>
      </c>
      <c r="X242" s="246" t="str">
        <f t="shared" si="79"/>
        <v>0.999968883138468-0.000986720188121012i</v>
      </c>
      <c r="Y242" s="246" t="str">
        <f t="shared" si="80"/>
        <v>65.6971669346891+34.9186705172043i</v>
      </c>
      <c r="Z242" s="246" t="str">
        <f t="shared" si="81"/>
        <v>41.1210863515306+21.8042375206147i</v>
      </c>
      <c r="AA242" s="246" t="str">
        <f t="shared" si="82"/>
        <v>4.44855220184342-7.48318792178929i</v>
      </c>
      <c r="AB242" s="246">
        <f t="shared" si="92"/>
        <v>18.795988314210405</v>
      </c>
      <c r="AC242" s="246">
        <f t="shared" si="93"/>
        <v>-59.269665197133143</v>
      </c>
      <c r="AD242" s="248">
        <f t="shared" si="94"/>
        <v>-9.0019932103277043</v>
      </c>
      <c r="AE242" s="248">
        <f t="shared" si="95"/>
        <v>157.20307789198912</v>
      </c>
      <c r="AF242" s="246">
        <f t="shared" si="83"/>
        <v>9.7939951038827004</v>
      </c>
      <c r="AG242" s="246">
        <f t="shared" si="84"/>
        <v>97.933412694855974</v>
      </c>
      <c r="AH242" s="249" t="str">
        <f t="shared" si="85"/>
        <v>0.327021722417423-0.137446602953895i</v>
      </c>
    </row>
    <row r="243" spans="9:34" x14ac:dyDescent="0.2">
      <c r="I243" s="246">
        <v>239</v>
      </c>
      <c r="J243" s="246">
        <f t="shared" si="73"/>
        <v>3.3302792839012327</v>
      </c>
      <c r="K243" s="246">
        <f t="shared" si="96"/>
        <v>2139.3374015280665</v>
      </c>
      <c r="L243" s="246">
        <f t="shared" si="86"/>
        <v>13441.853328380903</v>
      </c>
      <c r="M243" s="246">
        <f t="shared" si="74"/>
        <v>6630.5157175381046</v>
      </c>
      <c r="N243" s="246">
        <f>SQRT((ABS(AC243)-171.5+'Small Signal'!C$59)^2)</f>
        <v>41.539536309052835</v>
      </c>
      <c r="O243" s="246">
        <f t="shared" si="87"/>
        <v>97.641528300422038</v>
      </c>
      <c r="P243" s="246">
        <f t="shared" si="88"/>
        <v>9.6368979370200911</v>
      </c>
      <c r="Q243" s="246">
        <f t="shared" si="89"/>
        <v>2139.3374015280665</v>
      </c>
      <c r="R243" s="246" t="str">
        <f t="shared" si="75"/>
        <v>0.161233333333333+0.0631767106433902i</v>
      </c>
      <c r="S243" s="246" t="str">
        <f t="shared" si="76"/>
        <v>0.025-7.9143088474853i</v>
      </c>
      <c r="T243" s="246" t="str">
        <f t="shared" si="77"/>
        <v>2.37198855862821-7.12469354022734i</v>
      </c>
      <c r="U243" s="246" t="str">
        <f t="shared" si="78"/>
        <v>74.1392742886869-47.6429026842987i</v>
      </c>
      <c r="V243" s="246">
        <f t="shared" si="90"/>
        <v>38.902241257715218</v>
      </c>
      <c r="W243" s="246">
        <f t="shared" si="91"/>
        <v>-32.725349818218483</v>
      </c>
      <c r="X243" s="246" t="str">
        <f t="shared" si="79"/>
        <v>0.999967454118986-0.00100912307354781i</v>
      </c>
      <c r="Y243" s="246" t="str">
        <f t="shared" si="80"/>
        <v>66.9048528256778+35.3449009610655i</v>
      </c>
      <c r="Z243" s="246" t="str">
        <f t="shared" si="81"/>
        <v>41.8773019841072+22.0691684768666i</v>
      </c>
      <c r="AA243" s="246" t="str">
        <f t="shared" si="82"/>
        <v>4.29246237045613-7.4229291950141i</v>
      </c>
      <c r="AB243" s="246">
        <f t="shared" si="92"/>
        <v>18.664356890413934</v>
      </c>
      <c r="AC243" s="246">
        <f t="shared" si="93"/>
        <v>-59.960463690947158</v>
      </c>
      <c r="AD243" s="248">
        <f t="shared" si="94"/>
        <v>-9.0274589533938432</v>
      </c>
      <c r="AE243" s="248">
        <f t="shared" si="95"/>
        <v>157.6019919913692</v>
      </c>
      <c r="AF243" s="246">
        <f t="shared" si="83"/>
        <v>9.6368979370200911</v>
      </c>
      <c r="AG243" s="246">
        <f t="shared" si="84"/>
        <v>97.641528300422038</v>
      </c>
      <c r="AH243" s="249" t="str">
        <f t="shared" si="85"/>
        <v>0.327010588472289-0.134770737958331i</v>
      </c>
    </row>
    <row r="244" spans="9:34" x14ac:dyDescent="0.2">
      <c r="I244" s="246">
        <v>240</v>
      </c>
      <c r="J244" s="246">
        <f t="shared" si="73"/>
        <v>3.340029406428016</v>
      </c>
      <c r="K244" s="246">
        <f t="shared" si="96"/>
        <v>2187.9097640607069</v>
      </c>
      <c r="L244" s="246">
        <f t="shared" si="86"/>
        <v>13747.042482980989</v>
      </c>
      <c r="M244" s="246">
        <f t="shared" si="74"/>
        <v>6580.8405488747821</v>
      </c>
      <c r="N244" s="246">
        <f>SQRT((ABS(AC244)-171.5+'Small Signal'!C$59)^2)</f>
        <v>40.851658873067706</v>
      </c>
      <c r="O244" s="246">
        <f t="shared" si="87"/>
        <v>97.344642428147083</v>
      </c>
      <c r="P244" s="246">
        <f t="shared" si="88"/>
        <v>9.4789241055101741</v>
      </c>
      <c r="Q244" s="246">
        <f t="shared" si="89"/>
        <v>2187.9097640607069</v>
      </c>
      <c r="R244" s="246" t="str">
        <f t="shared" si="75"/>
        <v>0.161233333333333+0.0646110996700106i</v>
      </c>
      <c r="S244" s="246" t="str">
        <f t="shared" si="76"/>
        <v>0.025-7.73860842105551i</v>
      </c>
      <c r="T244" s="246" t="str">
        <f t="shared" si="77"/>
        <v>2.2786231145224-6.99659646546836i</v>
      </c>
      <c r="U244" s="246" t="str">
        <f t="shared" si="78"/>
        <v>73.5311020340716-48.807785478385i</v>
      </c>
      <c r="V244" s="246">
        <f t="shared" si="90"/>
        <v>38.914829801052392</v>
      </c>
      <c r="W244" s="246">
        <f t="shared" si="91"/>
        <v>-33.575038604465043</v>
      </c>
      <c r="X244" s="246" t="str">
        <f t="shared" si="79"/>
        <v>0.999965959472813-0.00103203460294631i</v>
      </c>
      <c r="Y244" s="246" t="str">
        <f t="shared" si="80"/>
        <v>68.1670819710255+35.7490501171378i</v>
      </c>
      <c r="Z244" s="246" t="str">
        <f t="shared" si="81"/>
        <v>42.6676433827092+22.3201926535991i</v>
      </c>
      <c r="AA244" s="246" t="str">
        <f t="shared" si="82"/>
        <v>4.13894342057081-7.35995371495986i</v>
      </c>
      <c r="AB244" s="246">
        <f t="shared" si="92"/>
        <v>18.530881369706108</v>
      </c>
      <c r="AC244" s="246">
        <f t="shared" si="93"/>
        <v>-60.648341126932294</v>
      </c>
      <c r="AD244" s="248">
        <f t="shared" si="94"/>
        <v>-9.0519572641959343</v>
      </c>
      <c r="AE244" s="248">
        <f t="shared" si="95"/>
        <v>157.99298355507938</v>
      </c>
      <c r="AF244" s="246">
        <f t="shared" si="83"/>
        <v>9.4789241055101741</v>
      </c>
      <c r="AG244" s="246">
        <f t="shared" si="84"/>
        <v>97.344642428147083</v>
      </c>
      <c r="AH244" s="249" t="str">
        <f t="shared" si="85"/>
        <v>0.326999061223835-0.132162779912832i</v>
      </c>
    </row>
    <row r="245" spans="9:34" x14ac:dyDescent="0.2">
      <c r="I245" s="246">
        <v>241</v>
      </c>
      <c r="J245" s="246">
        <f t="shared" si="73"/>
        <v>3.3497795289547994</v>
      </c>
      <c r="K245" s="246">
        <f t="shared" si="96"/>
        <v>2237.5849327240294</v>
      </c>
      <c r="L245" s="246">
        <f t="shared" si="86"/>
        <v>14059.160772858044</v>
      </c>
      <c r="M245" s="246">
        <f t="shared" si="74"/>
        <v>6530.0375355341939</v>
      </c>
      <c r="N245" s="246">
        <f>SQRT((ABS(AC245)-171.5+'Small Signal'!C$59)^2)</f>
        <v>40.166871092400385</v>
      </c>
      <c r="O245" s="246">
        <f t="shared" si="87"/>
        <v>97.04293332900366</v>
      </c>
      <c r="P245" s="246">
        <f t="shared" si="88"/>
        <v>9.3200750707770741</v>
      </c>
      <c r="Q245" s="246">
        <f t="shared" si="89"/>
        <v>2237.5849327240294</v>
      </c>
      <c r="R245" s="246" t="str">
        <f t="shared" si="75"/>
        <v>0.161233333333333+0.0660780556324328i</v>
      </c>
      <c r="S245" s="246" t="str">
        <f t="shared" si="76"/>
        <v>0.025-7.56680860558775i</v>
      </c>
      <c r="T245" s="246" t="str">
        <f t="shared" si="77"/>
        <v>2.18860024147193-6.86962278429739i</v>
      </c>
      <c r="U245" s="246" t="str">
        <f t="shared" si="78"/>
        <v>72.882368615382-49.9991304484058i</v>
      </c>
      <c r="V245" s="246">
        <f t="shared" si="90"/>
        <v>38.927484862195989</v>
      </c>
      <c r="W245" s="246">
        <f t="shared" si="91"/>
        <v>-34.451098378046176</v>
      </c>
      <c r="X245" s="246" t="str">
        <f t="shared" si="79"/>
        <v>0.99996439618609-0.00105546632477042i</v>
      </c>
      <c r="Y245" s="246" t="str">
        <f t="shared" si="80"/>
        <v>69.4857898963612+36.1277627846761i</v>
      </c>
      <c r="Z245" s="246" t="str">
        <f t="shared" si="81"/>
        <v>43.4933184309495+22.5552056917289i</v>
      </c>
      <c r="AA245" s="246" t="str">
        <f t="shared" si="82"/>
        <v>3.98808320652512-7.29439270354609i</v>
      </c>
      <c r="AB245" s="246">
        <f t="shared" si="92"/>
        <v>18.395595725445244</v>
      </c>
      <c r="AC245" s="246">
        <f t="shared" si="93"/>
        <v>-61.333128907599615</v>
      </c>
      <c r="AD245" s="248">
        <f t="shared" si="94"/>
        <v>-9.0755206546681695</v>
      </c>
      <c r="AE245" s="248">
        <f t="shared" si="95"/>
        <v>158.37606223660327</v>
      </c>
      <c r="AF245" s="246">
        <f t="shared" si="83"/>
        <v>9.3200750707770741</v>
      </c>
      <c r="AG245" s="246">
        <f t="shared" si="84"/>
        <v>97.04293332900366</v>
      </c>
      <c r="AH245" s="249" t="str">
        <f t="shared" si="85"/>
        <v>0.326987117515168-0.129621412646818i</v>
      </c>
    </row>
    <row r="246" spans="9:34" x14ac:dyDescent="0.2">
      <c r="I246" s="246">
        <v>242</v>
      </c>
      <c r="J246" s="246">
        <f t="shared" si="73"/>
        <v>3.3595296514815827</v>
      </c>
      <c r="K246" s="246">
        <f t="shared" si="96"/>
        <v>2288.3879460646176</v>
      </c>
      <c r="L246" s="246">
        <f t="shared" si="86"/>
        <v>14378.365519840077</v>
      </c>
      <c r="M246" s="246">
        <f t="shared" si="74"/>
        <v>6478.0810704846972</v>
      </c>
      <c r="N246" s="246">
        <f>SQRT((ABS(AC246)-171.5+'Small Signal'!C$59)^2)</f>
        <v>39.485329981752159</v>
      </c>
      <c r="O246" s="246">
        <f t="shared" si="87"/>
        <v>96.736572984589117</v>
      </c>
      <c r="P246" s="246">
        <f t="shared" si="88"/>
        <v>9.1603540688209577</v>
      </c>
      <c r="Q246" s="246">
        <f t="shared" si="89"/>
        <v>2288.3879460646176</v>
      </c>
      <c r="R246" s="246" t="str">
        <f t="shared" si="75"/>
        <v>0.161233333333333+0.0675783179432484i</v>
      </c>
      <c r="S246" s="246" t="str">
        <f t="shared" si="76"/>
        <v>0.025-7.39882280615351i</v>
      </c>
      <c r="T246" s="246" t="str">
        <f t="shared" si="77"/>
        <v>2.1018295406486-6.74383696181836i</v>
      </c>
      <c r="U246" s="246" t="str">
        <f t="shared" si="78"/>
        <v>72.1901813788094-51.2167656317001i</v>
      </c>
      <c r="V246" s="246">
        <f t="shared" si="90"/>
        <v>38.94015684594612</v>
      </c>
      <c r="W246" s="246">
        <f t="shared" si="91"/>
        <v>-35.354556226564767</v>
      </c>
      <c r="X246" s="246" t="str">
        <f t="shared" si="79"/>
        <v>0.999962761106548-0.00107943004967475i</v>
      </c>
      <c r="Y246" s="246" t="str">
        <f t="shared" si="80"/>
        <v>70.862873193322+36.4773562016155i</v>
      </c>
      <c r="Z246" s="246" t="str">
        <f t="shared" si="81"/>
        <v>44.3555101698391+22.7718980822654i</v>
      </c>
      <c r="AA246" s="246" t="str">
        <f t="shared" si="82"/>
        <v>3.8399613030151-7.2263798340104i</v>
      </c>
      <c r="AB246" s="246">
        <f t="shared" si="92"/>
        <v>18.2585350449442</v>
      </c>
      <c r="AC246" s="246">
        <f t="shared" si="93"/>
        <v>-62.014670018247848</v>
      </c>
      <c r="AD246" s="248">
        <f t="shared" si="94"/>
        <v>-9.0981809761232419</v>
      </c>
      <c r="AE246" s="248">
        <f t="shared" si="95"/>
        <v>158.75124300283696</v>
      </c>
      <c r="AF246" s="246">
        <f t="shared" si="83"/>
        <v>9.1603540688209577</v>
      </c>
      <c r="AG246" s="246">
        <f t="shared" si="84"/>
        <v>96.736572984589117</v>
      </c>
      <c r="AH246" s="249" t="str">
        <f t="shared" si="85"/>
        <v>0.326974733357787-0.127145353440215i</v>
      </c>
    </row>
    <row r="247" spans="9:34" x14ac:dyDescent="0.2">
      <c r="I247" s="246">
        <v>243</v>
      </c>
      <c r="J247" s="246">
        <f t="shared" si="73"/>
        <v>3.369279774008366</v>
      </c>
      <c r="K247" s="246">
        <f t="shared" si="96"/>
        <v>2340.3444111141148</v>
      </c>
      <c r="L247" s="246">
        <f t="shared" si="86"/>
        <v>14704.817617652066</v>
      </c>
      <c r="M247" s="246">
        <f t="shared" si="74"/>
        <v>6424.9449653024667</v>
      </c>
      <c r="N247" s="246">
        <f>SQRT((ABS(AC247)-171.5+'Small Signal'!C$59)^2)</f>
        <v>38.807180785630578</v>
      </c>
      <c r="O247" s="246">
        <f t="shared" si="87"/>
        <v>96.425726575252042</v>
      </c>
      <c r="P247" s="246">
        <f t="shared" si="88"/>
        <v>8.9997660297036006</v>
      </c>
      <c r="Q247" s="246">
        <f t="shared" si="89"/>
        <v>2340.3444111141148</v>
      </c>
      <c r="R247" s="246" t="str">
        <f t="shared" si="75"/>
        <v>0.161233333333333+0.0691126428029647i</v>
      </c>
      <c r="S247" s="246" t="str">
        <f t="shared" si="76"/>
        <v>0.025-7.23456635026194i</v>
      </c>
      <c r="T247" s="246" t="str">
        <f t="shared" si="77"/>
        <v>2.0182207068944-6.61929826400778i</v>
      </c>
      <c r="U247" s="246" t="str">
        <f t="shared" si="78"/>
        <v>71.4514549828675-52.4603595838793i</v>
      </c>
      <c r="V247" s="246">
        <f t="shared" si="90"/>
        <v>38.95278848528622</v>
      </c>
      <c r="W247" s="246">
        <f t="shared" si="91"/>
        <v>-36.286480779758698</v>
      </c>
      <c r="X247" s="246" t="str">
        <f t="shared" si="79"/>
        <v>0.999961050937155-0.00110393785646762i</v>
      </c>
      <c r="Y247" s="246" t="str">
        <f t="shared" si="80"/>
        <v>72.3001648509472+36.7937943686328i</v>
      </c>
      <c r="Z247" s="246" t="str">
        <f t="shared" si="81"/>
        <v>45.2553613073808+22.9677391153165i</v>
      </c>
      <c r="AA247" s="246" t="str">
        <f t="shared" si="82"/>
        <v>3.69464900608723-7.15605064160378i</v>
      </c>
      <c r="AB247" s="246">
        <f t="shared" si="92"/>
        <v>18.119735432432858</v>
      </c>
      <c r="AC247" s="246">
        <f t="shared" si="93"/>
        <v>-62.692819214369429</v>
      </c>
      <c r="AD247" s="248">
        <f t="shared" si="94"/>
        <v>-9.1199694027292573</v>
      </c>
      <c r="AE247" s="248">
        <f t="shared" si="95"/>
        <v>159.11854578962146</v>
      </c>
      <c r="AF247" s="246">
        <f t="shared" si="83"/>
        <v>8.9997660297036006</v>
      </c>
      <c r="AG247" s="246">
        <f t="shared" si="84"/>
        <v>96.425726575252042</v>
      </c>
      <c r="AH247" s="249" t="str">
        <f t="shared" si="85"/>
        <v>0.326961883884001-0.124733352369002i</v>
      </c>
    </row>
    <row r="248" spans="9:34" x14ac:dyDescent="0.2">
      <c r="I248" s="246">
        <v>244</v>
      </c>
      <c r="J248" s="246">
        <f t="shared" si="73"/>
        <v>3.3790298965351493</v>
      </c>
      <c r="K248" s="246">
        <f t="shared" si="96"/>
        <v>2393.4805162963448</v>
      </c>
      <c r="L248" s="246">
        <f t="shared" si="86"/>
        <v>15038.681613013803</v>
      </c>
      <c r="M248" s="246">
        <f t="shared" si="74"/>
        <v>6370.602436971345</v>
      </c>
      <c r="N248" s="246">
        <f>SQRT((ABS(AC248)-171.5+'Small Signal'!C$59)^2)</f>
        <v>38.132556837957509</v>
      </c>
      <c r="O248" s="246">
        <f t="shared" si="87"/>
        <v>96.110552000845246</v>
      </c>
      <c r="P248" s="246">
        <f t="shared" si="88"/>
        <v>8.8383174944341931</v>
      </c>
      <c r="Q248" s="246">
        <f t="shared" si="89"/>
        <v>2393.4805162963448</v>
      </c>
      <c r="R248" s="246" t="str">
        <f t="shared" si="75"/>
        <v>0.161233333333333+0.0706818035811649i</v>
      </c>
      <c r="S248" s="246" t="str">
        <f t="shared" si="76"/>
        <v>0.025-7.073956445181i</v>
      </c>
      <c r="T248" s="246" t="str">
        <f t="shared" si="77"/>
        <v>1.93768375401669-6.49606094501125i</v>
      </c>
      <c r="U248" s="246" t="str">
        <f t="shared" si="78"/>
        <v>70.6629049705045-53.7293945242143i</v>
      </c>
      <c r="V248" s="246">
        <f t="shared" si="90"/>
        <v>38.965313967405351</v>
      </c>
      <c r="W248" s="246">
        <f t="shared" si="91"/>
        <v>-37.247982401252642</v>
      </c>
      <c r="X248" s="246" t="str">
        <f t="shared" si="79"/>
        <v>0.999959262229462-0.00112900209819946i</v>
      </c>
      <c r="Y248" s="246" t="str">
        <f t="shared" si="80"/>
        <v>73.7994049275405+37.0726616645613i</v>
      </c>
      <c r="Z248" s="246" t="str">
        <f t="shared" si="81"/>
        <v>46.1939558080317+23.1399603916918i</v>
      </c>
      <c r="AA248" s="246" t="str">
        <f t="shared" si="82"/>
        <v>3.55220938001383-7.0835419490879i</v>
      </c>
      <c r="AB248" s="246">
        <f t="shared" si="92"/>
        <v>17.979233912484528</v>
      </c>
      <c r="AC248" s="246">
        <f t="shared" si="93"/>
        <v>-63.367443162042484</v>
      </c>
      <c r="AD248" s="248">
        <f t="shared" si="94"/>
        <v>-9.1409164180503346</v>
      </c>
      <c r="AE248" s="248">
        <f t="shared" si="95"/>
        <v>159.47799516288774</v>
      </c>
      <c r="AF248" s="246">
        <f t="shared" si="83"/>
        <v>8.8383174944341931</v>
      </c>
      <c r="AG248" s="246">
        <f t="shared" si="84"/>
        <v>96.110552000845246</v>
      </c>
      <c r="AH248" s="249" t="str">
        <f t="shared" si="85"/>
        <v>0.326948543297597-0.122384191666719i</v>
      </c>
    </row>
    <row r="249" spans="9:34" x14ac:dyDescent="0.2">
      <c r="I249" s="246">
        <v>245</v>
      </c>
      <c r="J249" s="246">
        <f t="shared" si="73"/>
        <v>3.388780019061933</v>
      </c>
      <c r="K249" s="246">
        <f t="shared" si="96"/>
        <v>2447.8230446274665</v>
      </c>
      <c r="L249" s="246">
        <f t="shared" si="86"/>
        <v>15380.125788578898</v>
      </c>
      <c r="M249" s="246">
        <f t="shared" si="74"/>
        <v>6315.0260943829935</v>
      </c>
      <c r="N249" s="246">
        <f>SQRT((ABS(AC249)-171.5+'Small Signal'!C$59)^2)</f>
        <v>37.461579467397158</v>
      </c>
      <c r="O249" s="246">
        <f t="shared" si="87"/>
        <v>95.79119945374363</v>
      </c>
      <c r="P249" s="246">
        <f t="shared" si="88"/>
        <v>8.676016529977888</v>
      </c>
      <c r="Q249" s="246">
        <f t="shared" si="89"/>
        <v>2447.8230446274665</v>
      </c>
      <c r="R249" s="246" t="str">
        <f t="shared" si="75"/>
        <v>0.161233333333333+0.0722865912063208i</v>
      </c>
      <c r="S249" s="246" t="str">
        <f t="shared" si="76"/>
        <v>0.025-6.9169121362065i</v>
      </c>
      <c r="T249" s="246" t="str">
        <f t="shared" si="77"/>
        <v>1.86012922090516-6.37417443854172i</v>
      </c>
      <c r="U249" s="246" t="str">
        <f t="shared" si="78"/>
        <v>69.8210428965795-55.0231360887882i</v>
      </c>
      <c r="V249" s="246">
        <f t="shared" si="90"/>
        <v>38.977657979796938</v>
      </c>
      <c r="W249" s="246">
        <f t="shared" si="91"/>
        <v>-38.240212997460475</v>
      </c>
      <c r="X249" s="246" t="str">
        <f t="shared" si="79"/>
        <v>0.999957391376656-0.00115463540838919i</v>
      </c>
      <c r="Y249" s="246" t="str">
        <f t="shared" si="80"/>
        <v>75.3622059175783+37.309136119043i</v>
      </c>
      <c r="Z249" s="246" t="str">
        <f t="shared" si="81"/>
        <v>47.1722971582064+23.2855391272333i</v>
      </c>
      <c r="AA249" s="246" t="str">
        <f t="shared" si="82"/>
        <v>3.41269734734744-7.00899131071991i</v>
      </c>
      <c r="AB249" s="246">
        <f t="shared" si="92"/>
        <v>17.837068334455552</v>
      </c>
      <c r="AC249" s="246">
        <f t="shared" si="93"/>
        <v>-64.038420532602842</v>
      </c>
      <c r="AD249" s="248">
        <f t="shared" si="94"/>
        <v>-9.1610518044776637</v>
      </c>
      <c r="AE249" s="248">
        <f t="shared" si="95"/>
        <v>159.82961998634647</v>
      </c>
      <c r="AF249" s="246">
        <f t="shared" si="83"/>
        <v>8.676016529977888</v>
      </c>
      <c r="AG249" s="246">
        <f t="shared" si="84"/>
        <v>95.79119945374363</v>
      </c>
      <c r="AH249" s="249" t="str">
        <f t="shared" si="85"/>
        <v>0.326934684822759-0.120096685101619i</v>
      </c>
    </row>
    <row r="250" spans="9:34" x14ac:dyDescent="0.2">
      <c r="I250" s="246">
        <v>246</v>
      </c>
      <c r="J250" s="246">
        <f t="shared" si="73"/>
        <v>3.3985301415887164</v>
      </c>
      <c r="K250" s="246">
        <f t="shared" si="96"/>
        <v>2503.399387215818</v>
      </c>
      <c r="L250" s="246">
        <f t="shared" si="86"/>
        <v>15729.322247756807</v>
      </c>
      <c r="M250" s="246">
        <f t="shared" si="74"/>
        <v>6258.187924530499</v>
      </c>
      <c r="N250" s="246">
        <f>SQRT((ABS(AC250)-171.5+'Small Signal'!C$59)^2)</f>
        <v>36.794357946801512</v>
      </c>
      <c r="O250" s="246">
        <f t="shared" si="87"/>
        <v>95.467811043337832</v>
      </c>
      <c r="P250" s="246">
        <f t="shared" si="88"/>
        <v>8.5128726430713417</v>
      </c>
      <c r="Q250" s="246">
        <f t="shared" si="89"/>
        <v>2503.399387215818</v>
      </c>
      <c r="R250" s="246" t="str">
        <f t="shared" si="75"/>
        <v>0.161233333333333+0.073927814564457i</v>
      </c>
      <c r="S250" s="246" t="str">
        <f t="shared" si="76"/>
        <v>0.025-6.76335426585693i</v>
      </c>
      <c r="T250" s="246" t="str">
        <f t="shared" si="77"/>
        <v>1.78546835916003-6.25368355201201i</v>
      </c>
      <c r="U250" s="246" t="str">
        <f t="shared" si="78"/>
        <v>68.9221735476176-56.3405994254244i</v>
      </c>
      <c r="V250" s="246">
        <f t="shared" si="90"/>
        <v>38.989734672848535</v>
      </c>
      <c r="W250" s="246">
        <f t="shared" si="91"/>
        <v>-39.264365357705593</v>
      </c>
      <c r="X250" s="246" t="str">
        <f t="shared" si="79"/>
        <v>0.99995543460628-0.00118085070739216i</v>
      </c>
      <c r="Y250" s="246" t="str">
        <f t="shared" si="80"/>
        <v>76.9900121185633+37.4979628348992i</v>
      </c>
      <c r="Z250" s="246" t="str">
        <f t="shared" si="81"/>
        <v>48.1912828730425+23.4011815593845i</v>
      </c>
      <c r="AA250" s="246" t="str">
        <f t="shared" si="82"/>
        <v>3.27615981916559-6.93253647800515i</v>
      </c>
      <c r="AB250" s="246">
        <f t="shared" si="92"/>
        <v>17.693277278452364</v>
      </c>
      <c r="AC250" s="246">
        <f t="shared" si="93"/>
        <v>-64.705642053198488</v>
      </c>
      <c r="AD250" s="248">
        <f t="shared" si="94"/>
        <v>-9.1804046353810218</v>
      </c>
      <c r="AE250" s="248">
        <f t="shared" si="95"/>
        <v>160.17345309653632</v>
      </c>
      <c r="AF250" s="246">
        <f t="shared" si="83"/>
        <v>8.5128726430713417</v>
      </c>
      <c r="AG250" s="246">
        <f t="shared" si="84"/>
        <v>95.467811043337832</v>
      </c>
      <c r="AH250" s="249" t="str">
        <f t="shared" si="85"/>
        <v>0.326920280651069-0.117869677369075i</v>
      </c>
    </row>
    <row r="251" spans="9:34" x14ac:dyDescent="0.2">
      <c r="I251" s="246">
        <v>247</v>
      </c>
      <c r="J251" s="246">
        <f t="shared" si="73"/>
        <v>3.4082802641155001</v>
      </c>
      <c r="K251" s="246">
        <f t="shared" si="96"/>
        <v>2560.2375570683125</v>
      </c>
      <c r="L251" s="246">
        <f t="shared" si="86"/>
        <v>16086.447001460978</v>
      </c>
      <c r="M251" s="246">
        <f t="shared" si="74"/>
        <v>6200.0592783885768</v>
      </c>
      <c r="N251" s="246">
        <f>SQRT((ABS(AC251)-171.5+'Small Signal'!C$59)^2)</f>
        <v>36.130989484953119</v>
      </c>
      <c r="O251" s="246">
        <f t="shared" si="87"/>
        <v>95.140520470881739</v>
      </c>
      <c r="P251" s="246">
        <f t="shared" si="88"/>
        <v>8.3488966934970517</v>
      </c>
      <c r="Q251" s="246">
        <f t="shared" si="89"/>
        <v>2560.2375570683125</v>
      </c>
      <c r="R251" s="246" t="str">
        <f t="shared" si="75"/>
        <v>0.161233333333333+0.0756063009068666i</v>
      </c>
      <c r="S251" s="246" t="str">
        <f t="shared" si="76"/>
        <v>0.025-6.61320543397449i</v>
      </c>
      <c r="T251" s="246" t="str">
        <f t="shared" si="77"/>
        <v>1.71361330297677-6.13462866216071i</v>
      </c>
      <c r="U251" s="246" t="str">
        <f t="shared" si="78"/>
        <v>67.9623948995383-57.680511390558i</v>
      </c>
      <c r="V251" s="246">
        <f t="shared" si="90"/>
        <v>39.001446536231718</v>
      </c>
      <c r="W251" s="246">
        <f t="shared" si="91"/>
        <v>-40.321671926437972</v>
      </c>
      <c r="X251" s="246" t="str">
        <f t="shared" si="79"/>
        <v>0.999953387972632-0.00120766120891259i</v>
      </c>
      <c r="Y251" s="246" t="str">
        <f t="shared" si="80"/>
        <v>78.6840522620728+37.6334282063371i</v>
      </c>
      <c r="Z251" s="246" t="str">
        <f t="shared" si="81"/>
        <v>49.2516747844053+23.4833068618188i</v>
      </c>
      <c r="AA251" s="246" t="str">
        <f t="shared" si="82"/>
        <v>3.142635862299-6.8543148900763i</v>
      </c>
      <c r="AB251" s="246">
        <f t="shared" si="92"/>
        <v>17.547899963304928</v>
      </c>
      <c r="AC251" s="246">
        <f t="shared" si="93"/>
        <v>-65.369010515046881</v>
      </c>
      <c r="AD251" s="248">
        <f t="shared" si="94"/>
        <v>-9.1990032698078767</v>
      </c>
      <c r="AE251" s="248">
        <f t="shared" si="95"/>
        <v>160.50953098592862</v>
      </c>
      <c r="AF251" s="246">
        <f t="shared" si="83"/>
        <v>8.3488966934970517</v>
      </c>
      <c r="AG251" s="246">
        <f t="shared" si="84"/>
        <v>95.140520470881739</v>
      </c>
      <c r="AH251" s="249" t="str">
        <f t="shared" si="85"/>
        <v>0.326905301886528-0.115702043498914i</v>
      </c>
    </row>
    <row r="252" spans="9:34" x14ac:dyDescent="0.2">
      <c r="I252" s="246">
        <v>248</v>
      </c>
      <c r="J252" s="246">
        <f t="shared" si="73"/>
        <v>3.4180303866422834</v>
      </c>
      <c r="K252" s="246">
        <f t="shared" si="96"/>
        <v>2618.3662032102343</v>
      </c>
      <c r="L252" s="246">
        <f t="shared" si="86"/>
        <v>16451.680056826142</v>
      </c>
      <c r="M252" s="246">
        <f t="shared" si="74"/>
        <v>6140.6108564731258</v>
      </c>
      <c r="N252" s="246">
        <f>SQRT((ABS(AC252)-171.5+'Small Signal'!C$59)^2)</f>
        <v>35.471559258562479</v>
      </c>
      <c r="O252" s="246">
        <f t="shared" si="87"/>
        <v>94.809452753244557</v>
      </c>
      <c r="P252" s="246">
        <f t="shared" si="88"/>
        <v>8.1841008074237624</v>
      </c>
      <c r="Q252" s="246">
        <f t="shared" si="89"/>
        <v>2618.3662032102343</v>
      </c>
      <c r="R252" s="246" t="str">
        <f t="shared" si="75"/>
        <v>0.161233333333333+0.0773228962670829i</v>
      </c>
      <c r="S252" s="246" t="str">
        <f t="shared" si="76"/>
        <v>0.025-6.46638995871206i</v>
      </c>
      <c r="T252" s="246" t="str">
        <f t="shared" si="77"/>
        <v>1.64447722207343-6.0170459110486i</v>
      </c>
      <c r="U252" s="246" t="str">
        <f t="shared" si="78"/>
        <v>66.9376015817657-59.0412686538187i</v>
      </c>
      <c r="V252" s="246">
        <f t="shared" si="90"/>
        <v>39.012683187666376</v>
      </c>
      <c r="W252" s="246">
        <f t="shared" si="91"/>
        <v>-41.41340289408862</v>
      </c>
      <c r="X252" s="246" t="str">
        <f t="shared" si="79"/>
        <v>0.999951247348806-0.00123508042666385i</v>
      </c>
      <c r="Y252" s="246" t="str">
        <f t="shared" si="80"/>
        <v>80.4452846474691+37.7093357633247i</v>
      </c>
      <c r="Z252" s="246" t="str">
        <f t="shared" si="81"/>
        <v>50.3540646342129+23.5280320883893i</v>
      </c>
      <c r="AA252" s="246" t="str">
        <f t="shared" si="82"/>
        <v>3.01215690016845-6.77446319112777i</v>
      </c>
      <c r="AB252" s="246">
        <f t="shared" si="92"/>
        <v>17.400976156983656</v>
      </c>
      <c r="AC252" s="246">
        <f t="shared" si="93"/>
        <v>-66.028440741437521</v>
      </c>
      <c r="AD252" s="248">
        <f t="shared" si="94"/>
        <v>-9.2168753495598938</v>
      </c>
      <c r="AE252" s="248">
        <f t="shared" si="95"/>
        <v>160.83789349468208</v>
      </c>
      <c r="AF252" s="246">
        <f t="shared" si="83"/>
        <v>8.1841008074237624</v>
      </c>
      <c r="AG252" s="246">
        <f t="shared" si="84"/>
        <v>94.809452753244557</v>
      </c>
      <c r="AH252" s="249" t="str">
        <f t="shared" si="85"/>
        <v>0.326889718488489-0.113592688277315i</v>
      </c>
    </row>
    <row r="253" spans="9:34" x14ac:dyDescent="0.2">
      <c r="I253" s="246">
        <v>249</v>
      </c>
      <c r="J253" s="246">
        <f t="shared" si="73"/>
        <v>3.4277805091690667</v>
      </c>
      <c r="K253" s="246">
        <f t="shared" si="96"/>
        <v>2677.8146251256858</v>
      </c>
      <c r="L253" s="246">
        <f t="shared" si="86"/>
        <v>16825.205507940322</v>
      </c>
      <c r="M253" s="246">
        <f t="shared" si="74"/>
        <v>6079.812694072978</v>
      </c>
      <c r="N253" s="246">
        <f>SQRT((ABS(AC253)-171.5+'Small Signal'!C$59)^2)</f>
        <v>34.816140482300042</v>
      </c>
      <c r="O253" s="246">
        <f t="shared" si="87"/>
        <v>94.474723993832569</v>
      </c>
      <c r="P253" s="246">
        <f t="shared" si="88"/>
        <v>8.0184982913755167</v>
      </c>
      <c r="Q253" s="246">
        <f t="shared" si="89"/>
        <v>2677.8146251256858</v>
      </c>
      <c r="R253" s="246" t="str">
        <f t="shared" si="75"/>
        <v>0.161233333333333+0.0790784658873195i</v>
      </c>
      <c r="S253" s="246" t="str">
        <f t="shared" si="76"/>
        <v>0.025-6.32283383838604i</v>
      </c>
      <c r="T253" s="246" t="str">
        <f t="shared" si="77"/>
        <v>1.57797445847687-5.90096740141929i</v>
      </c>
      <c r="U253" s="246" t="str">
        <f t="shared" si="78"/>
        <v>65.8434927522148-60.4208915868539i</v>
      </c>
      <c r="V253" s="246">
        <f t="shared" si="90"/>
        <v>39.0233200743575</v>
      </c>
      <c r="W253" s="246">
        <f t="shared" si="91"/>
        <v>-42.540863477739471</v>
      </c>
      <c r="X253" s="246" t="str">
        <f t="shared" si="79"/>
        <v>0.999949008418371-0.00126312218118001i</v>
      </c>
      <c r="Y253" s="246" t="str">
        <f t="shared" si="80"/>
        <v>82.2743340134239+37.7189846903787i</v>
      </c>
      <c r="Z253" s="246" t="str">
        <f t="shared" si="81"/>
        <v>51.498834495394+23.5311588041864i</v>
      </c>
      <c r="AA253" s="246" t="str">
        <f t="shared" si="82"/>
        <v>2.88474694374456-6.69311677690481i</v>
      </c>
      <c r="AB253" s="246">
        <f t="shared" si="92"/>
        <v>17.25254608985453</v>
      </c>
      <c r="AC253" s="246">
        <f t="shared" si="93"/>
        <v>-66.683859517699958</v>
      </c>
      <c r="AD253" s="248">
        <f t="shared" si="94"/>
        <v>-9.234047798479013</v>
      </c>
      <c r="AE253" s="248">
        <f t="shared" si="95"/>
        <v>161.15858351153253</v>
      </c>
      <c r="AF253" s="246">
        <f t="shared" si="83"/>
        <v>8.0184982913755167</v>
      </c>
      <c r="AG253" s="246">
        <f t="shared" si="84"/>
        <v>94.474723993832569</v>
      </c>
      <c r="AH253" s="249" t="str">
        <f t="shared" si="85"/>
        <v>0.326873499212387-0.111540545682958i</v>
      </c>
    </row>
    <row r="254" spans="9:34" x14ac:dyDescent="0.2">
      <c r="I254" s="246">
        <v>250</v>
      </c>
      <c r="J254" s="246">
        <f t="shared" si="73"/>
        <v>3.43753063169585</v>
      </c>
      <c r="K254" s="246">
        <f>10^(J254)</f>
        <v>2738.612787525833</v>
      </c>
      <c r="L254" s="246">
        <f t="shared" si="86"/>
        <v>17207.211628636443</v>
      </c>
      <c r="M254" s="246">
        <f t="shared" si="74"/>
        <v>6017.6341461463089</v>
      </c>
      <c r="N254" s="246">
        <f>SQRT((ABS(AC254)-171.5+'Small Signal'!C$59)^2)</f>
        <v>34.164794514508429</v>
      </c>
      <c r="O254" s="246">
        <f t="shared" si="87"/>
        <v>94.136441198727624</v>
      </c>
      <c r="P254" s="246">
        <f t="shared" si="88"/>
        <v>7.8521035473480172</v>
      </c>
      <c r="Q254" s="246">
        <f t="shared" si="89"/>
        <v>2738.612787525833</v>
      </c>
      <c r="R254" s="246" t="str">
        <f t="shared" si="75"/>
        <v>0.161233333333333+0.0808738946545913i</v>
      </c>
      <c r="S254" s="246" t="str">
        <f t="shared" si="76"/>
        <v>0.025-6.18246471417601i</v>
      </c>
      <c r="T254" s="246" t="str">
        <f t="shared" si="77"/>
        <v>1.51402064800357-5.78642139052687i</v>
      </c>
      <c r="U254" s="246" t="str">
        <f t="shared" si="78"/>
        <v>64.6755854352989-61.8169739156465i</v>
      </c>
      <c r="V254" s="246">
        <f t="shared" si="90"/>
        <v>39.033217089679056</v>
      </c>
      <c r="W254" s="246">
        <f t="shared" si="91"/>
        <v>-43.705390246700823</v>
      </c>
      <c r="X254" s="246" t="str">
        <f t="shared" si="79"/>
        <v>0.999946666666667-0.00129180060678201i</v>
      </c>
      <c r="Y254" s="246" t="str">
        <f t="shared" si="80"/>
        <v>84.1714194111957+37.6551523219222i</v>
      </c>
      <c r="Z254" s="246" t="str">
        <f t="shared" si="81"/>
        <v>52.6861115611845+23.4881622205219i</v>
      </c>
      <c r="AA254" s="246" t="str">
        <f t="shared" si="82"/>
        <v>2.76042284908822-6.61040937182587i</v>
      </c>
      <c r="AB254" s="246">
        <f t="shared" si="92"/>
        <v>17.102650371126305</v>
      </c>
      <c r="AC254" s="246">
        <f t="shared" si="93"/>
        <v>-67.335205485491571</v>
      </c>
      <c r="AD254" s="248">
        <f t="shared" si="94"/>
        <v>-9.2505468237782882</v>
      </c>
      <c r="AE254" s="248">
        <f t="shared" si="95"/>
        <v>161.47164668421919</v>
      </c>
      <c r="AF254" s="246">
        <f t="shared" si="83"/>
        <v>7.8521035473480172</v>
      </c>
      <c r="AG254" s="246">
        <f t="shared" si="84"/>
        <v>94.136441198727624</v>
      </c>
      <c r="AH254" s="249" t="str">
        <f t="shared" si="85"/>
        <v>0.326856611548181-0.109544578337058i</v>
      </c>
    </row>
    <row r="255" spans="9:34" x14ac:dyDescent="0.2">
      <c r="I255" s="246">
        <v>251</v>
      </c>
      <c r="J255" s="246">
        <f t="shared" si="73"/>
        <v>3.4472807542226334</v>
      </c>
      <c r="K255" s="246">
        <f t="shared" ref="K255:K318" si="97">10^(J255)</f>
        <v>2800.7913354525026</v>
      </c>
      <c r="L255" s="246">
        <f t="shared" si="86"/>
        <v>17597.890967391057</v>
      </c>
      <c r="M255" s="246">
        <f t="shared" si="74"/>
        <v>5954.0438718741352</v>
      </c>
      <c r="N255" s="246">
        <f>SQRT((ABS(AC255)-171.5+'Small Signal'!C$59)^2)</f>
        <v>33.51757099613684</v>
      </c>
      <c r="O255" s="246">
        <f t="shared" si="87"/>
        <v>93.794702135887235</v>
      </c>
      <c r="P255" s="246">
        <f t="shared" si="88"/>
        <v>7.6849319895406314</v>
      </c>
      <c r="Q255" s="246">
        <f t="shared" si="89"/>
        <v>2800.7913354525026</v>
      </c>
      <c r="R255" s="246" t="str">
        <f t="shared" si="75"/>
        <v>0.161233333333333+0.082710087546738i</v>
      </c>
      <c r="S255" s="246" t="str">
        <f t="shared" si="76"/>
        <v>0.025-6.0452118336528i</v>
      </c>
      <c r="T255" s="246" t="str">
        <f t="shared" si="77"/>
        <v>1.45253282728173-5.67343248164055i</v>
      </c>
      <c r="U255" s="246" t="str">
        <f t="shared" si="78"/>
        <v>63.4292345309519-63.2266282580687i</v>
      </c>
      <c r="V255" s="246">
        <f t="shared" si="90"/>
        <v>39.042217110620541</v>
      </c>
      <c r="W255" s="246">
        <f t="shared" si="91"/>
        <v>-44.908346331691391</v>
      </c>
      <c r="X255" s="246" t="str">
        <f t="shared" si="79"/>
        <v>0.9999442173717-0.001321130158702i</v>
      </c>
      <c r="Y255" s="246" t="str">
        <f t="shared" si="80"/>
        <v>86.1362724166336+37.5100822073694i</v>
      </c>
      <c r="Z255" s="246" t="str">
        <f t="shared" si="81"/>
        <v>53.9157168896328+23.3941838328597i</v>
      </c>
      <c r="AA255" s="246" t="str">
        <f t="shared" si="82"/>
        <v>2.63919459791994-6.52647263790676i</v>
      </c>
      <c r="AB255" s="246">
        <f t="shared" si="92"/>
        <v>16.951329908799199</v>
      </c>
      <c r="AC255" s="246">
        <f t="shared" si="93"/>
        <v>-67.98242900386316</v>
      </c>
      <c r="AD255" s="248">
        <f t="shared" si="94"/>
        <v>-9.2663979192585675</v>
      </c>
      <c r="AE255" s="248">
        <f t="shared" si="95"/>
        <v>161.7771311397504</v>
      </c>
      <c r="AF255" s="246">
        <f t="shared" si="83"/>
        <v>7.6849319895406314</v>
      </c>
      <c r="AG255" s="246">
        <f t="shared" si="84"/>
        <v>93.794702135887235</v>
      </c>
      <c r="AH255" s="249" t="str">
        <f t="shared" si="85"/>
        <v>0.326839021656349-0.107603776966966i</v>
      </c>
    </row>
    <row r="256" spans="9:34" x14ac:dyDescent="0.2">
      <c r="I256" s="246">
        <v>252</v>
      </c>
      <c r="J256" s="246">
        <f t="shared" si="73"/>
        <v>3.4570308767494171</v>
      </c>
      <c r="K256" s="246">
        <f t="shared" si="97"/>
        <v>2864.3816097246759</v>
      </c>
      <c r="L256" s="246">
        <f t="shared" si="86"/>
        <v>17997.440444377495</v>
      </c>
      <c r="M256" s="246">
        <f t="shared" si="74"/>
        <v>5889.0098188631437</v>
      </c>
      <c r="N256" s="246">
        <f>SQRT((ABS(AC256)-171.5+'Small Signal'!C$59)^2)</f>
        <v>32.874508020348458</v>
      </c>
      <c r="O256" s="246">
        <f t="shared" si="87"/>
        <v>93.449595235087429</v>
      </c>
      <c r="P256" s="246">
        <f t="shared" si="88"/>
        <v>7.5169999631258655</v>
      </c>
      <c r="Q256" s="246">
        <f t="shared" si="89"/>
        <v>2864.3816097246759</v>
      </c>
      <c r="R256" s="246" t="str">
        <f t="shared" si="75"/>
        <v>0.161233333333333+0.0845879700885742i</v>
      </c>
      <c r="S256" s="246" t="str">
        <f t="shared" si="76"/>
        <v>0.025-5.91100601511584i</v>
      </c>
      <c r="T256" s="246" t="str">
        <f t="shared" si="77"/>
        <v>1.39342952716263-5.56202181253202i</v>
      </c>
      <c r="U256" s="246" t="str">
        <f t="shared" si="78"/>
        <v>62.0996608609721-64.6464278593789i</v>
      </c>
      <c r="V256" s="246">
        <f t="shared" si="90"/>
        <v>39.050144465226879</v>
      </c>
      <c r="W256" s="246">
        <f t="shared" si="91"/>
        <v>-46.151115340299107</v>
      </c>
      <c r="X256" s="246" t="str">
        <f t="shared" si="79"/>
        <v>0.999941655594623-0.00135112562036945i</v>
      </c>
      <c r="Y256" s="246" t="str">
        <f t="shared" si="80"/>
        <v>88.1680451497888+37.2754796659429i</v>
      </c>
      <c r="Z256" s="246" t="str">
        <f t="shared" si="81"/>
        <v>55.1871077732831+23.2440287652947i</v>
      </c>
      <c r="AA256" s="246" t="str">
        <f t="shared" si="82"/>
        <v>2.52106559769974-6.44143581626435i</v>
      </c>
      <c r="AB256" s="246">
        <f t="shared" si="92"/>
        <v>16.798625833380477</v>
      </c>
      <c r="AC256" s="246">
        <f t="shared" si="93"/>
        <v>-68.625491979651542</v>
      </c>
      <c r="AD256" s="248">
        <f t="shared" si="94"/>
        <v>-9.2816258702546115</v>
      </c>
      <c r="AE256" s="248">
        <f t="shared" si="95"/>
        <v>162.07508721473897</v>
      </c>
      <c r="AF256" s="246">
        <f t="shared" si="83"/>
        <v>7.5169999631258655</v>
      </c>
      <c r="AG256" s="246">
        <f t="shared" si="84"/>
        <v>93.449595235087429</v>
      </c>
      <c r="AH256" s="249" t="str">
        <f t="shared" si="85"/>
        <v>0.326820694301376-0.105717159883007i</v>
      </c>
    </row>
    <row r="257" spans="9:34" x14ac:dyDescent="0.2">
      <c r="I257" s="246">
        <v>253</v>
      </c>
      <c r="J257" s="246">
        <f t="shared" si="73"/>
        <v>3.4667809992762004</v>
      </c>
      <c r="K257" s="246">
        <f t="shared" si="97"/>
        <v>2929.4156627356683</v>
      </c>
      <c r="L257" s="246">
        <f t="shared" si="86"/>
        <v>18406.0614507225</v>
      </c>
      <c r="M257" s="246">
        <f t="shared" si="74"/>
        <v>5822.4992069897853</v>
      </c>
      <c r="N257" s="246">
        <f>SQRT((ABS(AC257)-171.5+'Small Signal'!C$59)^2)</f>
        <v>32.235632330229805</v>
      </c>
      <c r="O257" s="246">
        <f t="shared" si="87"/>
        <v>93.101199526188736</v>
      </c>
      <c r="P257" s="246">
        <f t="shared" si="88"/>
        <v>7.3483246654304573</v>
      </c>
      <c r="Q257" s="246">
        <f t="shared" si="89"/>
        <v>2929.4156627356683</v>
      </c>
      <c r="R257" s="246" t="str">
        <f t="shared" si="75"/>
        <v>0.161233333333333+0.0865084888183957i</v>
      </c>
      <c r="S257" s="246" t="str">
        <f t="shared" si="76"/>
        <v>0.025-5.77977961272256i</v>
      </c>
      <c r="T257" s="246" t="str">
        <f t="shared" si="77"/>
        <v>1.33663085336497-5.45220724034656i</v>
      </c>
      <c r="U257" s="246" t="str">
        <f t="shared" si="78"/>
        <v>60.6819887713298-66.072345087061i</v>
      </c>
      <c r="V257" s="246">
        <f t="shared" si="90"/>
        <v>39.056803343875771</v>
      </c>
      <c r="W257" s="246">
        <f t="shared" si="91"/>
        <v>-47.435093786602856</v>
      </c>
      <c r="X257" s="246" t="str">
        <f t="shared" si="79"/>
        <v>0.999938976169777-0.00138180211086265i</v>
      </c>
      <c r="Y257" s="246" t="str">
        <f t="shared" si="80"/>
        <v>90.2652077791665+36.9425171094699i</v>
      </c>
      <c r="Z257" s="246" t="str">
        <f t="shared" si="81"/>
        <v>56.4993135349143+23.032169249318i</v>
      </c>
      <c r="AA257" s="246" t="str">
        <f t="shared" si="82"/>
        <v>2.40603299777829-6.35542540161034i</v>
      </c>
      <c r="AB257" s="246">
        <f t="shared" si="92"/>
        <v>16.644579425592813</v>
      </c>
      <c r="AC257" s="246">
        <f t="shared" si="93"/>
        <v>-69.264367669770195</v>
      </c>
      <c r="AD257" s="248">
        <f t="shared" si="94"/>
        <v>-9.2962547601623555</v>
      </c>
      <c r="AE257" s="248">
        <f t="shared" si="95"/>
        <v>162.36556719595893</v>
      </c>
      <c r="AF257" s="246">
        <f t="shared" si="83"/>
        <v>7.3483246654304573</v>
      </c>
      <c r="AG257" s="246">
        <f t="shared" si="84"/>
        <v>93.101199526188736</v>
      </c>
      <c r="AH257" s="249" t="str">
        <f t="shared" si="85"/>
        <v>0.326801592782572-0.103883772468226i</v>
      </c>
    </row>
    <row r="258" spans="9:34" x14ac:dyDescent="0.2">
      <c r="I258" s="246">
        <v>254</v>
      </c>
      <c r="J258" s="246">
        <f t="shared" si="73"/>
        <v>3.4765311218029837</v>
      </c>
      <c r="K258" s="246">
        <f t="shared" si="97"/>
        <v>2995.9262746090267</v>
      </c>
      <c r="L258" s="246">
        <f t="shared" si="86"/>
        <v>18823.95995001671</v>
      </c>
      <c r="M258" s="246">
        <f t="shared" si="74"/>
        <v>5754.478511877629</v>
      </c>
      <c r="N258" s="246">
        <f>SQRT((ABS(AC258)-171.5+'Small Signal'!C$59)^2)</f>
        <v>31.600959542000922</v>
      </c>
      <c r="O258" s="246">
        <f t="shared" si="87"/>
        <v>92.749584613212576</v>
      </c>
      <c r="P258" s="246">
        <f t="shared" si="88"/>
        <v>7.178924069852723</v>
      </c>
      <c r="Q258" s="246">
        <f t="shared" si="89"/>
        <v>2995.9262746090267</v>
      </c>
      <c r="R258" s="246" t="str">
        <f t="shared" si="75"/>
        <v>0.161233333333333+0.0884726117650785i</v>
      </c>
      <c r="S258" s="246" t="str">
        <f t="shared" si="76"/>
        <v>0.025-5.65146648239176i</v>
      </c>
      <c r="T258" s="246" t="str">
        <f t="shared" si="77"/>
        <v>1.28205855518461-5.34400352234392i</v>
      </c>
      <c r="U258" s="246" t="str">
        <f t="shared" si="78"/>
        <v>59.1712949431219-67.4996875621827i</v>
      </c>
      <c r="V258" s="246">
        <f t="shared" si="90"/>
        <v>39.061976173858469</v>
      </c>
      <c r="W258" s="246">
        <f t="shared" si="91"/>
        <v>-48.761681830523528</v>
      </c>
      <c r="X258" s="246" t="str">
        <f t="shared" si="79"/>
        <v>0.999936173694273-0.00141317509252943i</v>
      </c>
      <c r="Y258" s="246" t="str">
        <f t="shared" si="80"/>
        <v>92.425435492009+36.5018517921353i</v>
      </c>
      <c r="Z258" s="246" t="str">
        <f t="shared" si="81"/>
        <v>57.8508647414248+22.7527559027003i</v>
      </c>
      <c r="AA258" s="246" t="str">
        <f t="shared" si="82"/>
        <v>2.29408801828812-6.26856484980145i</v>
      </c>
      <c r="AB258" s="246">
        <f t="shared" si="92"/>
        <v>16.489232048256234</v>
      </c>
      <c r="AC258" s="246">
        <f t="shared" si="93"/>
        <v>-69.899040457999078</v>
      </c>
      <c r="AD258" s="248">
        <f t="shared" si="94"/>
        <v>-9.310307978403511</v>
      </c>
      <c r="AE258" s="248">
        <f t="shared" si="95"/>
        <v>162.64862507121165</v>
      </c>
      <c r="AF258" s="246">
        <f t="shared" si="83"/>
        <v>7.178924069852723</v>
      </c>
      <c r="AG258" s="246">
        <f t="shared" si="84"/>
        <v>92.749584613212576</v>
      </c>
      <c r="AH258" s="249" t="str">
        <f t="shared" si="85"/>
        <v>0.326781678862119-0.102102686680709i</v>
      </c>
    </row>
    <row r="259" spans="9:34" x14ac:dyDescent="0.2">
      <c r="I259" s="246">
        <v>255</v>
      </c>
      <c r="J259" s="246">
        <f t="shared" si="73"/>
        <v>3.486281244329767</v>
      </c>
      <c r="K259" s="246">
        <f t="shared" si="97"/>
        <v>3063.946969721183</v>
      </c>
      <c r="L259" s="246">
        <f t="shared" si="86"/>
        <v>19251.346582129554</v>
      </c>
      <c r="M259" s="246">
        <f t="shared" si="74"/>
        <v>5684.9134479995355</v>
      </c>
      <c r="N259" s="246">
        <f>SQRT((ABS(AC259)-171.5+'Small Signal'!C$59)^2)</f>
        <v>30.970494391141457</v>
      </c>
      <c r="O259" s="246">
        <f t="shared" si="87"/>
        <v>92.394810681665135</v>
      </c>
      <c r="P259" s="246">
        <f t="shared" si="88"/>
        <v>7.0088168527970502</v>
      </c>
      <c r="Q259" s="246">
        <f t="shared" si="89"/>
        <v>3063.946969721183</v>
      </c>
      <c r="R259" s="246" t="str">
        <f t="shared" si="75"/>
        <v>0.161233333333333+0.0904813289360089i</v>
      </c>
      <c r="S259" s="246" t="str">
        <f t="shared" si="76"/>
        <v>0.025-5.52600194846402i</v>
      </c>
      <c r="T259" s="246" t="str">
        <f t="shared" si="77"/>
        <v>1.22963608308578-5.23742249207502i</v>
      </c>
      <c r="U259" s="246" t="str">
        <f t="shared" si="78"/>
        <v>57.5626701639334-68.923033195768i</v>
      </c>
      <c r="V259" s="246">
        <f t="shared" si="90"/>
        <v>39.065421983459039</v>
      </c>
      <c r="W259" s="246">
        <f t="shared" si="91"/>
        <v>-50.132272114193832</v>
      </c>
      <c r="X259" s="246" t="str">
        <f t="shared" si="79"/>
        <v>0.999933242517097-0.00144526037878087i</v>
      </c>
      <c r="Y259" s="246" t="str">
        <f t="shared" si="80"/>
        <v>94.6454853343731+35.9436590341374i</v>
      </c>
      <c r="Z259" s="246" t="str">
        <f t="shared" si="81"/>
        <v>59.2397160931081+22.3996387167846i</v>
      </c>
      <c r="AA259" s="246" t="str">
        <f t="shared" si="82"/>
        <v>2.18521628858654-6.18097431820086i</v>
      </c>
      <c r="AB259" s="246">
        <f t="shared" si="92"/>
        <v>16.332625082487983</v>
      </c>
      <c r="AC259" s="246">
        <f t="shared" si="93"/>
        <v>-70.529505608858543</v>
      </c>
      <c r="AD259" s="248">
        <f t="shared" si="94"/>
        <v>-9.3238082296909326</v>
      </c>
      <c r="AE259" s="248">
        <f t="shared" si="95"/>
        <v>162.92431629052368</v>
      </c>
      <c r="AF259" s="246">
        <f t="shared" si="83"/>
        <v>7.0088168527970502</v>
      </c>
      <c r="AG259" s="246">
        <f t="shared" si="84"/>
        <v>92.394810681665135</v>
      </c>
      <c r="AH259" s="249" t="str">
        <f t="shared" si="85"/>
        <v>0.326760912690203-0.100373000568175i</v>
      </c>
    </row>
    <row r="260" spans="9:34" x14ac:dyDescent="0.2">
      <c r="I260" s="246">
        <v>256</v>
      </c>
      <c r="J260" s="246">
        <f t="shared" ref="J260:J323" si="98">1+I260*(LOG(fsw)-1)/500</f>
        <v>3.4960313668565504</v>
      </c>
      <c r="K260" s="246">
        <f t="shared" si="97"/>
        <v>3133.5120335992765</v>
      </c>
      <c r="L260" s="246">
        <f t="shared" si="86"/>
        <v>19688.436769381398</v>
      </c>
      <c r="M260" s="246">
        <f t="shared" ref="M260:M323" si="99">SQRT((Fco_target-K261)^2)</f>
        <v>5613.7689513962123</v>
      </c>
      <c r="N260" s="246">
        <f>SQRT((ABS(AC260)-171.5+'Small Signal'!C$59)^2)</f>
        <v>30.344230998885592</v>
      </c>
      <c r="O260" s="246">
        <f t="shared" si="87"/>
        <v>92.036928536537175</v>
      </c>
      <c r="P260" s="246">
        <f t="shared" si="88"/>
        <v>6.8380223238602831</v>
      </c>
      <c r="Q260" s="246">
        <f t="shared" si="89"/>
        <v>3133.5120335992765</v>
      </c>
      <c r="R260" s="246" t="str">
        <f t="shared" ref="R260:R323" si="100">IMSUM(COMPLEX(DCRss,Lss*L260),COMPLEX(Rdsonss,0),COMPLEX(40/3*Risense,0))</f>
        <v>0.161233333333333+0.0925356528160926i</v>
      </c>
      <c r="S260" s="246" t="str">
        <f t="shared" ref="S260:S323" si="101">IMSUM(COMPLEX(ESRss,0),IMDIV(COMPLEX(1,0),COMPLEX(0,L260*Cbulkss)))</f>
        <v>0.025-5.4033227711022i</v>
      </c>
      <c r="T260" s="246" t="str">
        <f t="shared" ref="T260:T323" si="102">IMDIV(IMPRODUCT(S260,COMPLEX(Ross,0)),IMSUM(S260,COMPLEX(Ross,0)))</f>
        <v>1.17928863596941-5.13247323063548i</v>
      </c>
      <c r="U260" s="246" t="str">
        <f t="shared" ref="U260:U323" si="103">IMPRODUCT(COMPLEX(Vinss,0),COMPLEX(M^2,0),IMDIV(IMSUB(COMPLEX(1,0),IMDIV(IMPRODUCT(R260,COMPLEX(M^2,0)),COMPLEX(Ross,0))),IMSUM(COMPLEX(1,0),IMDIV(IMPRODUCT(R260,COMPLEX(M^2,0)),T260))))</f>
        <v>55.8512958535385-70.3361658719291i</v>
      </c>
      <c r="V260" s="246">
        <f t="shared" si="90"/>
        <v>39.066874789635833</v>
      </c>
      <c r="W260" s="246">
        <f t="shared" si="91"/>
        <v>-51.548236480390756</v>
      </c>
      <c r="X260" s="246" t="str">
        <f t="shared" ref="X260:X323" si="104">IMSUM(COMPLEX(1,L260/(wn*q0)),IMPOWER(COMPLEX(0,L260/wn),2))</f>
        <v>0.999930176727718-0.001478074142062i</v>
      </c>
      <c r="Y260" s="246" t="str">
        <f t="shared" ref="Y260:Y323" si="105">IMPRODUCT(COMPLEX(2*Ioutss*M^2,0),IMDIV(IMSUM(COMPLEX(1,0),IMDIV(COMPLEX(Ross,0),IMPRODUCT(COMPLEX(2,0),S260))),IMSUM(COMPLEX(1,0),IMDIV(IMPRODUCT(R260,COMPLEX(M^2,0)),T260))))</f>
        <v>96.921063887998+35.2576843383038i</v>
      </c>
      <c r="Z260" s="246" t="str">
        <f t="shared" ref="Z260:Z323" si="106">IMPRODUCT(COMPLEX(Fm*40/3*Risense,0),Y260,X260)</f>
        <v>60.6631635989476+21.9663998928074i</v>
      </c>
      <c r="AA260" s="246" t="str">
        <f t="shared" ref="AA260:AA323" si="107">IMDIV(IMPRODUCT(COMPLEX(Fm,0),U260),IMSUM(COMPLEX(1,0),Z260))</f>
        <v>2.07939819222836-6.0927704383217i</v>
      </c>
      <c r="AB260" s="246">
        <f t="shared" si="92"/>
        <v>16.174799868324911</v>
      </c>
      <c r="AC260" s="246">
        <f t="shared" si="93"/>
        <v>-71.155769001114408</v>
      </c>
      <c r="AD260" s="248">
        <f t="shared" si="94"/>
        <v>-9.3367775444646277</v>
      </c>
      <c r="AE260" s="248">
        <f t="shared" si="95"/>
        <v>163.19269753765158</v>
      </c>
      <c r="AF260" s="246">
        <f t="shared" ref="AF260:AF323" si="108">AD260+AB260</f>
        <v>6.8380223238602831</v>
      </c>
      <c r="AG260" s="246">
        <f t="shared" ref="AG260:AG323" si="109">AE260+AC260</f>
        <v>92.036928536537175</v>
      </c>
      <c r="AH260" s="249" t="str">
        <f t="shared" ref="AH260:AH323" si="110">IMDIV(IMPRODUCT(COMPLEX(gea*Rea*Rslss/(Rslss+Rshss),0),COMPLEX(1,L260*Ccompss*Rcompss),COMPLEX(1,k_3*L260*Cffss*Rshss)),IMPRODUCT(COMPLEX(1,L260*Rea*Ccompss),COMPLEX(1,L260*Rcompss*Chfss),COMPLEX(1,k_3*L260*Rffss*Cffss)))</f>
        <v>0.326739252727104-0.0986938377944867i</v>
      </c>
    </row>
    <row r="261" spans="9:34" x14ac:dyDescent="0.2">
      <c r="I261" s="246">
        <v>257</v>
      </c>
      <c r="J261" s="246">
        <f t="shared" si="98"/>
        <v>3.5057814893833337</v>
      </c>
      <c r="K261" s="246">
        <f t="shared" si="97"/>
        <v>3204.6565302025997</v>
      </c>
      <c r="L261" s="246">
        <f t="shared" ref="L261:L324" si="111">2*PI()*K261</f>
        <v>20135.450825126089</v>
      </c>
      <c r="M261" s="246">
        <f t="shared" si="99"/>
        <v>5541.0091620023504</v>
      </c>
      <c r="N261" s="246">
        <f>SQRT((ABS(AC261)-171.5+'Small Signal'!C$59)^2)</f>
        <v>29.722153156594274</v>
      </c>
      <c r="O261" s="246">
        <f t="shared" ref="O261:O324" si="112">ABS(AG261)</f>
        <v>91.675979668406129</v>
      </c>
      <c r="P261" s="246">
        <f t="shared" ref="P261:P324" si="113">ABS(AF261)</f>
        <v>6.6665603594623608</v>
      </c>
      <c r="Q261" s="246">
        <f t="shared" ref="Q261:Q304" si="114">K261</f>
        <v>3204.6565302025997</v>
      </c>
      <c r="R261" s="246" t="str">
        <f t="shared" si="100"/>
        <v>0.161233333333333+0.0946366188780926i</v>
      </c>
      <c r="S261" s="246" t="str">
        <f t="shared" si="101"/>
        <v>0.025-5.28336711441564i</v>
      </c>
      <c r="T261" s="246" t="str">
        <f t="shared" si="102"/>
        <v>1.13094319888966-5.02916223270299i</v>
      </c>
      <c r="U261" s="246" t="str">
        <f t="shared" si="103"/>
        <v>54.0325370953023-71.7320140770892i</v>
      </c>
      <c r="V261" s="246">
        <f t="shared" ref="V261:V324" si="115">20*LOG(IMABS(U261))</f>
        <v>39.066042052504734</v>
      </c>
      <c r="W261" s="246">
        <f t="shared" ref="W261:W324" si="116">IF(DEGREES(IMARGUMENT(U261))&gt;0,DEGREES(IMARGUMENT(U261))-360, DEGREES(IMARGUMENT(U261)))</f>
        <v>-53.010910364329646</v>
      </c>
      <c r="X261" s="246" t="str">
        <f t="shared" si="104"/>
        <v>0.999926970144167-0.00151163292200343i</v>
      </c>
      <c r="Y261" s="246" t="str">
        <f t="shared" si="105"/>
        <v>99.2466874768071+34.4333181418511i</v>
      </c>
      <c r="Z261" s="246" t="str">
        <f t="shared" si="106"/>
        <v>62.1177571037415+21.4464008692769i</v>
      </c>
      <c r="AA261" s="246" t="str">
        <f t="shared" si="107"/>
        <v>1.97660921563319-6.00406611997181i</v>
      </c>
      <c r="AB261" s="246">
        <f t="shared" ref="AB261:AB324" si="117">20*LOG(IMABS(AA261))</f>
        <v>16.015797649836991</v>
      </c>
      <c r="AC261" s="246">
        <f t="shared" ref="AC261:AC324" si="118">IF(DEGREES(IMARGUMENT(AA261))&gt;0,DEGREES(IMARGUMENT(AA261))-360, DEGREES(IMARGUMENT(AA261)))</f>
        <v>-71.777846843405726</v>
      </c>
      <c r="AD261" s="248">
        <f t="shared" ref="AD261:AD324" si="119">20*LOG(IMABS(AH261))</f>
        <v>-9.3492372903746297</v>
      </c>
      <c r="AE261" s="248">
        <f t="shared" ref="AE261:AE324" si="120">180+DEGREES(IMARGUMENT(AH261))</f>
        <v>163.45382651181185</v>
      </c>
      <c r="AF261" s="246">
        <f t="shared" si="108"/>
        <v>6.6665603594623608</v>
      </c>
      <c r="AG261" s="246">
        <f t="shared" si="109"/>
        <v>91.675979668406129</v>
      </c>
      <c r="AH261" s="249" t="str">
        <f t="shared" si="110"/>
        <v>0.326716655662116-0.0970643471777946i</v>
      </c>
    </row>
    <row r="262" spans="9:34" x14ac:dyDescent="0.2">
      <c r="I262" s="246">
        <v>258</v>
      </c>
      <c r="J262" s="246">
        <f t="shared" si="98"/>
        <v>3.515531611910117</v>
      </c>
      <c r="K262" s="246">
        <f t="shared" si="97"/>
        <v>3277.4163195964616</v>
      </c>
      <c r="L262" s="246">
        <f t="shared" si="111"/>
        <v>20592.614064799083</v>
      </c>
      <c r="M262" s="246">
        <f t="shared" si="99"/>
        <v>5466.5974055715378</v>
      </c>
      <c r="N262" s="246">
        <f>SQRT((ABS(AC262)-171.5+'Small Signal'!C$59)^2)</f>
        <v>29.104234625592525</v>
      </c>
      <c r="O262" s="246">
        <f t="shared" si="112"/>
        <v>91.311996345111609</v>
      </c>
      <c r="P262" s="246">
        <f t="shared" si="113"/>
        <v>6.4944513400738639</v>
      </c>
      <c r="Q262" s="246">
        <f t="shared" si="114"/>
        <v>3277.4163195964616</v>
      </c>
      <c r="R262" s="246" t="str">
        <f t="shared" si="100"/>
        <v>0.161233333333333+0.0967852861045557i</v>
      </c>
      <c r="S262" s="246" t="str">
        <f t="shared" si="101"/>
        <v>0.025-5.16607451529211i</v>
      </c>
      <c r="T262" s="246" t="str">
        <f t="shared" si="102"/>
        <v>1.0845285719631-4.9274935671295i</v>
      </c>
      <c r="U262" s="246" t="str">
        <f t="shared" si="103"/>
        <v>52.1020537636235-73.1025954126589i</v>
      </c>
      <c r="V262" s="246">
        <f t="shared" si="115"/>
        <v>39.062603250054245</v>
      </c>
      <c r="W262" s="246">
        <f t="shared" si="116"/>
        <v>-54.521574667747203</v>
      </c>
      <c r="X262" s="246" t="str">
        <f t="shared" si="104"/>
        <v>0.999923616300573-0.0015459536337581i</v>
      </c>
      <c r="Y262" s="246" t="str">
        <f t="shared" si="105"/>
        <v>101.615537502244+33.4596971747847i</v>
      </c>
      <c r="Z262" s="246" t="str">
        <f t="shared" si="106"/>
        <v>63.599209801013+20.8328460248193i</v>
      </c>
      <c r="AA262" s="246" t="str">
        <f t="shared" si="107"/>
        <v>1.87682029781556-5.91497038590154i</v>
      </c>
      <c r="AB262" s="246">
        <f t="shared" si="117"/>
        <v>15.855659524768962</v>
      </c>
      <c r="AC262" s="246">
        <f t="shared" si="118"/>
        <v>-72.395765374407475</v>
      </c>
      <c r="AD262" s="248">
        <f t="shared" si="119"/>
        <v>-9.3612081846950979</v>
      </c>
      <c r="AE262" s="248">
        <f t="shared" si="120"/>
        <v>163.70776171951908</v>
      </c>
      <c r="AF262" s="246">
        <f t="shared" si="108"/>
        <v>6.4944513400738639</v>
      </c>
      <c r="AG262" s="246">
        <f t="shared" si="109"/>
        <v>91.311996345111609</v>
      </c>
      <c r="AH262" s="249" t="str">
        <f t="shared" si="110"/>
        <v>0.326693076329136-0.0954837022399599i</v>
      </c>
    </row>
    <row r="263" spans="9:34" x14ac:dyDescent="0.2">
      <c r="I263" s="246">
        <v>259</v>
      </c>
      <c r="J263" s="246">
        <f t="shared" si="98"/>
        <v>3.5252817344369003</v>
      </c>
      <c r="K263" s="246">
        <f t="shared" si="97"/>
        <v>3351.8280760272733</v>
      </c>
      <c r="L263" s="246">
        <f t="shared" si="111"/>
        <v>21060.156919486584</v>
      </c>
      <c r="M263" s="246">
        <f t="shared" si="99"/>
        <v>5390.4961751907704</v>
      </c>
      <c r="N263" s="246">
        <f>SQRT((ABS(AC263)-171.5+'Small Signal'!C$59)^2)</f>
        <v>28.490439450151527</v>
      </c>
      <c r="O263" s="246">
        <f t="shared" si="112"/>
        <v>90.945001726524154</v>
      </c>
      <c r="P263" s="246">
        <f t="shared" si="113"/>
        <v>6.3217160911544958</v>
      </c>
      <c r="Q263" s="246">
        <f t="shared" si="114"/>
        <v>3351.8280760272733</v>
      </c>
      <c r="R263" s="246" t="str">
        <f t="shared" si="100"/>
        <v>0.161233333333333+0.0989827375215869i</v>
      </c>
      <c r="S263" s="246" t="str">
        <f t="shared" si="101"/>
        <v>0.025-5.05138585292163i</v>
      </c>
      <c r="T263" s="246" t="str">
        <f t="shared" si="102"/>
        <v>1.03997539118504-4.8274690319126i</v>
      </c>
      <c r="U263" s="246" t="str">
        <f t="shared" si="103"/>
        <v>50.0559310188685-74.4389706337763i</v>
      </c>
      <c r="V263" s="246">
        <f t="shared" si="115"/>
        <v>39.056208637704671</v>
      </c>
      <c r="W263" s="246">
        <f t="shared" si="116"/>
        <v>-56.081434956577219</v>
      </c>
      <c r="X263" s="246" t="str">
        <f t="shared" si="104"/>
        <v>0.999920108434124-0.00158105357652726i</v>
      </c>
      <c r="Y263" s="246" t="str">
        <f t="shared" si="105"/>
        <v>104.019314603587+32.3258364737721i</v>
      </c>
      <c r="Z263" s="246" t="str">
        <f t="shared" si="106"/>
        <v>65.1023070529846+20.1188655878079i</v>
      </c>
      <c r="AA263" s="246" t="str">
        <f t="shared" si="107"/>
        <v>1.77999817875922-5.82558823576778i</v>
      </c>
      <c r="AB263" s="246">
        <f t="shared" si="117"/>
        <v>15.694426398714253</v>
      </c>
      <c r="AC263" s="246">
        <f t="shared" si="118"/>
        <v>-73.009560549848473</v>
      </c>
      <c r="AD263" s="248">
        <f t="shared" si="119"/>
        <v>-9.3727103075597569</v>
      </c>
      <c r="AE263" s="248">
        <f t="shared" si="120"/>
        <v>163.95456227637263</v>
      </c>
      <c r="AF263" s="246">
        <f t="shared" si="108"/>
        <v>6.3217160911544958</v>
      </c>
      <c r="AG263" s="246">
        <f t="shared" si="109"/>
        <v>90.945001726524154</v>
      </c>
      <c r="AH263" s="249" t="str">
        <f t="shared" si="110"/>
        <v>0.326668467618791-0.0939511007669564i</v>
      </c>
    </row>
    <row r="264" spans="9:34" x14ac:dyDescent="0.2">
      <c r="I264" s="246">
        <v>260</v>
      </c>
      <c r="J264" s="246">
        <f t="shared" si="98"/>
        <v>3.5350318569636836</v>
      </c>
      <c r="K264" s="246">
        <f t="shared" si="97"/>
        <v>3427.9293064080407</v>
      </c>
      <c r="L264" s="246">
        <f t="shared" si="111"/>
        <v>21538.315052073311</v>
      </c>
      <c r="M264" s="246">
        <f t="shared" si="99"/>
        <v>5312.6671123752403</v>
      </c>
      <c r="N264" s="246">
        <f>SQRT((ABS(AC264)-171.5+'Small Signal'!C$59)^2)</f>
        <v>27.880722281397169</v>
      </c>
      <c r="O264" s="246">
        <f t="shared" si="112"/>
        <v>90.575009999998969</v>
      </c>
      <c r="P264" s="246">
        <f t="shared" si="113"/>
        <v>6.1483758278814271</v>
      </c>
      <c r="Q264" s="246">
        <f t="shared" si="114"/>
        <v>3427.9293064080407</v>
      </c>
      <c r="R264" s="246" t="str">
        <f t="shared" si="100"/>
        <v>0.161233333333333+0.101230080744745i</v>
      </c>
      <c r="S264" s="246" t="str">
        <f t="shared" si="101"/>
        <v>0.025-4.93924331899694i</v>
      </c>
      <c r="T264" s="246" t="str">
        <f t="shared" si="102"/>
        <v>0.997216141836995-4.72908830342405i</v>
      </c>
      <c r="U264" s="246" t="str">
        <f t="shared" si="103"/>
        <v>47.8908299212941-75.7312116031251i</v>
      </c>
      <c r="V264" s="246">
        <f t="shared" si="115"/>
        <v>39.046478269145361</v>
      </c>
      <c r="W264" s="246">
        <f t="shared" si="116"/>
        <v>-57.691597874227071</v>
      </c>
      <c r="X264" s="246" t="str">
        <f t="shared" si="104"/>
        <v>0.999916439471433-0.00161695044228006i</v>
      </c>
      <c r="Y264" s="246" t="str">
        <f t="shared" si="105"/>
        <v>106.448096623498+31.0207959540836i</v>
      </c>
      <c r="Z264" s="246" t="str">
        <f t="shared" si="106"/>
        <v>66.6208176431645+19.2976201906634i</v>
      </c>
      <c r="AA264" s="246" t="str">
        <f t="shared" si="107"/>
        <v>1.68610574423738-5.73602053807271i</v>
      </c>
      <c r="AB264" s="246">
        <f t="shared" si="117"/>
        <v>15.532138943798033</v>
      </c>
      <c r="AC264" s="246">
        <f t="shared" si="118"/>
        <v>-73.619277718602831</v>
      </c>
      <c r="AD264" s="248">
        <f t="shared" si="119"/>
        <v>-9.3837631159166062</v>
      </c>
      <c r="AE264" s="248">
        <f t="shared" si="120"/>
        <v>164.1942877186018</v>
      </c>
      <c r="AF264" s="246">
        <f t="shared" si="108"/>
        <v>6.1483758278814271</v>
      </c>
      <c r="AG264" s="246">
        <f t="shared" si="109"/>
        <v>90.575009999998969</v>
      </c>
      <c r="AH264" s="249" t="str">
        <f t="shared" si="110"/>
        <v>0.326642780386938-0.0924657643799218i</v>
      </c>
    </row>
    <row r="265" spans="9:34" x14ac:dyDescent="0.2">
      <c r="I265" s="246">
        <v>261</v>
      </c>
      <c r="J265" s="246">
        <f t="shared" si="98"/>
        <v>3.5447819794904678</v>
      </c>
      <c r="K265" s="246">
        <f t="shared" si="97"/>
        <v>3505.7583692235708</v>
      </c>
      <c r="L265" s="246">
        <f t="shared" si="111"/>
        <v>22027.329476027408</v>
      </c>
      <c r="M265" s="246">
        <f t="shared" si="99"/>
        <v>5233.0709877339668</v>
      </c>
      <c r="N265" s="246">
        <f>SQRT((ABS(AC265)-171.5+'Small Signal'!C$59)^2)</f>
        <v>27.275028710065058</v>
      </c>
      <c r="O265" s="246">
        <f t="shared" si="112"/>
        <v>90.202026534217609</v>
      </c>
      <c r="P265" s="246">
        <f t="shared" si="113"/>
        <v>5.974452103713805</v>
      </c>
      <c r="Q265" s="246">
        <f t="shared" si="114"/>
        <v>3505.7583692235708</v>
      </c>
      <c r="R265" s="246" t="str">
        <f t="shared" si="100"/>
        <v>0.161233333333333+0.103528448537329i</v>
      </c>
      <c r="S265" s="246" t="str">
        <f t="shared" si="101"/>
        <v>0.025-4.82959038857533i</v>
      </c>
      <c r="T265" s="246" t="str">
        <f t="shared" si="102"/>
        <v>0.956185165136425-4.63234907981548i</v>
      </c>
      <c r="U265" s="246" t="str">
        <f t="shared" si="103"/>
        <v>45.6041581499808-76.9683882936817i</v>
      </c>
      <c r="V265" s="246">
        <f t="shared" si="115"/>
        <v>39.033001366823662</v>
      </c>
      <c r="W265" s="246">
        <f t="shared" si="116"/>
        <v>-59.353044735301545</v>
      </c>
      <c r="X265" s="246" t="str">
        <f t="shared" si="104"/>
        <v>0.999912602014269-0.00165366232467115i</v>
      </c>
      <c r="Y265" s="246" t="str">
        <f t="shared" si="105"/>
        <v>108.890206806916+29.533884987936i</v>
      </c>
      <c r="Z265" s="246" t="str">
        <f t="shared" si="106"/>
        <v>68.1474114935062+18.3624292200863i</v>
      </c>
      <c r="AA265" s="246" t="str">
        <f t="shared" si="107"/>
        <v>1.59510236510627-5.64636394860893i</v>
      </c>
      <c r="AB265" s="246">
        <f t="shared" si="117"/>
        <v>15.368837561819731</v>
      </c>
      <c r="AC265" s="246">
        <f t="shared" si="118"/>
        <v>-74.224971289934942</v>
      </c>
      <c r="AD265" s="248">
        <f t="shared" si="119"/>
        <v>-9.3943854581059263</v>
      </c>
      <c r="AE265" s="248">
        <f t="shared" si="120"/>
        <v>164.42699782415255</v>
      </c>
      <c r="AF265" s="246">
        <f t="shared" si="108"/>
        <v>5.974452103713805</v>
      </c>
      <c r="AG265" s="246">
        <f t="shared" si="109"/>
        <v>90.202026534217609</v>
      </c>
      <c r="AH265" s="249" t="str">
        <f t="shared" si="110"/>
        <v>0.3266159633594-0.0910269381165348i</v>
      </c>
    </row>
    <row r="266" spans="9:34" x14ac:dyDescent="0.2">
      <c r="I266" s="246">
        <v>262</v>
      </c>
      <c r="J266" s="246">
        <f t="shared" si="98"/>
        <v>3.5545321020172511</v>
      </c>
      <c r="K266" s="246">
        <f t="shared" si="97"/>
        <v>3585.3544938648442</v>
      </c>
      <c r="L266" s="246">
        <f t="shared" si="111"/>
        <v>22527.446676881893</v>
      </c>
      <c r="M266" s="246">
        <f t="shared" si="99"/>
        <v>5151.6676811963234</v>
      </c>
      <c r="N266" s="246">
        <f>SQRT((ABS(AC266)-171.5+'Small Signal'!C$59)^2)</f>
        <v>26.673295606122267</v>
      </c>
      <c r="O266" s="246">
        <f t="shared" si="112"/>
        <v>89.826048049195023</v>
      </c>
      <c r="P266" s="246">
        <f t="shared" si="113"/>
        <v>5.7999667628114153</v>
      </c>
      <c r="Q266" s="246">
        <f t="shared" si="114"/>
        <v>3585.3544938648442</v>
      </c>
      <c r="R266" s="246" t="str">
        <f t="shared" si="100"/>
        <v>0.161233333333333+0.105878999381345i</v>
      </c>
      <c r="S266" s="246" t="str">
        <f t="shared" si="101"/>
        <v>0.025-4.72237179158775i</v>
      </c>
      <c r="T266" s="246" t="str">
        <f t="shared" si="102"/>
        <v>0.916818658747696-4.53724721856543i</v>
      </c>
      <c r="U266" s="246" t="str">
        <f t="shared" si="103"/>
        <v>43.1942597615382-78.1385806545652i</v>
      </c>
      <c r="V266" s="246">
        <f t="shared" si="115"/>
        <v>39.015336141790293</v>
      </c>
      <c r="W266" s="246">
        <f t="shared" si="116"/>
        <v>-61.066602363044076</v>
      </c>
      <c r="X266" s="246" t="str">
        <f t="shared" si="104"/>
        <v>0.999908588324646-0.00169120772816062i</v>
      </c>
      <c r="Y266" s="246" t="str">
        <f t="shared" si="105"/>
        <v>111.332100221496+27.8549075825437i</v>
      </c>
      <c r="Z266" s="246" t="str">
        <f t="shared" si="106"/>
        <v>69.6735888542717+17.3069245766207i</v>
      </c>
      <c r="AA266" s="246" t="str">
        <f t="shared" si="107"/>
        <v>1.50694422932049-5.55671085384824i</v>
      </c>
      <c r="AB266" s="246">
        <f t="shared" si="117"/>
        <v>15.204562351784894</v>
      </c>
      <c r="AC266" s="246">
        <f t="shared" si="118"/>
        <v>-74.826704393877733</v>
      </c>
      <c r="AD266" s="248">
        <f t="shared" si="119"/>
        <v>-9.4045955889734785</v>
      </c>
      <c r="AE266" s="248">
        <f t="shared" si="120"/>
        <v>164.65275244307276</v>
      </c>
      <c r="AF266" s="246">
        <f t="shared" si="108"/>
        <v>5.7999667628114153</v>
      </c>
      <c r="AG266" s="246">
        <f t="shared" si="109"/>
        <v>89.826048049195023</v>
      </c>
      <c r="AH266" s="249" t="str">
        <f t="shared" si="110"/>
        <v>0.326587963032747-0.0896338900223936i</v>
      </c>
    </row>
    <row r="267" spans="9:34" x14ac:dyDescent="0.2">
      <c r="I267" s="246">
        <v>263</v>
      </c>
      <c r="J267" s="246">
        <f t="shared" si="98"/>
        <v>3.5642822245440344</v>
      </c>
      <c r="K267" s="246">
        <f t="shared" si="97"/>
        <v>3666.7578004024881</v>
      </c>
      <c r="L267" s="246">
        <f t="shared" si="111"/>
        <v>23038.918736475051</v>
      </c>
      <c r="M267" s="246">
        <f t="shared" si="99"/>
        <v>5068.4161617897425</v>
      </c>
      <c r="N267" s="246">
        <f>SQRT((ABS(AC267)-171.5+'Small Signal'!C$59)^2)</f>
        <v>26.075451463436352</v>
      </c>
      <c r="O267" s="246">
        <f t="shared" si="112"/>
        <v>89.447062800373246</v>
      </c>
      <c r="P267" s="246">
        <f t="shared" si="113"/>
        <v>5.6249418962953648</v>
      </c>
      <c r="Q267" s="246">
        <f t="shared" si="114"/>
        <v>3666.7578004024881</v>
      </c>
      <c r="R267" s="246" t="str">
        <f t="shared" si="100"/>
        <v>0.161233333333333+0.108282918061433i</v>
      </c>
      <c r="S267" s="246" t="str">
        <f t="shared" si="101"/>
        <v>0.025-4.61753348497991i</v>
      </c>
      <c r="T267" s="246" t="str">
        <f t="shared" si="102"/>
        <v>0.87905467173884-4.44377686816383i</v>
      </c>
      <c r="U267" s="246" t="str">
        <f t="shared" si="103"/>
        <v>40.6606215567488-79.2289216839876i</v>
      </c>
      <c r="V267" s="246">
        <f t="shared" si="115"/>
        <v>38.993010172314847</v>
      </c>
      <c r="W267" s="246">
        <f t="shared" si="116"/>
        <v>-62.832911360707122</v>
      </c>
      <c r="X267" s="246" t="str">
        <f t="shared" si="104"/>
        <v>0.999904390309214-0.00172960557734119i</v>
      </c>
      <c r="Y267" s="246" t="str">
        <f t="shared" si="105"/>
        <v>113.758277972611+25.9744494003281i</v>
      </c>
      <c r="Z267" s="246" t="str">
        <f t="shared" si="106"/>
        <v>71.1896269656789+16.1252306084282i</v>
      </c>
      <c r="AA267" s="246" t="str">
        <f t="shared" si="107"/>
        <v>1.42158466514044-5.46714933763731i</v>
      </c>
      <c r="AB267" s="246">
        <f t="shared" si="117"/>
        <v>15.039353081731413</v>
      </c>
      <c r="AC267" s="246">
        <f t="shared" si="118"/>
        <v>-75.424548536563648</v>
      </c>
      <c r="AD267" s="248">
        <f t="shared" si="119"/>
        <v>-9.4144111854360482</v>
      </c>
      <c r="AE267" s="248">
        <f t="shared" si="120"/>
        <v>164.87161133693689</v>
      </c>
      <c r="AF267" s="246">
        <f t="shared" si="108"/>
        <v>5.6249418962953648</v>
      </c>
      <c r="AG267" s="246">
        <f t="shared" si="109"/>
        <v>89.447062800373246</v>
      </c>
      <c r="AH267" s="249" t="str">
        <f t="shared" si="110"/>
        <v>0.326558723570981-0.0882859107520663i</v>
      </c>
    </row>
    <row r="268" spans="9:34" x14ac:dyDescent="0.2">
      <c r="I268" s="246">
        <v>264</v>
      </c>
      <c r="J268" s="246">
        <f t="shared" si="98"/>
        <v>3.5740323470708177</v>
      </c>
      <c r="K268" s="246">
        <f t="shared" si="97"/>
        <v>3750.0093198090685</v>
      </c>
      <c r="L268" s="246">
        <f t="shared" si="111"/>
        <v>23562.003460010852</v>
      </c>
      <c r="M268" s="246">
        <f t="shared" si="99"/>
        <v>4983.2744669582225</v>
      </c>
      <c r="N268" s="246">
        <f>SQRT((ABS(AC268)-171.5+'Small Signal'!C$59)^2)</f>
        <v>25.481416747801362</v>
      </c>
      <c r="O268" s="246">
        <f t="shared" si="112"/>
        <v>89.065050774834347</v>
      </c>
      <c r="P268" s="246">
        <f t="shared" si="113"/>
        <v>5.4493998023193253</v>
      </c>
      <c r="Q268" s="246">
        <f t="shared" si="114"/>
        <v>3750.0093198090685</v>
      </c>
      <c r="R268" s="246" t="str">
        <f t="shared" si="100"/>
        <v>0.161233333333333+0.110741416262051i</v>
      </c>
      <c r="S268" s="246" t="str">
        <f t="shared" si="101"/>
        <v>0.025-4.51502262547224i</v>
      </c>
      <c r="T268" s="246" t="str">
        <f t="shared" si="102"/>
        <v>0.842833094536364-4.35193059396485i</v>
      </c>
      <c r="U268" s="246" t="str">
        <f t="shared" si="103"/>
        <v>38.0040919329535-80.2256783229643i</v>
      </c>
      <c r="V268" s="246">
        <f t="shared" si="115"/>
        <v>38.965521457510796</v>
      </c>
      <c r="W268" s="246">
        <f t="shared" si="116"/>
        <v>-64.652392163924816</v>
      </c>
      <c r="X268" s="246" t="str">
        <f t="shared" si="104"/>
        <v>0.999899999502943-0.00176887522647699i</v>
      </c>
      <c r="Y268" s="246" t="str">
        <f t="shared" si="105"/>
        <v>116.151240263995+23.8842059325351i</v>
      </c>
      <c r="Z268" s="246" t="str">
        <f t="shared" si="106"/>
        <v>72.6845511136757+14.8121697722007i</v>
      </c>
      <c r="AA268" s="246" t="str">
        <f t="shared" si="107"/>
        <v>1.33897445421627-5.37776316952216i</v>
      </c>
      <c r="AB268" s="246">
        <f t="shared" si="117"/>
        <v>14.873249164743036</v>
      </c>
      <c r="AC268" s="246">
        <f t="shared" si="118"/>
        <v>-76.018583252198638</v>
      </c>
      <c r="AD268" s="248">
        <f t="shared" si="119"/>
        <v>-9.4238493624237112</v>
      </c>
      <c r="AE268" s="248">
        <f t="shared" si="120"/>
        <v>165.08363402703299</v>
      </c>
      <c r="AF268" s="246">
        <f t="shared" si="108"/>
        <v>5.4493998023193253</v>
      </c>
      <c r="AG268" s="246">
        <f t="shared" si="109"/>
        <v>89.065050774834347</v>
      </c>
      <c r="AH268" s="249" t="str">
        <f t="shared" si="110"/>
        <v>0.326528186697946-0.0869823131794857i</v>
      </c>
    </row>
    <row r="269" spans="9:34" x14ac:dyDescent="0.2">
      <c r="I269" s="246">
        <v>265</v>
      </c>
      <c r="J269" s="246">
        <f t="shared" si="98"/>
        <v>3.5837824695976011</v>
      </c>
      <c r="K269" s="246">
        <f t="shared" si="97"/>
        <v>3835.151014640589</v>
      </c>
      <c r="L269" s="246">
        <f t="shared" si="111"/>
        <v>24096.964506004631</v>
      </c>
      <c r="M269" s="246">
        <f t="shared" si="99"/>
        <v>4896.199681411309</v>
      </c>
      <c r="N269" s="246">
        <f>SQRT((ABS(AC269)-171.5+'Small Signal'!C$59)^2)</f>
        <v>24.891104246770567</v>
      </c>
      <c r="O269" s="246">
        <f t="shared" si="112"/>
        <v>88.679983897793704</v>
      </c>
      <c r="P269" s="246">
        <f t="shared" si="113"/>
        <v>5.2733629498937713</v>
      </c>
      <c r="Q269" s="246">
        <f t="shared" si="114"/>
        <v>3835.151014640589</v>
      </c>
      <c r="R269" s="246" t="str">
        <f t="shared" si="100"/>
        <v>0.161233333333333+0.113255733178222i</v>
      </c>
      <c r="S269" s="246" t="str">
        <f t="shared" si="101"/>
        <v>0.025-4.41478754292454i</v>
      </c>
      <c r="T269" s="246" t="str">
        <f t="shared" si="102"/>
        <v>0.808095644396581-4.26169949826495i</v>
      </c>
      <c r="U269" s="246" t="str">
        <f t="shared" si="103"/>
        <v>35.2271061094603-81.1143766622399i</v>
      </c>
      <c r="V269" s="246">
        <f t="shared" si="115"/>
        <v>38.932340264606623</v>
      </c>
      <c r="W269" s="246">
        <f t="shared" si="116"/>
        <v>-66.525209407486727</v>
      </c>
      <c r="X269" s="246" t="str">
        <f t="shared" si="104"/>
        <v>0.999895407052053-0.00180903646925902i</v>
      </c>
      <c r="Y269" s="246" t="str">
        <f t="shared" si="105"/>
        <v>118.491490547189+21.5773485672802i</v>
      </c>
      <c r="Z269" s="246" t="str">
        <f t="shared" si="106"/>
        <v>74.1461377453764+13.3634919622566i</v>
      </c>
      <c r="AA269" s="246" t="str">
        <f t="shared" si="107"/>
        <v>1.25906213343774-5.28863181299731i</v>
      </c>
      <c r="AB269" s="246">
        <f t="shared" si="117"/>
        <v>14.706289639023183</v>
      </c>
      <c r="AC269" s="246">
        <f t="shared" si="118"/>
        <v>-76.608895753229433</v>
      </c>
      <c r="AD269" s="248">
        <f t="shared" si="119"/>
        <v>-9.4329266891294115</v>
      </c>
      <c r="AE269" s="248">
        <f t="shared" si="120"/>
        <v>165.28887965102314</v>
      </c>
      <c r="AF269" s="246">
        <f t="shared" si="108"/>
        <v>5.2733629498937713</v>
      </c>
      <c r="AG269" s="246">
        <f t="shared" si="109"/>
        <v>88.679983897793704</v>
      </c>
      <c r="AH269" s="249" t="str">
        <f t="shared" si="110"/>
        <v>0.326496291585275-0.0857224320173484i</v>
      </c>
    </row>
    <row r="270" spans="9:34" x14ac:dyDescent="0.2">
      <c r="I270" s="246">
        <v>266</v>
      </c>
      <c r="J270" s="246">
        <f t="shared" si="98"/>
        <v>3.5935325921243844</v>
      </c>
      <c r="K270" s="246">
        <f t="shared" si="97"/>
        <v>3922.2258001875025</v>
      </c>
      <c r="L270" s="246">
        <f t="shared" si="111"/>
        <v>24644.071519178811</v>
      </c>
      <c r="M270" s="246">
        <f t="shared" si="99"/>
        <v>4807.147915492802</v>
      </c>
      <c r="N270" s="246">
        <f>SQRT((ABS(AC270)-171.5+'Small Signal'!C$59)^2)</f>
        <v>24.304419419902004</v>
      </c>
      <c r="O270" s="246">
        <f t="shared" si="112"/>
        <v>88.29182624768184</v>
      </c>
      <c r="P270" s="246">
        <f t="shared" si="113"/>
        <v>5.096853946389972</v>
      </c>
      <c r="Q270" s="246">
        <f t="shared" si="114"/>
        <v>3922.2258001875025</v>
      </c>
      <c r="R270" s="246" t="str">
        <f t="shared" si="100"/>
        <v>0.161233333333333+0.11582713614014i</v>
      </c>
      <c r="S270" s="246" t="str">
        <f t="shared" si="101"/>
        <v>0.025-4.31677771429179i</v>
      </c>
      <c r="T270" s="246" t="str">
        <f t="shared" si="102"/>
        <v>0.774785846879513-4.17307333468657i</v>
      </c>
      <c r="U270" s="246" t="str">
        <f t="shared" si="103"/>
        <v>32.3339093920301-81.8799772985775i</v>
      </c>
      <c r="V270" s="246">
        <f t="shared" si="115"/>
        <v>38.892911884731859</v>
      </c>
      <c r="W270" s="246">
        <f t="shared" si="116"/>
        <v>-68.45123535206838</v>
      </c>
      <c r="X270" s="246" t="str">
        <f t="shared" si="104"/>
        <v>0.999890603696159-0.00185010954878208i</v>
      </c>
      <c r="Y270" s="246" t="str">
        <f t="shared" si="105"/>
        <v>120.757603681752+19.0489220731878i</v>
      </c>
      <c r="Z270" s="246" t="str">
        <f t="shared" si="106"/>
        <v>75.5609577304139+11.7761234307233i</v>
      </c>
      <c r="AA270" s="246" t="str">
        <f t="shared" si="107"/>
        <v>1.18179428463723-5.19983045197446i</v>
      </c>
      <c r="AB270" s="246">
        <f t="shared" si="117"/>
        <v>14.538513151891983</v>
      </c>
      <c r="AC270" s="246">
        <f t="shared" si="118"/>
        <v>-77.195580580097996</v>
      </c>
      <c r="AD270" s="248">
        <f t="shared" si="119"/>
        <v>-9.4416592055020114</v>
      </c>
      <c r="AE270" s="248">
        <f t="shared" si="120"/>
        <v>165.48740682777984</v>
      </c>
      <c r="AF270" s="246">
        <f t="shared" si="108"/>
        <v>5.096853946389972</v>
      </c>
      <c r="AG270" s="246">
        <f t="shared" si="109"/>
        <v>88.29182624768184</v>
      </c>
      <c r="AH270" s="249" t="str">
        <f t="shared" si="110"/>
        <v>0.326462974735699-0.0845056234451827i</v>
      </c>
    </row>
    <row r="271" spans="9:34" x14ac:dyDescent="0.2">
      <c r="I271" s="246">
        <v>267</v>
      </c>
      <c r="J271" s="246">
        <f t="shared" si="98"/>
        <v>3.6032827146511677</v>
      </c>
      <c r="K271" s="246">
        <f t="shared" si="97"/>
        <v>4011.2775661060091</v>
      </c>
      <c r="L271" s="246">
        <f t="shared" si="111"/>
        <v>25203.600266376368</v>
      </c>
      <c r="M271" s="246">
        <f t="shared" si="99"/>
        <v>4716.0742830583868</v>
      </c>
      <c r="N271" s="246">
        <f>SQRT((ABS(AC271)-171.5+'Small Signal'!C$59)^2)</f>
        <v>23.721260748154307</v>
      </c>
      <c r="O271" s="246">
        <f t="shared" si="112"/>
        <v>87.900534278248884</v>
      </c>
      <c r="P271" s="246">
        <f t="shared" si="113"/>
        <v>4.9198955086334415</v>
      </c>
      <c r="Q271" s="246">
        <f t="shared" si="114"/>
        <v>4011.2775661060091</v>
      </c>
      <c r="R271" s="246" t="str">
        <f t="shared" si="100"/>
        <v>0.161233333333333+0.118456921251969i</v>
      </c>
      <c r="S271" s="246" t="str">
        <f t="shared" si="101"/>
        <v>0.025-4.22094373815822i</v>
      </c>
      <c r="T271" s="246" t="str">
        <f t="shared" si="102"/>
        <v>0.742849013779671-4.08604061696927i</v>
      </c>
      <c r="U271" s="246" t="str">
        <f t="shared" si="103"/>
        <v>29.3307678177951-82.5071053415622i</v>
      </c>
      <c r="V271" s="246">
        <f t="shared" si="115"/>
        <v>38.846660400325781</v>
      </c>
      <c r="W271" s="246">
        <f t="shared" si="116"/>
        <v>-70.430013347070201</v>
      </c>
      <c r="X271" s="246" t="str">
        <f t="shared" si="104"/>
        <v>0.999885579749601-0.00189211516774819i</v>
      </c>
      <c r="Y271" s="246" t="str">
        <f t="shared" si="105"/>
        <v>122.926370928428+16.2962632125258i</v>
      </c>
      <c r="Z271" s="246" t="str">
        <f t="shared" si="106"/>
        <v>76.9144677865888+10.0484288366637i</v>
      </c>
      <c r="AA271" s="246" t="str">
        <f t="shared" si="107"/>
        <v>1.10711581141671-5.1114300337805i</v>
      </c>
      <c r="AB271" s="246">
        <f t="shared" si="117"/>
        <v>14.36995794755803</v>
      </c>
      <c r="AC271" s="246">
        <f t="shared" si="118"/>
        <v>-77.778739251845693</v>
      </c>
      <c r="AD271" s="248">
        <f t="shared" si="119"/>
        <v>-9.4500624389245882</v>
      </c>
      <c r="AE271" s="248">
        <f t="shared" si="120"/>
        <v>165.67927353009458</v>
      </c>
      <c r="AF271" s="246">
        <f t="shared" si="108"/>
        <v>4.9198955086334415</v>
      </c>
      <c r="AG271" s="246">
        <f t="shared" si="109"/>
        <v>87.900534278248884</v>
      </c>
      <c r="AH271" s="249" t="str">
        <f t="shared" si="110"/>
        <v>0.326428169861538-0.0833312647457378i</v>
      </c>
    </row>
    <row r="272" spans="9:34" x14ac:dyDescent="0.2">
      <c r="I272" s="246">
        <v>268</v>
      </c>
      <c r="J272" s="246">
        <f t="shared" si="98"/>
        <v>3.6130328371779514</v>
      </c>
      <c r="K272" s="246">
        <f t="shared" si="97"/>
        <v>4102.3511985404248</v>
      </c>
      <c r="L272" s="246">
        <f t="shared" si="111"/>
        <v>25775.832775559764</v>
      </c>
      <c r="M272" s="246">
        <f t="shared" si="99"/>
        <v>4622.9328788509947</v>
      </c>
      <c r="N272" s="246">
        <f>SQRT((ABS(AC272)-171.5+'Small Signal'!C$59)^2)</f>
        <v>23.141520081323151</v>
      </c>
      <c r="O272" s="246">
        <f t="shared" si="112"/>
        <v>87.50605704627263</v>
      </c>
      <c r="P272" s="246">
        <f t="shared" si="113"/>
        <v>4.7425104374821831</v>
      </c>
      <c r="Q272" s="246">
        <f t="shared" si="114"/>
        <v>4102.3511985404248</v>
      </c>
      <c r="R272" s="246" t="str">
        <f t="shared" si="100"/>
        <v>0.161233333333333+0.121146414045131i</v>
      </c>
      <c r="S272" s="246" t="str">
        <f t="shared" si="101"/>
        <v>0.025-4.12723730983679i</v>
      </c>
      <c r="T272" s="246" t="str">
        <f t="shared" si="102"/>
        <v>0.712232217936954-4.00058872228703i</v>
      </c>
      <c r="U272" s="246" t="str">
        <f t="shared" si="103"/>
        <v>26.2261532880692-82.9803374366436i</v>
      </c>
      <c r="V272" s="246">
        <f t="shared" si="115"/>
        <v>38.792993545778522</v>
      </c>
      <c r="W272" s="246">
        <f t="shared" si="116"/>
        <v>-72.460722542634187</v>
      </c>
      <c r="X272" s="246" t="str">
        <f t="shared" si="104"/>
        <v>0.999880325081912-0.00193507449890173i</v>
      </c>
      <c r="Y272" s="246" t="str">
        <f t="shared" si="105"/>
        <v>124.973033435774+13.3194259637034i</v>
      </c>
      <c r="Z272" s="246" t="str">
        <f t="shared" si="106"/>
        <v>78.191157354449+8.18047731109272i</v>
      </c>
      <c r="AA272" s="246" t="str">
        <f t="shared" si="107"/>
        <v>1.03497020254311-5.02349732702546i</v>
      </c>
      <c r="AB272" s="246">
        <f t="shared" si="117"/>
        <v>14.200661858507996</v>
      </c>
      <c r="AC272" s="246">
        <f t="shared" si="118"/>
        <v>-78.358479918676849</v>
      </c>
      <c r="AD272" s="248">
        <f t="shared" si="119"/>
        <v>-9.4581514210258124</v>
      </c>
      <c r="AE272" s="248">
        <f t="shared" si="120"/>
        <v>165.86453696494948</v>
      </c>
      <c r="AF272" s="246">
        <f t="shared" si="108"/>
        <v>4.7425104374821831</v>
      </c>
      <c r="AG272" s="246">
        <f t="shared" si="109"/>
        <v>87.50605704627263</v>
      </c>
      <c r="AH272" s="249" t="str">
        <f t="shared" si="110"/>
        <v>0.326391807758164-0.0821987539493433i</v>
      </c>
    </row>
    <row r="273" spans="9:34" x14ac:dyDescent="0.2">
      <c r="I273" s="246">
        <v>269</v>
      </c>
      <c r="J273" s="246">
        <f t="shared" si="98"/>
        <v>3.6227829597047347</v>
      </c>
      <c r="K273" s="246">
        <f t="shared" si="97"/>
        <v>4195.4926027478168</v>
      </c>
      <c r="L273" s="246">
        <f t="shared" si="111"/>
        <v>26361.057477965722</v>
      </c>
      <c r="M273" s="246">
        <f t="shared" si="99"/>
        <v>4527.6767553624231</v>
      </c>
      <c r="N273" s="246">
        <f>SQRT((ABS(AC273)-171.5+'Small Signal'!C$59)^2)</f>
        <v>22.565082982544652</v>
      </c>
      <c r="O273" s="246">
        <f t="shared" si="112"/>
        <v>87.108336443587604</v>
      </c>
      <c r="P273" s="246">
        <f t="shared" si="113"/>
        <v>4.5647215957742198</v>
      </c>
      <c r="Q273" s="246">
        <f t="shared" si="114"/>
        <v>4195.4926027478168</v>
      </c>
      <c r="R273" s="246" t="str">
        <f t="shared" si="100"/>
        <v>0.161233333333333+0.123896970146439i</v>
      </c>
      <c r="S273" s="246" t="str">
        <f t="shared" si="101"/>
        <v>0.025-4.03561119702144i</v>
      </c>
      <c r="T273" s="246" t="str">
        <f t="shared" si="102"/>
        <v>0.682884265320813-3.9167039892244i</v>
      </c>
      <c r="U273" s="246" t="str">
        <f t="shared" si="103"/>
        <v>23.0308884163405-83.284545163159i</v>
      </c>
      <c r="V273" s="246">
        <f t="shared" si="115"/>
        <v>38.731308710289902</v>
      </c>
      <c r="W273" s="246">
        <f t="shared" si="116"/>
        <v>-74.542145289984731</v>
      </c>
      <c r="X273" s="246" t="str">
        <f t="shared" si="104"/>
        <v>0.999874829097389-0.00197900919570139i</v>
      </c>
      <c r="Y273" s="246" t="str">
        <f t="shared" si="105"/>
        <v>126.871613390715+10.1215944529148i</v>
      </c>
      <c r="Z273" s="246" t="str">
        <f t="shared" si="106"/>
        <v>79.3747566392921+6.17430068429358i</v>
      </c>
      <c r="AA273" s="246" t="str">
        <f t="shared" si="107"/>
        <v>0.965299781515764-4.93609499272573i</v>
      </c>
      <c r="AB273" s="246">
        <f t="shared" si="117"/>
        <v>14.030662300351121</v>
      </c>
      <c r="AC273" s="246">
        <f t="shared" si="118"/>
        <v>-78.934917017455348</v>
      </c>
      <c r="AD273" s="248">
        <f t="shared" si="119"/>
        <v>-9.4659407045769015</v>
      </c>
      <c r="AE273" s="248">
        <f t="shared" si="120"/>
        <v>166.04325346104295</v>
      </c>
      <c r="AF273" s="246">
        <f t="shared" si="108"/>
        <v>4.5647215957742198</v>
      </c>
      <c r="AG273" s="246">
        <f t="shared" si="109"/>
        <v>87.108336443587604</v>
      </c>
      <c r="AH273" s="249" t="str">
        <f t="shared" si="110"/>
        <v>0.326353816172245-0.0811075094858829i</v>
      </c>
    </row>
    <row r="274" spans="9:34" x14ac:dyDescent="0.2">
      <c r="I274" s="246">
        <v>270</v>
      </c>
      <c r="J274" s="246">
        <f t="shared" si="98"/>
        <v>3.6325330822315181</v>
      </c>
      <c r="K274" s="246">
        <f t="shared" si="97"/>
        <v>4290.7487262363884</v>
      </c>
      <c r="L274" s="246">
        <f t="shared" si="111"/>
        <v>26959.569353488001</v>
      </c>
      <c r="M274" s="246">
        <f t="shared" si="99"/>
        <v>4430.2578991696801</v>
      </c>
      <c r="N274" s="246">
        <f>SQRT((ABS(AC274)-171.5+'Small Signal'!C$59)^2)</f>
        <v>21.991829069025329</v>
      </c>
      <c r="O274" s="246">
        <f t="shared" si="112"/>
        <v>86.707307432285091</v>
      </c>
      <c r="P274" s="246">
        <f t="shared" si="113"/>
        <v>4.3865518895188575</v>
      </c>
      <c r="Q274" s="246">
        <f t="shared" si="114"/>
        <v>4290.7487262363884</v>
      </c>
      <c r="R274" s="246" t="str">
        <f t="shared" si="100"/>
        <v>0.161233333333333+0.126709975961394i</v>
      </c>
      <c r="S274" s="246" t="str">
        <f t="shared" si="101"/>
        <v>0.025-3.94601921597982i</v>
      </c>
      <c r="T274" s="246" t="str">
        <f t="shared" si="102"/>
        <v>0.654755664752105-3.83437181055701i</v>
      </c>
      <c r="U274" s="246" t="str">
        <f t="shared" si="103"/>
        <v>19.7582351140935-83.4052903004237i</v>
      </c>
      <c r="V274" s="246">
        <f t="shared" si="115"/>
        <v>38.661000087449878</v>
      </c>
      <c r="W274" s="246">
        <f t="shared" si="116"/>
        <v>-76.672638862216218</v>
      </c>
      <c r="X274" s="246" t="str">
        <f t="shared" si="104"/>
        <v>0.99986908071373-0.00202394140323461i</v>
      </c>
      <c r="Y274" s="246" t="str">
        <f t="shared" si="105"/>
        <v>128.595347984136+6.70946057952031i</v>
      </c>
      <c r="Z274" s="246" t="str">
        <f t="shared" si="106"/>
        <v>80.4485090152227+4.03412944941031i</v>
      </c>
      <c r="AA274" s="246" t="str">
        <f t="shared" si="107"/>
        <v>0.898045942055434-4.84928166712307i</v>
      </c>
      <c r="AB274" s="246">
        <f t="shared" si="117"/>
        <v>13.859996269950267</v>
      </c>
      <c r="AC274" s="246">
        <f t="shared" si="118"/>
        <v>-79.508170930974671</v>
      </c>
      <c r="AD274" s="248">
        <f t="shared" si="119"/>
        <v>-9.4734443804314097</v>
      </c>
      <c r="AE274" s="248">
        <f t="shared" si="120"/>
        <v>166.21547836325976</v>
      </c>
      <c r="AF274" s="246">
        <f t="shared" si="108"/>
        <v>4.3865518895188575</v>
      </c>
      <c r="AG274" s="246">
        <f t="shared" si="109"/>
        <v>86.707307432285091</v>
      </c>
      <c r="AH274" s="249" t="str">
        <f t="shared" si="110"/>
        <v>0.326314119664572-0.0800569698440126i</v>
      </c>
    </row>
    <row r="275" spans="9:34" x14ac:dyDescent="0.2">
      <c r="I275" s="246">
        <v>271</v>
      </c>
      <c r="J275" s="246">
        <f t="shared" si="98"/>
        <v>3.6422832047583014</v>
      </c>
      <c r="K275" s="246">
        <f t="shared" si="97"/>
        <v>4388.1675824291315</v>
      </c>
      <c r="L275" s="246">
        <f t="shared" si="111"/>
        <v>27571.670079360483</v>
      </c>
      <c r="M275" s="246">
        <f t="shared" si="99"/>
        <v>4330.6272067340278</v>
      </c>
      <c r="N275" s="246">
        <f>SQRT((ABS(AC275)-171.5+'Small Signal'!C$59)^2)</f>
        <v>21.421632348296242</v>
      </c>
      <c r="O275" s="246">
        <f t="shared" si="112"/>
        <v>86.30289828207421</v>
      </c>
      <c r="P275" s="246">
        <f t="shared" si="113"/>
        <v>4.2080242521977436</v>
      </c>
      <c r="Q275" s="246">
        <f t="shared" si="114"/>
        <v>4388.1675824291315</v>
      </c>
      <c r="R275" s="246" t="str">
        <f t="shared" si="100"/>
        <v>0.161233333333333+0.129586849372994i</v>
      </c>
      <c r="S275" s="246" t="str">
        <f t="shared" si="101"/>
        <v>0.025-3.85841620827459i</v>
      </c>
      <c r="T275" s="246" t="str">
        <f t="shared" si="102"/>
        <v>0.627798595599256-3.75357672099055i</v>
      </c>
      <c r="U275" s="246" t="str">
        <f t="shared" si="103"/>
        <v>16.4239107626191-83.3292628616017i</v>
      </c>
      <c r="V275" s="246">
        <f t="shared" si="115"/>
        <v>38.581466919986347</v>
      </c>
      <c r="W275" s="246">
        <f t="shared" si="116"/>
        <v>-78.850113261370737</v>
      </c>
      <c r="X275" s="246" t="str">
        <f t="shared" si="104"/>
        <v>0.999863068339687-0.00206989376937962i</v>
      </c>
      <c r="Y275" s="246" t="str">
        <f t="shared" si="105"/>
        <v>130.117225718147+3.09354000122573i</v>
      </c>
      <c r="Z275" s="246" t="str">
        <f t="shared" si="106"/>
        <v>81.3955074575787+1.76658996522512i</v>
      </c>
      <c r="AA275" s="246" t="str">
        <f t="shared" si="107"/>
        <v>0.833149369397534-4.7631120547048i</v>
      </c>
      <c r="AB275" s="246">
        <f t="shared" si="117"/>
        <v>13.688700346668149</v>
      </c>
      <c r="AC275" s="246">
        <f t="shared" si="118"/>
        <v>-80.078367651703758</v>
      </c>
      <c r="AD275" s="248">
        <f t="shared" si="119"/>
        <v>-9.4806760944704056</v>
      </c>
      <c r="AE275" s="248">
        <f t="shared" si="120"/>
        <v>166.38126593377797</v>
      </c>
      <c r="AF275" s="246">
        <f t="shared" si="108"/>
        <v>4.2080242521977436</v>
      </c>
      <c r="AG275" s="246">
        <f t="shared" si="109"/>
        <v>86.30289828207421</v>
      </c>
      <c r="AH275" s="249" t="str">
        <f t="shared" si="110"/>
        <v>0.326272639467248-0.0790465932372522i</v>
      </c>
    </row>
    <row r="276" spans="9:34" x14ac:dyDescent="0.2">
      <c r="I276" s="246">
        <v>272</v>
      </c>
      <c r="J276" s="246">
        <f t="shared" si="98"/>
        <v>3.6520333272850847</v>
      </c>
      <c r="K276" s="246">
        <f t="shared" si="97"/>
        <v>4487.7982748647837</v>
      </c>
      <c r="L276" s="246">
        <f t="shared" si="111"/>
        <v>28197.668182216305</v>
      </c>
      <c r="M276" s="246">
        <f t="shared" si="99"/>
        <v>4228.7344596505573</v>
      </c>
      <c r="N276" s="246">
        <f>SQRT((ABS(AC276)-171.5+'Small Signal'!C$59)^2)</f>
        <v>20.854361549410513</v>
      </c>
      <c r="O276" s="246">
        <f t="shared" si="112"/>
        <v>85.895030808919657</v>
      </c>
      <c r="P276" s="246">
        <f t="shared" si="113"/>
        <v>4.029161632037523</v>
      </c>
      <c r="Q276" s="246">
        <f t="shared" si="114"/>
        <v>4487.7982748647837</v>
      </c>
      <c r="R276" s="246" t="str">
        <f t="shared" si="100"/>
        <v>0.161233333333333+0.132529040456417i</v>
      </c>
      <c r="S276" s="246" t="str">
        <f t="shared" si="101"/>
        <v>0.025-3.77275801800157i</v>
      </c>
      <c r="T276" s="246" t="str">
        <f t="shared" si="102"/>
        <v>0.601966873759014-3.67430248002048i</v>
      </c>
      <c r="U276" s="246" t="str">
        <f t="shared" si="103"/>
        <v>13.0460170186977-83.0447477500398i</v>
      </c>
      <c r="V276" s="246">
        <f t="shared" si="115"/>
        <v>38.492122722133089</v>
      </c>
      <c r="W276" s="246">
        <f t="shared" si="116"/>
        <v>-81.072016923806203</v>
      </c>
      <c r="X276" s="246" t="str">
        <f t="shared" si="104"/>
        <v>0.999856779851692-0.00211688945622105i</v>
      </c>
      <c r="Y276" s="246" t="str">
        <f t="shared" si="105"/>
        <v>131.410617465034-0.711601760396358i</v>
      </c>
      <c r="Z276" s="246" t="str">
        <f t="shared" si="106"/>
        <v>82.1990902089154-0.619154782713566i</v>
      </c>
      <c r="AA276" s="246" t="str">
        <f t="shared" si="107"/>
        <v>0.770550247390809-4.67763703000335i</v>
      </c>
      <c r="AB276" s="246">
        <f t="shared" si="117"/>
        <v>13.516810696557043</v>
      </c>
      <c r="AC276" s="246">
        <f t="shared" si="118"/>
        <v>-80.645638450589487</v>
      </c>
      <c r="AD276" s="248">
        <f t="shared" si="119"/>
        <v>-9.4876490645195197</v>
      </c>
      <c r="AE276" s="248">
        <f t="shared" si="120"/>
        <v>166.54066925950914</v>
      </c>
      <c r="AF276" s="246">
        <f t="shared" si="108"/>
        <v>4.029161632037523</v>
      </c>
      <c r="AG276" s="246">
        <f t="shared" si="109"/>
        <v>85.895030808919657</v>
      </c>
      <c r="AH276" s="249" t="str">
        <f t="shared" si="110"/>
        <v>0.326229293335023-0.0780758572765626i</v>
      </c>
    </row>
    <row r="277" spans="9:34" x14ac:dyDescent="0.2">
      <c r="I277" s="246">
        <v>273</v>
      </c>
      <c r="J277" s="246">
        <f t="shared" si="98"/>
        <v>3.661783449811868</v>
      </c>
      <c r="K277" s="246">
        <f t="shared" si="97"/>
        <v>4589.6910219482543</v>
      </c>
      <c r="L277" s="246">
        <f t="shared" si="111"/>
        <v>28837.879193599332</v>
      </c>
      <c r="M277" s="246">
        <f t="shared" si="99"/>
        <v>4124.5282993358533</v>
      </c>
      <c r="N277" s="246">
        <f>SQRT((ABS(AC277)-171.5+'Small Signal'!C$59)^2)</f>
        <v>20.289880448626249</v>
      </c>
      <c r="O277" s="246">
        <f t="shared" si="112"/>
        <v>85.483620614199438</v>
      </c>
      <c r="P277" s="246">
        <f t="shared" si="113"/>
        <v>3.8499869821094173</v>
      </c>
      <c r="Q277" s="246">
        <f t="shared" si="114"/>
        <v>4589.6910219482543</v>
      </c>
      <c r="R277" s="246" t="str">
        <f t="shared" si="100"/>
        <v>0.161233333333333+0.135538032209917i</v>
      </c>
      <c r="S277" s="246" t="str">
        <f t="shared" si="101"/>
        <v>0.025-3.68900146953304i</v>
      </c>
      <c r="T277" s="246" t="str">
        <f t="shared" si="102"/>
        <v>0.577215916206759-3.59653215007985i</v>
      </c>
      <c r="U277" s="246" t="str">
        <f t="shared" si="103"/>
        <v>9.64486914848259-82.5421008275346i</v>
      </c>
      <c r="V277" s="246">
        <f t="shared" si="115"/>
        <v>38.392405289371069</v>
      </c>
      <c r="W277" s="246">
        <f t="shared" si="116"/>
        <v>-83.335332067284355</v>
      </c>
      <c r="X277" s="246" t="str">
        <f t="shared" si="104"/>
        <v>0.999850202569408-0.00216495215172465i</v>
      </c>
      <c r="Y277" s="246" t="str">
        <f t="shared" si="105"/>
        <v>132.449986434618-4.68724119397549i</v>
      </c>
      <c r="Z277" s="246" t="str">
        <f t="shared" si="106"/>
        <v>82.8432857133837-3.11133844439879i</v>
      </c>
      <c r="AA277" s="246" t="str">
        <f t="shared" si="107"/>
        <v>0.710188451508305-4.59290374682979i</v>
      </c>
      <c r="AB277" s="246">
        <f t="shared" si="117"/>
        <v>13.344363079317548</v>
      </c>
      <c r="AC277" s="246">
        <f t="shared" si="118"/>
        <v>-81.210119551373751</v>
      </c>
      <c r="AD277" s="248">
        <f t="shared" si="119"/>
        <v>-9.4943760972081304</v>
      </c>
      <c r="AE277" s="248">
        <f t="shared" si="120"/>
        <v>166.69374016557319</v>
      </c>
      <c r="AF277" s="246">
        <f t="shared" si="108"/>
        <v>3.8499869821094173</v>
      </c>
      <c r="AG277" s="246">
        <f t="shared" si="109"/>
        <v>85.483620614199438</v>
      </c>
      <c r="AH277" s="249" t="str">
        <f t="shared" si="110"/>
        <v>0.326183995390572-0.0771442586490175i</v>
      </c>
    </row>
    <row r="278" spans="9:34" x14ac:dyDescent="0.2">
      <c r="I278" s="246">
        <v>274</v>
      </c>
      <c r="J278" s="246">
        <f t="shared" si="98"/>
        <v>3.6715335723386517</v>
      </c>
      <c r="K278" s="246">
        <f t="shared" si="97"/>
        <v>4693.8971822629583</v>
      </c>
      <c r="L278" s="246">
        <f t="shared" si="111"/>
        <v>29492.62580900628</v>
      </c>
      <c r="M278" s="246">
        <f t="shared" si="99"/>
        <v>4017.9562011408771</v>
      </c>
      <c r="N278" s="246">
        <f>SQRT((ABS(AC278)-171.5+'Small Signal'!C$59)^2)</f>
        <v>19.728048189227337</v>
      </c>
      <c r="O278" s="246">
        <f t="shared" si="112"/>
        <v>85.068577323742915</v>
      </c>
      <c r="P278" s="246">
        <f t="shared" si="113"/>
        <v>3.6705232531087564</v>
      </c>
      <c r="Q278" s="246">
        <f t="shared" si="114"/>
        <v>4693.8971822629583</v>
      </c>
      <c r="R278" s="246" t="str">
        <f t="shared" si="100"/>
        <v>0.161233333333333+0.13861534130233i</v>
      </c>
      <c r="S278" s="246" t="str">
        <f t="shared" si="101"/>
        <v>0.025-3.60710434575539i</v>
      </c>
      <c r="T278" s="246" t="str">
        <f t="shared" si="102"/>
        <v>0.553502704377716-3.52024817014698i</v>
      </c>
      <c r="U278" s="246" t="str">
        <f t="shared" si="103"/>
        <v>6.24271840681362-81.8142106699176i</v>
      </c>
      <c r="V278" s="246">
        <f t="shared" si="115"/>
        <v>38.281787230811624</v>
      </c>
      <c r="W278" s="246">
        <f t="shared" si="116"/>
        <v>-85.636581217964306</v>
      </c>
      <c r="X278" s="246" t="str">
        <f t="shared" si="104"/>
        <v>0.999843323230168-0.00221410608167711i</v>
      </c>
      <c r="Y278" s="246" t="str">
        <f t="shared" si="105"/>
        <v>133.211652443325-8.81053201971897i</v>
      </c>
      <c r="Z278" s="246" t="str">
        <f t="shared" si="106"/>
        <v>83.3132913680619-5.6956144488525i</v>
      </c>
      <c r="AA278" s="246" t="str">
        <f t="shared" si="107"/>
        <v>0.652003727970049-4.50895575367846i</v>
      </c>
      <c r="AB278" s="246">
        <f t="shared" si="117"/>
        <v>13.171392857854347</v>
      </c>
      <c r="AC278" s="246">
        <f t="shared" si="118"/>
        <v>-81.771951810772663</v>
      </c>
      <c r="AD278" s="248">
        <f t="shared" si="119"/>
        <v>-9.5008696047455903</v>
      </c>
      <c r="AE278" s="248">
        <f t="shared" si="120"/>
        <v>166.84052913451558</v>
      </c>
      <c r="AF278" s="246">
        <f t="shared" si="108"/>
        <v>3.6705232531087564</v>
      </c>
      <c r="AG278" s="246">
        <f t="shared" si="109"/>
        <v>85.068577323742915</v>
      </c>
      <c r="AH278" s="249" t="str">
        <f t="shared" si="110"/>
        <v>0.326136655963474-0.076251312802158i</v>
      </c>
    </row>
    <row r="279" spans="9:34" x14ac:dyDescent="0.2">
      <c r="I279" s="246">
        <v>275</v>
      </c>
      <c r="J279" s="246">
        <f t="shared" si="98"/>
        <v>3.6812836948654351</v>
      </c>
      <c r="K279" s="246">
        <f t="shared" si="97"/>
        <v>4800.4692804579345</v>
      </c>
      <c r="L279" s="246">
        <f t="shared" si="111"/>
        <v>30162.238050540254</v>
      </c>
      <c r="M279" s="246">
        <f t="shared" si="99"/>
        <v>3908.9644478762166</v>
      </c>
      <c r="N279" s="246">
        <f>SQRT((ABS(AC279)-171.5+'Small Signal'!C$59)^2)</f>
        <v>19.168719595249485</v>
      </c>
      <c r="O279" s="246">
        <f t="shared" si="112"/>
        <v>84.649804826230309</v>
      </c>
      <c r="P279" s="246">
        <f t="shared" si="113"/>
        <v>3.4907933886655886</v>
      </c>
      <c r="Q279" s="246">
        <f t="shared" si="114"/>
        <v>4800.4692804579345</v>
      </c>
      <c r="R279" s="246" t="str">
        <f t="shared" si="100"/>
        <v>0.161233333333333+0.141762518837539i</v>
      </c>
      <c r="S279" s="246" t="str">
        <f t="shared" si="101"/>
        <v>0.025-3.52702536678968i</v>
      </c>
      <c r="T279" s="246" t="str">
        <f t="shared" si="102"/>
        <v>0.530785746617574-3.44543242498654i</v>
      </c>
      <c r="U279" s="246" t="str">
        <f t="shared" si="103"/>
        <v>2.86336629582595-80.8569189833209i</v>
      </c>
      <c r="V279" s="246">
        <f t="shared" si="115"/>
        <v>38.159786689635943</v>
      </c>
      <c r="W279" s="246">
        <f t="shared" si="116"/>
        <v>-87.971846101358963</v>
      </c>
      <c r="X279" s="246" t="str">
        <f t="shared" si="104"/>
        <v>0.999836127962221-0.00226437602189698i</v>
      </c>
      <c r="Y279" s="246" t="str">
        <f t="shared" si="105"/>
        <v>133.674577486902-13.0547034581056i</v>
      </c>
      <c r="Z279" s="246" t="str">
        <f t="shared" si="106"/>
        <v>83.5959653907397-8.35518132398468i</v>
      </c>
      <c r="AA279" s="246" t="str">
        <f t="shared" si="107"/>
        <v>0.595935859257716-4.42583311412365i</v>
      </c>
      <c r="AB279" s="246">
        <f t="shared" si="117"/>
        <v>12.997935010258209</v>
      </c>
      <c r="AC279" s="246">
        <f t="shared" si="118"/>
        <v>-82.331280404750515</v>
      </c>
      <c r="AD279" s="248">
        <f t="shared" si="119"/>
        <v>-9.5071416215926199</v>
      </c>
      <c r="AE279" s="248">
        <f t="shared" si="120"/>
        <v>166.98108523098082</v>
      </c>
      <c r="AF279" s="246">
        <f t="shared" si="108"/>
        <v>3.4907933886655886</v>
      </c>
      <c r="AG279" s="246">
        <f t="shared" si="109"/>
        <v>84.649804826230309</v>
      </c>
      <c r="AH279" s="249" t="str">
        <f t="shared" si="110"/>
        <v>0.326087181422662-0.0753965536336135i</v>
      </c>
    </row>
    <row r="280" spans="9:34" x14ac:dyDescent="0.2">
      <c r="I280" s="246">
        <v>276</v>
      </c>
      <c r="J280" s="246">
        <f t="shared" si="98"/>
        <v>3.6910338173922184</v>
      </c>
      <c r="K280" s="246">
        <f t="shared" si="97"/>
        <v>4909.4610337225949</v>
      </c>
      <c r="L280" s="246">
        <f t="shared" si="111"/>
        <v>30847.053433256511</v>
      </c>
      <c r="M280" s="246">
        <f t="shared" si="99"/>
        <v>3797.49810273612</v>
      </c>
      <c r="N280" s="246">
        <f>SQRT((ABS(AC280)-171.5+'Small Signal'!C$59)^2)</f>
        <v>18.611745478970022</v>
      </c>
      <c r="O280" s="246">
        <f t="shared" si="112"/>
        <v>84.22720151053602</v>
      </c>
      <c r="P280" s="246">
        <f t="shared" si="113"/>
        <v>3.3108203230357489</v>
      </c>
      <c r="Q280" s="246">
        <f t="shared" si="114"/>
        <v>4909.4610337225949</v>
      </c>
      <c r="R280" s="246" t="str">
        <f t="shared" si="100"/>
        <v>0.161233333333333+0.144981151136306i</v>
      </c>
      <c r="S280" s="246" t="str">
        <f t="shared" si="101"/>
        <v>0.025-3.44872416918472i</v>
      </c>
      <c r="T280" s="246" t="str">
        <f t="shared" si="102"/>
        <v>0.509025039920011-3.37206631019942i</v>
      </c>
      <c r="U280" s="246" t="str">
        <f t="shared" si="103"/>
        <v>-0.468322799750739-79.6693712297839i</v>
      </c>
      <c r="V280" s="246">
        <f t="shared" si="115"/>
        <v>38.025977859214038</v>
      </c>
      <c r="W280" s="246">
        <f t="shared" si="116"/>
        <v>-90.336799580558463</v>
      </c>
      <c r="X280" s="246" t="str">
        <f t="shared" si="104"/>
        <v>0.999828602256771-0.00231578731072278i</v>
      </c>
      <c r="Y280" s="246" t="str">
        <f t="shared" si="105"/>
        <v>133.821132665084-17.3894326273093i</v>
      </c>
      <c r="Z280" s="246" t="str">
        <f t="shared" si="106"/>
        <v>83.6803067594805-11.0710170788064i</v>
      </c>
      <c r="AA280" s="246" t="str">
        <f t="shared" si="107"/>
        <v>0.541924816369229-4.34357253111411i</v>
      </c>
      <c r="AB280" s="246">
        <f t="shared" si="117"/>
        <v>12.824024144044721</v>
      </c>
      <c r="AC280" s="246">
        <f t="shared" si="118"/>
        <v>-82.888254521029978</v>
      </c>
      <c r="AD280" s="248">
        <f t="shared" si="119"/>
        <v>-9.5132038210089718</v>
      </c>
      <c r="AE280" s="248">
        <f t="shared" si="120"/>
        <v>167.115456031566</v>
      </c>
      <c r="AF280" s="246">
        <f t="shared" si="108"/>
        <v>3.3108203230357489</v>
      </c>
      <c r="AG280" s="246">
        <f t="shared" si="109"/>
        <v>84.22720151053602</v>
      </c>
      <c r="AH280" s="249" t="str">
        <f t="shared" si="110"/>
        <v>0.326035474002123-0.0745795331855559i</v>
      </c>
    </row>
    <row r="281" spans="9:34" x14ac:dyDescent="0.2">
      <c r="I281" s="246">
        <v>277</v>
      </c>
      <c r="J281" s="246">
        <f t="shared" si="98"/>
        <v>3.7007839399190021</v>
      </c>
      <c r="K281" s="246">
        <f t="shared" si="97"/>
        <v>5020.9273788626915</v>
      </c>
      <c r="L281" s="246">
        <f t="shared" si="111"/>
        <v>31547.417135285774</v>
      </c>
      <c r="M281" s="246">
        <f t="shared" si="99"/>
        <v>3683.5009816078664</v>
      </c>
      <c r="N281" s="246">
        <f>SQRT((ABS(AC281)-171.5+'Small Signal'!C$59)^2)</f>
        <v>18.056972942123735</v>
      </c>
      <c r="O281" s="246">
        <f t="shared" si="112"/>
        <v>83.800660501709103</v>
      </c>
      <c r="P281" s="246">
        <f t="shared" si="113"/>
        <v>3.1306269810227541</v>
      </c>
      <c r="Q281" s="246">
        <f t="shared" si="114"/>
        <v>5020.9273788626915</v>
      </c>
      <c r="R281" s="246" t="str">
        <f t="shared" si="100"/>
        <v>0.161233333333333+0.148272860535843i</v>
      </c>
      <c r="S281" s="246" t="str">
        <f t="shared" si="101"/>
        <v>0.025-3.37216128557209i</v>
      </c>
      <c r="T281" s="246" t="str">
        <f t="shared" si="102"/>
        <v>0.488182031148501-3.30013079325616i</v>
      </c>
      <c r="U281" s="246" t="str">
        <f t="shared" si="103"/>
        <v>-3.72699571713008-78.2542700192026i</v>
      </c>
      <c r="V281" s="246">
        <f t="shared" si="115"/>
        <v>37.880000864443666</v>
      </c>
      <c r="W281" s="246">
        <f t="shared" si="116"/>
        <v>-92.726750697404654</v>
      </c>
      <c r="X281" s="246" t="str">
        <f t="shared" si="104"/>
        <v>0.999820730938711-0.0023683658617847i</v>
      </c>
      <c r="Y281" s="246" t="str">
        <f t="shared" si="105"/>
        <v>133.637802106778-21.7813909867333i</v>
      </c>
      <c r="Z281" s="246" t="str">
        <f t="shared" si="106"/>
        <v>83.5578954386614-13.822222533701i</v>
      </c>
      <c r="AA281" s="246" t="str">
        <f t="shared" si="107"/>
        <v>0.489910898219706-4.26220747415743i</v>
      </c>
      <c r="AB281" s="246">
        <f t="shared" si="117"/>
        <v>12.649694512485187</v>
      </c>
      <c r="AC281" s="246">
        <f t="shared" si="118"/>
        <v>-83.443027057876265</v>
      </c>
      <c r="AD281" s="248">
        <f t="shared" si="119"/>
        <v>-9.5190675314624329</v>
      </c>
      <c r="AE281" s="248">
        <f t="shared" si="120"/>
        <v>167.24368755958537</v>
      </c>
      <c r="AF281" s="246">
        <f t="shared" si="108"/>
        <v>3.1306269810227541</v>
      </c>
      <c r="AG281" s="246">
        <f t="shared" si="109"/>
        <v>83.800660501709103</v>
      </c>
      <c r="AH281" s="249" t="str">
        <f t="shared" si="110"/>
        <v>0.325981431619592-0.0737998213435316i</v>
      </c>
    </row>
    <row r="282" spans="9:34" x14ac:dyDescent="0.2">
      <c r="I282" s="246">
        <v>278</v>
      </c>
      <c r="J282" s="246">
        <f t="shared" si="98"/>
        <v>3.7105340624457854</v>
      </c>
      <c r="K282" s="246">
        <f t="shared" si="97"/>
        <v>5134.9244999909452</v>
      </c>
      <c r="L282" s="246">
        <f t="shared" si="111"/>
        <v>32263.68217181959</v>
      </c>
      <c r="M282" s="246">
        <f t="shared" si="99"/>
        <v>3566.9156247524452</v>
      </c>
      <c r="N282" s="246">
        <f>SQRT((ABS(AC282)-171.5+'Small Signal'!C$59)^2)</f>
        <v>17.504245670886249</v>
      </c>
      <c r="O282" s="246">
        <f t="shared" si="112"/>
        <v>83.370069895372794</v>
      </c>
      <c r="P282" s="246">
        <f t="shared" si="113"/>
        <v>2.9502362799799648</v>
      </c>
      <c r="Q282" s="246">
        <f t="shared" si="114"/>
        <v>5134.9244999909452</v>
      </c>
      <c r="R282" s="246" t="str">
        <f t="shared" si="100"/>
        <v>0.161233333333333+0.151639306207552i</v>
      </c>
      <c r="S282" s="246" t="str">
        <f t="shared" si="101"/>
        <v>0.025-3.29729812477274i</v>
      </c>
      <c r="T282" s="246" t="str">
        <f t="shared" si="102"/>
        <v>0.468219577921091-3.22960647068823i</v>
      </c>
      <c r="U282" s="246" t="str">
        <f t="shared" si="103"/>
        <v>-6.88744823072947-76.6180075882166i</v>
      </c>
      <c r="V282" s="246">
        <f t="shared" si="115"/>
        <v>37.721570566265761</v>
      </c>
      <c r="W282" s="246">
        <f t="shared" si="116"/>
        <v>-95.13670215649887</v>
      </c>
      <c r="X282" s="246" t="str">
        <f t="shared" si="104"/>
        <v>0.999812498136031-0.00242213817706623i</v>
      </c>
      <c r="Y282" s="246" t="str">
        <f t="shared" si="105"/>
        <v>133.115778683758-26.194951895832i</v>
      </c>
      <c r="Z282" s="246" t="str">
        <f t="shared" si="106"/>
        <v>83.2232645851797-16.5864654340639i</v>
      </c>
      <c r="AA282" s="246" t="str">
        <f t="shared" si="107"/>
        <v>0.439834858641562-4.18176830846953i</v>
      </c>
      <c r="AB282" s="246">
        <f t="shared" si="117"/>
        <v>12.474980032865744</v>
      </c>
      <c r="AC282" s="246">
        <f t="shared" si="118"/>
        <v>-83.995754329113751</v>
      </c>
      <c r="AD282" s="248">
        <f t="shared" si="119"/>
        <v>-9.5247437528857795</v>
      </c>
      <c r="AE282" s="248">
        <f t="shared" si="120"/>
        <v>167.36582422448654</v>
      </c>
      <c r="AF282" s="246">
        <f t="shared" si="108"/>
        <v>2.9502362799799648</v>
      </c>
      <c r="AG282" s="246">
        <f t="shared" si="109"/>
        <v>83.370069895372794</v>
      </c>
      <c r="AH282" s="249" t="str">
        <f t="shared" si="110"/>
        <v>0.32592494768803-0.0730570055392226i</v>
      </c>
    </row>
    <row r="283" spans="9:34" x14ac:dyDescent="0.2">
      <c r="I283" s="246">
        <v>279</v>
      </c>
      <c r="J283" s="246">
        <f t="shared" si="98"/>
        <v>3.7202841849725687</v>
      </c>
      <c r="K283" s="246">
        <f t="shared" si="97"/>
        <v>5251.5098568463663</v>
      </c>
      <c r="L283" s="246">
        <f t="shared" si="111"/>
        <v>32996.20957304586</v>
      </c>
      <c r="M283" s="246">
        <f t="shared" si="99"/>
        <v>3447.6832678421788</v>
      </c>
      <c r="N283" s="246">
        <f>SQRT((ABS(AC283)-171.5+'Small Signal'!C$59)^2)</f>
        <v>16.953404224750727</v>
      </c>
      <c r="O283" s="246">
        <f t="shared" si="112"/>
        <v>82.935312990420726</v>
      </c>
      <c r="P283" s="246">
        <f t="shared" si="113"/>
        <v>2.7696711337442252</v>
      </c>
      <c r="Q283" s="246">
        <f t="shared" si="114"/>
        <v>5251.5098568463663</v>
      </c>
      <c r="R283" s="246" t="str">
        <f t="shared" si="100"/>
        <v>0.161233333333333+0.155082184993316i</v>
      </c>
      <c r="S283" s="246" t="str">
        <f t="shared" si="101"/>
        <v>0.025-3.22409695234531i</v>
      </c>
      <c r="T283" s="246" t="str">
        <f t="shared" si="102"/>
        <v>0.44910190931936-3.16047362160909i</v>
      </c>
      <c r="U283" s="246" t="str">
        <f t="shared" si="103"/>
        <v>-9.92529614666973-74.7706601870281i</v>
      </c>
      <c r="V283" s="246">
        <f t="shared" si="115"/>
        <v>37.550483867031929</v>
      </c>
      <c r="W283" s="246">
        <f t="shared" si="116"/>
        <v>-97.561418843466754</v>
      </c>
      <c r="X283" s="246" t="str">
        <f t="shared" si="104"/>
        <v>0.999803887247811-0.00247713136026238i</v>
      </c>
      <c r="Y283" s="246" t="str">
        <f t="shared" si="105"/>
        <v>132.251409633242-30.5930330912033i</v>
      </c>
      <c r="Z283" s="246" t="str">
        <f t="shared" si="106"/>
        <v>82.6741785348902-19.3405088762772i</v>
      </c>
      <c r="AA283" s="246" t="str">
        <f t="shared" si="107"/>
        <v>0.391638021474899-4.10228242524884i</v>
      </c>
      <c r="AB283" s="246">
        <f t="shared" si="117"/>
        <v>12.29991430651766</v>
      </c>
      <c r="AC283" s="246">
        <f t="shared" si="118"/>
        <v>-84.546595775249273</v>
      </c>
      <c r="AD283" s="248">
        <f t="shared" si="119"/>
        <v>-9.5302431727734351</v>
      </c>
      <c r="AE283" s="248">
        <f t="shared" si="120"/>
        <v>167.48190876567</v>
      </c>
      <c r="AF283" s="246">
        <f t="shared" si="108"/>
        <v>2.7696711337442252</v>
      </c>
      <c r="AG283" s="246">
        <f t="shared" si="109"/>
        <v>82.935312990420726</v>
      </c>
      <c r="AH283" s="249" t="str">
        <f t="shared" si="110"/>
        <v>0.325865910919582-0.0723506904566286i</v>
      </c>
    </row>
    <row r="284" spans="9:34" x14ac:dyDescent="0.2">
      <c r="I284" s="246">
        <v>280</v>
      </c>
      <c r="J284" s="246">
        <f t="shared" si="98"/>
        <v>3.7300343074993521</v>
      </c>
      <c r="K284" s="246">
        <f t="shared" si="97"/>
        <v>5370.7422137566327</v>
      </c>
      <c r="L284" s="246">
        <f t="shared" si="111"/>
        <v>33745.368566124838</v>
      </c>
      <c r="M284" s="246">
        <f t="shared" si="99"/>
        <v>3325.7438123408574</v>
      </c>
      <c r="N284" s="246">
        <f>SQRT((ABS(AC284)-171.5+'Small Signal'!C$59)^2)</f>
        <v>16.404286319498809</v>
      </c>
      <c r="O284" s="246">
        <f t="shared" si="112"/>
        <v>82.496268519971053</v>
      </c>
      <c r="P284" s="246">
        <f t="shared" si="113"/>
        <v>2.5889544583538395</v>
      </c>
      <c r="Q284" s="246">
        <f t="shared" si="114"/>
        <v>5370.7422137566327</v>
      </c>
      <c r="R284" s="246" t="str">
        <f t="shared" si="100"/>
        <v>0.161233333333333+0.158603232260787i</v>
      </c>
      <c r="S284" s="246" t="str">
        <f t="shared" si="101"/>
        <v>0.025-3.15252087156626i</v>
      </c>
      <c r="T284" s="246" t="str">
        <f t="shared" si="102"/>
        <v>0.430794586566418-3.09271225773494i</v>
      </c>
      <c r="U284" s="246" t="str">
        <f t="shared" si="103"/>
        <v>-12.817644579979-72.7258360125499i</v>
      </c>
      <c r="V284" s="246">
        <f t="shared" si="115"/>
        <v>37.36662514718163</v>
      </c>
      <c r="W284" s="246">
        <f t="shared" si="116"/>
        <v>-99.995505255216599</v>
      </c>
      <c r="X284" s="246" t="str">
        <f t="shared" si="104"/>
        <v>0.999794880910744-0.00253337313044118i</v>
      </c>
      <c r="Y284" s="246" t="str">
        <f t="shared" si="105"/>
        <v>131.046457881253-34.9380357267681i</v>
      </c>
      <c r="Z284" s="246" t="str">
        <f t="shared" si="106"/>
        <v>81.9117951925692-22.0607999689186i</v>
      </c>
      <c r="AA284" s="246" t="str">
        <f t="shared" si="107"/>
        <v>0.34526238426825-4.02377437231395i</v>
      </c>
      <c r="AB284" s="246">
        <f t="shared" si="117"/>
        <v>12.124530640463316</v>
      </c>
      <c r="AC284" s="246">
        <f t="shared" si="118"/>
        <v>-85.095713680501191</v>
      </c>
      <c r="AD284" s="248">
        <f t="shared" si="119"/>
        <v>-9.5355761821094767</v>
      </c>
      <c r="AE284" s="248">
        <f t="shared" si="120"/>
        <v>167.59198220047224</v>
      </c>
      <c r="AF284" s="246">
        <f t="shared" si="108"/>
        <v>2.5889544583538395</v>
      </c>
      <c r="AG284" s="246">
        <f t="shared" si="109"/>
        <v>82.496268519971053</v>
      </c>
      <c r="AH284" s="249" t="str">
        <f t="shared" si="110"/>
        <v>0.325804205121805-0.0716804977411868i</v>
      </c>
    </row>
    <row r="285" spans="9:34" x14ac:dyDescent="0.2">
      <c r="I285" s="246">
        <v>281</v>
      </c>
      <c r="J285" s="246">
        <f t="shared" si="98"/>
        <v>3.7397844300261354</v>
      </c>
      <c r="K285" s="246">
        <f t="shared" si="97"/>
        <v>5492.6816692579541</v>
      </c>
      <c r="L285" s="246">
        <f t="shared" si="111"/>
        <v>34511.536761296222</v>
      </c>
      <c r="M285" s="246">
        <f t="shared" si="99"/>
        <v>3201.0357952113372</v>
      </c>
      <c r="N285" s="246">
        <f>SQRT((ABS(AC285)-171.5+'Small Signal'!C$59)^2)</f>
        <v>15.856727104526257</v>
      </c>
      <c r="O285" s="246">
        <f t="shared" si="112"/>
        <v>82.052810880610807</v>
      </c>
      <c r="P285" s="246">
        <f t="shared" si="113"/>
        <v>2.408109179406134</v>
      </c>
      <c r="Q285" s="246">
        <f t="shared" si="114"/>
        <v>5492.6816692579541</v>
      </c>
      <c r="R285" s="246" t="str">
        <f t="shared" si="100"/>
        <v>0.161233333333333+0.162204222778092i</v>
      </c>
      <c r="S285" s="246" t="str">
        <f t="shared" si="101"/>
        <v>0.025-3.08253380483219i</v>
      </c>
      <c r="T285" s="246" t="str">
        <f t="shared" si="102"/>
        <v>0.413264463803608-3.02630217007126i</v>
      </c>
      <c r="U285" s="246" t="str">
        <f t="shared" si="103"/>
        <v>-15.5437182003979-70.5003786505151i</v>
      </c>
      <c r="V285" s="246">
        <f t="shared" si="115"/>
        <v>37.169969547565572</v>
      </c>
      <c r="W285" s="246">
        <f t="shared" si="116"/>
        <v>-102.43348911199192</v>
      </c>
      <c r="X285" s="246" t="str">
        <f t="shared" si="104"/>
        <v>0.999785460964126-0.00259089183601532i</v>
      </c>
      <c r="Y285" s="246" t="str">
        <f t="shared" si="105"/>
        <v>129.508156403302-39.1928321312629i</v>
      </c>
      <c r="Z285" s="246" t="str">
        <f t="shared" si="106"/>
        <v>80.9406986945963-24.7240887226877i</v>
      </c>
      <c r="AA285" s="246" t="str">
        <f t="shared" si="107"/>
        <v>0.300650711130598-3.94626598442131i</v>
      </c>
      <c r="AB285" s="246">
        <f t="shared" si="117"/>
        <v>11.948862070526792</v>
      </c>
      <c r="AC285" s="246">
        <f t="shared" si="118"/>
        <v>-85.643272895473743</v>
      </c>
      <c r="AD285" s="248">
        <f t="shared" si="119"/>
        <v>-9.5407528911206576</v>
      </c>
      <c r="AE285" s="248">
        <f t="shared" si="120"/>
        <v>167.69608377608455</v>
      </c>
      <c r="AF285" s="246">
        <f t="shared" si="108"/>
        <v>2.408109179406134</v>
      </c>
      <c r="AG285" s="246">
        <f t="shared" si="109"/>
        <v>82.052810880610807</v>
      </c>
      <c r="AH285" s="249" t="str">
        <f t="shared" si="110"/>
        <v>0.325739708985962-0.0710460657113106i</v>
      </c>
    </row>
    <row r="286" spans="9:34" x14ac:dyDescent="0.2">
      <c r="I286" s="246">
        <v>282</v>
      </c>
      <c r="J286" s="246">
        <f t="shared" si="98"/>
        <v>3.7495345525529187</v>
      </c>
      <c r="K286" s="246">
        <f t="shared" si="97"/>
        <v>5617.3896863874743</v>
      </c>
      <c r="L286" s="246">
        <f t="shared" si="111"/>
        <v>35295.100342211925</v>
      </c>
      <c r="M286" s="246">
        <f t="shared" si="99"/>
        <v>3073.4963579353553</v>
      </c>
      <c r="N286" s="246">
        <f>SQRT((ABS(AC286)-171.5+'Small Signal'!C$59)^2)</f>
        <v>15.310559434854397</v>
      </c>
      <c r="O286" s="246">
        <f t="shared" si="112"/>
        <v>81.604810360044141</v>
      </c>
      <c r="P286" s="246">
        <f t="shared" si="113"/>
        <v>2.227158240908965</v>
      </c>
      <c r="Q286" s="246">
        <f t="shared" si="114"/>
        <v>5617.3896863874743</v>
      </c>
      <c r="R286" s="246" t="str">
        <f t="shared" si="100"/>
        <v>0.161233333333333+0.165886971608396i</v>
      </c>
      <c r="S286" s="246" t="str">
        <f t="shared" si="101"/>
        <v>0.025-3.01410047547516i</v>
      </c>
      <c r="T286" s="246" t="str">
        <f t="shared" si="102"/>
        <v>0.39647964908155-2.96122297242834i</v>
      </c>
      <c r="U286" s="246" t="str">
        <f t="shared" si="103"/>
        <v>-18.0854166259109-68.1139387125687i</v>
      </c>
      <c r="V286" s="246">
        <f t="shared" si="115"/>
        <v>36.960583920916555</v>
      </c>
      <c r="W286" s="246">
        <f t="shared" si="116"/>
        <v>-104.86990798371831</v>
      </c>
      <c r="X286" s="246" t="str">
        <f t="shared" si="104"/>
        <v>0.999775608413236-0.00264971646903108i</v>
      </c>
      <c r="Y286" s="246" t="str">
        <f t="shared" si="105"/>
        <v>127.6490473047-43.3217489412137i</v>
      </c>
      <c r="Z286" s="246" t="str">
        <f t="shared" si="106"/>
        <v>79.7687972086757-27.3080437395771i</v>
      </c>
      <c r="AA286" s="246" t="str">
        <f t="shared" si="107"/>
        <v>0.257746615290413-3.86977651265443i</v>
      </c>
      <c r="AB286" s="246">
        <f t="shared" si="117"/>
        <v>11.772941385763776</v>
      </c>
      <c r="AC286" s="246">
        <f t="shared" si="118"/>
        <v>-86.189440565145603</v>
      </c>
      <c r="AD286" s="248">
        <f t="shared" si="119"/>
        <v>-9.5457831448548109</v>
      </c>
      <c r="AE286" s="248">
        <f t="shared" si="120"/>
        <v>167.79425092518974</v>
      </c>
      <c r="AF286" s="246">
        <f t="shared" si="108"/>
        <v>2.227158240908965</v>
      </c>
      <c r="AG286" s="246">
        <f t="shared" si="109"/>
        <v>81.604810360044141</v>
      </c>
      <c r="AH286" s="249" t="str">
        <f t="shared" si="110"/>
        <v>0.325672295867007-0.0704470490717807i</v>
      </c>
    </row>
    <row r="287" spans="9:34" x14ac:dyDescent="0.2">
      <c r="I287" s="246">
        <v>283</v>
      </c>
      <c r="J287" s="246">
        <f t="shared" si="98"/>
        <v>3.759284675079702</v>
      </c>
      <c r="K287" s="246">
        <f t="shared" si="97"/>
        <v>5744.9291236634563</v>
      </c>
      <c r="L287" s="246">
        <f t="shared" si="111"/>
        <v>36096.454260590326</v>
      </c>
      <c r="M287" s="246">
        <f t="shared" si="99"/>
        <v>2943.0612148300215</v>
      </c>
      <c r="N287" s="246">
        <f>SQRT((ABS(AC287)-171.5+'Small Signal'!C$59)^2)</f>
        <v>14.765614138204754</v>
      </c>
      <c r="O287" s="246">
        <f t="shared" si="112"/>
        <v>81.152133363315144</v>
      </c>
      <c r="P287" s="246">
        <f t="shared" si="113"/>
        <v>2.0461246154865993</v>
      </c>
      <c r="Q287" s="246">
        <f t="shared" si="114"/>
        <v>5744.9291236634563</v>
      </c>
      <c r="R287" s="246" t="str">
        <f t="shared" si="100"/>
        <v>0.161233333333333+0.169653335024775i</v>
      </c>
      <c r="S287" s="246" t="str">
        <f t="shared" si="101"/>
        <v>0.025-2.94718638998158i</v>
      </c>
      <c r="T287" s="246" t="str">
        <f t="shared" si="102"/>
        <v>0.380409465668004-2.89745414192387i</v>
      </c>
      <c r="U287" s="246" t="str">
        <f t="shared" si="103"/>
        <v>-20.4277639520306-65.5884362354815i</v>
      </c>
      <c r="V287" s="246">
        <f t="shared" si="115"/>
        <v>36.738625401249763</v>
      </c>
      <c r="W287" s="246">
        <f t="shared" si="116"/>
        <v>-107.29939554529786</v>
      </c>
      <c r="X287" s="246" t="str">
        <f t="shared" si="104"/>
        <v>0.999765303391034-0.00270987667978165i</v>
      </c>
      <c r="Y287" s="246" t="str">
        <f t="shared" si="105"/>
        <v>125.48661290109-47.2914916099292i</v>
      </c>
      <c r="Z287" s="246" t="str">
        <f t="shared" si="106"/>
        <v>78.4070905079027-29.7918308818123i</v>
      </c>
      <c r="AA287" s="246" t="str">
        <f t="shared" si="107"/>
        <v>0.216494631924723-3.79432275234565i</v>
      </c>
      <c r="AB287" s="246">
        <f t="shared" si="117"/>
        <v>11.596801154067668</v>
      </c>
      <c r="AC287" s="246">
        <f t="shared" si="118"/>
        <v>-86.734385861795246</v>
      </c>
      <c r="AD287" s="248">
        <f t="shared" si="119"/>
        <v>-9.5506765385810688</v>
      </c>
      <c r="AE287" s="248">
        <f t="shared" si="120"/>
        <v>167.88651922511039</v>
      </c>
      <c r="AF287" s="246">
        <f t="shared" si="108"/>
        <v>2.0461246154865993</v>
      </c>
      <c r="AG287" s="246">
        <f t="shared" si="109"/>
        <v>81.152133363315144</v>
      </c>
      <c r="AH287" s="249" t="str">
        <f t="shared" si="110"/>
        <v>0.325601833555104-0.0698831186284375i</v>
      </c>
    </row>
    <row r="288" spans="9:34" x14ac:dyDescent="0.2">
      <c r="I288" s="246">
        <v>284</v>
      </c>
      <c r="J288" s="246">
        <f t="shared" si="98"/>
        <v>3.7690347976064857</v>
      </c>
      <c r="K288" s="246">
        <f t="shared" si="97"/>
        <v>5875.36426676879</v>
      </c>
      <c r="L288" s="246">
        <f t="shared" si="111"/>
        <v>36916.002435289622</v>
      </c>
      <c r="M288" s="246">
        <f t="shared" si="99"/>
        <v>2809.6646206448322</v>
      </c>
      <c r="N288" s="246">
        <f>SQRT((ABS(AC288)-171.5+'Small Signal'!C$59)^2)</f>
        <v>14.221720277563477</v>
      </c>
      <c r="O288" s="246">
        <f t="shared" si="112"/>
        <v>80.694642637836736</v>
      </c>
      <c r="P288" s="246">
        <f t="shared" si="113"/>
        <v>1.8650313157989391</v>
      </c>
      <c r="Q288" s="246">
        <f t="shared" si="114"/>
        <v>5875.36426676879</v>
      </c>
      <c r="R288" s="246" t="str">
        <f t="shared" si="100"/>
        <v>0.161233333333333+0.173505211445861i</v>
      </c>
      <c r="S288" s="246" t="str">
        <f t="shared" si="101"/>
        <v>0.025-2.88175782060596i</v>
      </c>
      <c r="T288" s="246" t="str">
        <f t="shared" si="102"/>
        <v>0.365024413763094-2.83497505662723i</v>
      </c>
      <c r="U288" s="246" t="str">
        <f t="shared" si="103"/>
        <v>-22.559229148114-62.9474442779157i</v>
      </c>
      <c r="V288" s="246">
        <f t="shared" si="115"/>
        <v>36.504337670002968</v>
      </c>
      <c r="W288" s="246">
        <f t="shared" si="116"/>
        <v>-109.71676410201349</v>
      </c>
      <c r="X288" s="246" t="str">
        <f t="shared" si="104"/>
        <v>0.9997545251181-0.00277140279175215i</v>
      </c>
      <c r="Y288" s="246" t="str">
        <f t="shared" si="105"/>
        <v>123.042721142385-51.0719606622973i</v>
      </c>
      <c r="Z288" s="246" t="str">
        <f t="shared" si="106"/>
        <v>76.8693213867795-32.1566238595822i</v>
      </c>
      <c r="AA288" s="246" t="str">
        <f t="shared" si="107"/>
        <v>0.176840281823579-3.71991916905785i</v>
      </c>
      <c r="AB288" s="246">
        <f t="shared" si="117"/>
        <v>11.420473748811919</v>
      </c>
      <c r="AC288" s="246">
        <f t="shared" si="118"/>
        <v>-87.278279722436523</v>
      </c>
      <c r="AD288" s="248">
        <f t="shared" si="119"/>
        <v>-9.5554424330129795</v>
      </c>
      <c r="AE288" s="248">
        <f t="shared" si="120"/>
        <v>167.97292236027326</v>
      </c>
      <c r="AF288" s="246">
        <f t="shared" si="108"/>
        <v>1.8650313157989391</v>
      </c>
      <c r="AG288" s="246">
        <f t="shared" si="109"/>
        <v>80.694642637836736</v>
      </c>
      <c r="AH288" s="249" t="str">
        <f t="shared" si="110"/>
        <v>0.325528184038413-0.0693539610035806i</v>
      </c>
    </row>
    <row r="289" spans="9:34" x14ac:dyDescent="0.2">
      <c r="I289" s="246">
        <v>285</v>
      </c>
      <c r="J289" s="246">
        <f t="shared" si="98"/>
        <v>3.7787849201332691</v>
      </c>
      <c r="K289" s="246">
        <f t="shared" si="97"/>
        <v>6008.7608609539793</v>
      </c>
      <c r="L289" s="246">
        <f t="shared" si="111"/>
        <v>37754.157955901806</v>
      </c>
      <c r="M289" s="246">
        <f t="shared" si="99"/>
        <v>2673.2393374231524</v>
      </c>
      <c r="N289" s="246">
        <f>SQRT((ABS(AC289)-171.5+'Small Signal'!C$59)^2)</f>
        <v>13.678705409708755</v>
      </c>
      <c r="O289" s="246">
        <f t="shared" si="112"/>
        <v>80.232197497514278</v>
      </c>
      <c r="P289" s="246">
        <f t="shared" si="113"/>
        <v>1.6839014070385048</v>
      </c>
      <c r="Q289" s="246">
        <f t="shared" si="114"/>
        <v>6008.7608609539793</v>
      </c>
      <c r="R289" s="246" t="str">
        <f t="shared" si="100"/>
        <v>0.161233333333333+0.177444542392738i</v>
      </c>
      <c r="S289" s="246" t="str">
        <f t="shared" si="101"/>
        <v>0.025-2.81778178837052i</v>
      </c>
      <c r="T289" s="246" t="str">
        <f t="shared" si="102"/>
        <v>0.350296132701203-2.7737650304945i</v>
      </c>
      <c r="U289" s="246" t="str">
        <f t="shared" si="103"/>
        <v>-24.4719038301085-60.2155291052008i</v>
      </c>
      <c r="V289" s="246">
        <f t="shared" si="115"/>
        <v>36.258045120458085</v>
      </c>
      <c r="W289" s="246">
        <f t="shared" si="116"/>
        <v>-112.11708029405028</v>
      </c>
      <c r="X289" s="246" t="str">
        <f t="shared" si="104"/>
        <v>0.999743251860735-0.00283432581690415i</v>
      </c>
      <c r="Y289" s="246" t="str">
        <f t="shared" si="105"/>
        <v>120.342920517342-54.6369189445223i</v>
      </c>
      <c r="Z289" s="246" t="str">
        <f t="shared" si="106"/>
        <v>75.1715329895163-34.3860212573833i</v>
      </c>
      <c r="AA289" s="246" t="str">
        <f t="shared" si="107"/>
        <v>0.138730126453157-3.64657802221755i</v>
      </c>
      <c r="AB289" s="246">
        <f t="shared" si="117"/>
        <v>11.243991376396103</v>
      </c>
      <c r="AC289" s="246">
        <f t="shared" si="118"/>
        <v>-87.821294590291245</v>
      </c>
      <c r="AD289" s="248">
        <f t="shared" si="119"/>
        <v>-9.5600899693575982</v>
      </c>
      <c r="AE289" s="248">
        <f t="shared" si="120"/>
        <v>168.05349208780552</v>
      </c>
      <c r="AF289" s="246">
        <f t="shared" si="108"/>
        <v>1.6839014070385048</v>
      </c>
      <c r="AG289" s="246">
        <f t="shared" si="109"/>
        <v>80.232197497514278</v>
      </c>
      <c r="AH289" s="249" t="str">
        <f t="shared" si="110"/>
        <v>0.325451203256866-0.0688592783514504i</v>
      </c>
    </row>
    <row r="290" spans="9:34" x14ac:dyDescent="0.2">
      <c r="I290" s="246">
        <v>286</v>
      </c>
      <c r="J290" s="246">
        <f t="shared" si="98"/>
        <v>3.7885350426600524</v>
      </c>
      <c r="K290" s="246">
        <f t="shared" si="97"/>
        <v>6145.1861441756591</v>
      </c>
      <c r="L290" s="246">
        <f t="shared" si="111"/>
        <v>38611.343290968078</v>
      </c>
      <c r="M290" s="246">
        <f t="shared" si="99"/>
        <v>2533.7166006111456</v>
      </c>
      <c r="N290" s="246">
        <f>SQRT((ABS(AC290)-171.5+'Small Signal'!C$59)^2)</f>
        <v>13.13639584020514</v>
      </c>
      <c r="O290" s="246">
        <f t="shared" si="112"/>
        <v>79.764654046294552</v>
      </c>
      <c r="P290" s="246">
        <f t="shared" si="113"/>
        <v>1.502758020366473</v>
      </c>
      <c r="Q290" s="246">
        <f t="shared" si="114"/>
        <v>6145.1861441756591</v>
      </c>
      <c r="R290" s="246" t="str">
        <f t="shared" si="100"/>
        <v>0.161233333333333+0.18147331346755i</v>
      </c>
      <c r="S290" s="246" t="str">
        <f t="shared" si="101"/>
        <v>0.025-2.7552260464424i</v>
      </c>
      <c r="T290" s="246" t="str">
        <f t="shared" si="102"/>
        <v>0.336197363708758-2.7138033457391i</v>
      </c>
      <c r="U290" s="246" t="str">
        <f t="shared" si="103"/>
        <v>-26.161534565443-57.4175839133822i</v>
      </c>
      <c r="V290" s="246">
        <f t="shared" si="115"/>
        <v>36.000145226406211</v>
      </c>
      <c r="W290" s="246">
        <f t="shared" si="116"/>
        <v>-114.49573136774522</v>
      </c>
      <c r="X290" s="246" t="str">
        <f t="shared" si="104"/>
        <v>0.999731460887135-0.00289867747130704i</v>
      </c>
      <c r="Y290" s="246" t="str">
        <f t="shared" si="105"/>
        <v>117.415628713037-57.9644813736364i</v>
      </c>
      <c r="Z290" s="246" t="str">
        <f t="shared" si="106"/>
        <v>73.3315598278644-36.46635220967i</v>
      </c>
      <c r="AA290" s="246" t="str">
        <f t="shared" si="107"/>
        <v>0.102111814973413-3.57430948604688i</v>
      </c>
      <c r="AB290" s="246">
        <f t="shared" si="117"/>
        <v>11.067386104561356</v>
      </c>
      <c r="AC290" s="246">
        <f t="shared" si="118"/>
        <v>-88.36360415979486</v>
      </c>
      <c r="AD290" s="248">
        <f t="shared" si="119"/>
        <v>-9.564628084194883</v>
      </c>
      <c r="AE290" s="248">
        <f t="shared" si="120"/>
        <v>168.12825820608941</v>
      </c>
      <c r="AF290" s="246">
        <f t="shared" si="108"/>
        <v>1.502758020366473</v>
      </c>
      <c r="AG290" s="246">
        <f t="shared" si="109"/>
        <v>79.764654046294552</v>
      </c>
      <c r="AH290" s="249" t="str">
        <f t="shared" si="110"/>
        <v>0.325370740846664-0.068398788073139i</v>
      </c>
    </row>
    <row r="291" spans="9:34" x14ac:dyDescent="0.2">
      <c r="I291" s="246">
        <v>287</v>
      </c>
      <c r="J291" s="246">
        <f t="shared" si="98"/>
        <v>3.7982851651868361</v>
      </c>
      <c r="K291" s="246">
        <f t="shared" si="97"/>
        <v>6284.7088809876659</v>
      </c>
      <c r="L291" s="246">
        <f t="shared" si="111"/>
        <v>39487.990500922759</v>
      </c>
      <c r="M291" s="246">
        <f t="shared" si="99"/>
        <v>2391.0260843973883</v>
      </c>
      <c r="N291" s="246">
        <f>SQRT((ABS(AC291)-171.5+'Small Signal'!C$59)^2)</f>
        <v>12.594616875403688</v>
      </c>
      <c r="O291" s="246">
        <f t="shared" si="112"/>
        <v>79.29186540151801</v>
      </c>
      <c r="P291" s="246">
        <f t="shared" si="113"/>
        <v>1.3216243671564172</v>
      </c>
      <c r="Q291" s="246">
        <f t="shared" si="114"/>
        <v>6284.7088809876659</v>
      </c>
      <c r="R291" s="246" t="str">
        <f t="shared" si="100"/>
        <v>0.161233333333333+0.185593555354337i</v>
      </c>
      <c r="S291" s="246" t="str">
        <f t="shared" si="101"/>
        <v>0.025-2.69405906387964i</v>
      </c>
      <c r="T291" s="246" t="str">
        <f t="shared" si="102"/>
        <v>0.322701913277564-2.65506928277689i</v>
      </c>
      <c r="U291" s="246" t="str">
        <f t="shared" si="103"/>
        <v>-27.6274171463727-54.5781912134695i</v>
      </c>
      <c r="V291" s="246">
        <f t="shared" si="115"/>
        <v>35.73109949859721</v>
      </c>
      <c r="W291" s="246">
        <f t="shared" si="116"/>
        <v>-116.84848003757945</v>
      </c>
      <c r="X291" s="246" t="str">
        <f t="shared" si="104"/>
        <v>0.999719128421555-0.00296449019112438i</v>
      </c>
      <c r="Y291" s="246" t="str">
        <f t="shared" si="105"/>
        <v>114.291263954203-61.0374127789661i</v>
      </c>
      <c r="Z291" s="246" t="str">
        <f t="shared" si="106"/>
        <v>71.3684831594536-38.3868617685418i</v>
      </c>
      <c r="AA291" s="246" t="str">
        <f t="shared" si="107"/>
        <v>0.0669341237563128-3.5031217674974i</v>
      </c>
      <c r="AB291" s="246">
        <f t="shared" si="117"/>
        <v>10.890689891347012</v>
      </c>
      <c r="AC291" s="246">
        <f t="shared" si="118"/>
        <v>-88.905383124596312</v>
      </c>
      <c r="AD291" s="248">
        <f t="shared" si="119"/>
        <v>-9.5690655241905951</v>
      </c>
      <c r="AE291" s="248">
        <f t="shared" si="120"/>
        <v>168.19724852611432</v>
      </c>
      <c r="AF291" s="246">
        <f t="shared" si="108"/>
        <v>1.3216243671564172</v>
      </c>
      <c r="AG291" s="246">
        <f t="shared" si="109"/>
        <v>79.29186540151801</v>
      </c>
      <c r="AH291" s="249" t="str">
        <f t="shared" si="110"/>
        <v>0.325286639875323-0.0679722225302643i</v>
      </c>
    </row>
    <row r="292" spans="9:34" x14ac:dyDescent="0.2">
      <c r="I292" s="246">
        <v>288</v>
      </c>
      <c r="J292" s="246">
        <f t="shared" si="98"/>
        <v>3.8080352877136194</v>
      </c>
      <c r="K292" s="246">
        <f t="shared" si="97"/>
        <v>6427.3993972014232</v>
      </c>
      <c r="L292" s="246">
        <f t="shared" si="111"/>
        <v>40384.541455870909</v>
      </c>
      <c r="M292" s="246">
        <f t="shared" si="99"/>
        <v>2245.0958662653848</v>
      </c>
      <c r="N292" s="246">
        <f>SQRT((ABS(AC292)-171.5+'Small Signal'!C$59)^2)</f>
        <v>12.05319307201033</v>
      </c>
      <c r="O292" s="246">
        <f t="shared" si="112"/>
        <v>78.813681917485113</v>
      </c>
      <c r="P292" s="246">
        <f t="shared" si="113"/>
        <v>1.140523753910939</v>
      </c>
      <c r="Q292" s="246">
        <f t="shared" si="114"/>
        <v>6427.3993972014232</v>
      </c>
      <c r="R292" s="246" t="str">
        <f t="shared" si="100"/>
        <v>0.161233333333333+0.189807344842593i</v>
      </c>
      <c r="S292" s="246" t="str">
        <f t="shared" si="101"/>
        <v>0.025-2.63425000973829i</v>
      </c>
      <c r="T292" s="246" t="str">
        <f t="shared" si="102"/>
        <v>0.309784617204992-2.59754214788054i</v>
      </c>
      <c r="U292" s="246" t="str">
        <f t="shared" si="103"/>
        <v>-28.8721690841189-51.7210442325556i</v>
      </c>
      <c r="V292" s="246">
        <f t="shared" si="115"/>
        <v>35.451423458248101</v>
      </c>
      <c r="W292" s="246">
        <f t="shared" si="116"/>
        <v>-119.17150669004339</v>
      </c>
      <c r="X292" s="246" t="str">
        <f t="shared" si="104"/>
        <v>0.999706229596365-0.00303179714896324i</v>
      </c>
      <c r="Y292" s="246" t="str">
        <f t="shared" si="105"/>
        <v>111.001367941928-63.8432336644863i</v>
      </c>
      <c r="Z292" s="246" t="str">
        <f t="shared" si="106"/>
        <v>69.3020813741048-40.1397759252716i</v>
      </c>
      <c r="AA292" s="246" t="str">
        <f t="shared" si="107"/>
        <v>0.0331469889371494-3.43302122093873i</v>
      </c>
      <c r="AB292" s="246">
        <f t="shared" si="117"/>
        <v>10.713934614563103</v>
      </c>
      <c r="AC292" s="246">
        <f t="shared" si="118"/>
        <v>-89.44680692798967</v>
      </c>
      <c r="AD292" s="248">
        <f t="shared" si="119"/>
        <v>-9.5734108606521637</v>
      </c>
      <c r="AE292" s="248">
        <f t="shared" si="120"/>
        <v>168.26048884547478</v>
      </c>
      <c r="AF292" s="246">
        <f t="shared" si="108"/>
        <v>1.140523753910939</v>
      </c>
      <c r="AG292" s="246">
        <f t="shared" si="109"/>
        <v>78.813681917485113</v>
      </c>
      <c r="AH292" s="249" t="str">
        <f t="shared" si="110"/>
        <v>0.325198736566911-0.067579328756677i</v>
      </c>
    </row>
    <row r="293" spans="9:34" x14ac:dyDescent="0.2">
      <c r="I293" s="246">
        <v>289</v>
      </c>
      <c r="J293" s="246">
        <f t="shared" si="98"/>
        <v>3.8177854102404027</v>
      </c>
      <c r="K293" s="246">
        <f t="shared" si="97"/>
        <v>6573.3296153334268</v>
      </c>
      <c r="L293" s="246">
        <f t="shared" si="111"/>
        <v>41301.448058311427</v>
      </c>
      <c r="M293" s="246">
        <f t="shared" si="99"/>
        <v>2095.8523907413919</v>
      </c>
      <c r="N293" s="246">
        <f>SQRT((ABS(AC293)-171.5+'Small Signal'!C$59)^2)</f>
        <v>11.511948484801536</v>
      </c>
      <c r="O293" s="246">
        <f t="shared" si="112"/>
        <v>78.329951409676625</v>
      </c>
      <c r="P293" s="246">
        <f t="shared" si="113"/>
        <v>0.95947959772021285</v>
      </c>
      <c r="Q293" s="246">
        <f t="shared" si="114"/>
        <v>6573.3296153334268</v>
      </c>
      <c r="R293" s="246" t="str">
        <f t="shared" si="100"/>
        <v>0.161233333333333+0.194116805874064i</v>
      </c>
      <c r="S293" s="246" t="str">
        <f t="shared" si="101"/>
        <v>0.025-2.5757687375321i</v>
      </c>
      <c r="T293" s="246" t="str">
        <f t="shared" si="102"/>
        <v>0.297421305344211-2.54120129867175i</v>
      </c>
      <c r="U293" s="246" t="str">
        <f t="shared" si="103"/>
        <v>-29.9014031249203-48.8684507889217i</v>
      </c>
      <c r="V293" s="246">
        <f t="shared" si="115"/>
        <v>35.161676069631035</v>
      </c>
      <c r="W293" s="246">
        <f t="shared" si="116"/>
        <v>-121.46143842731858</v>
      </c>
      <c r="X293" s="246" t="str">
        <f t="shared" si="104"/>
        <v>0.999692738401907-0.00310063227059468i</v>
      </c>
      <c r="Y293" s="246" t="str">
        <f t="shared" si="105"/>
        <v>107.57776510611-66.3741465646662i</v>
      </c>
      <c r="Z293" s="246" t="str">
        <f t="shared" si="106"/>
        <v>67.1523033830557-41.7202542878934i</v>
      </c>
      <c r="AA293" s="246" t="str">
        <f t="shared" si="107"/>
        <v>0.000701532515441674-3.36401245939942i</v>
      </c>
      <c r="AB293" s="246">
        <f t="shared" si="117"/>
        <v>10.537152101652191</v>
      </c>
      <c r="AC293" s="246">
        <f t="shared" si="118"/>
        <v>-89.988051515198464</v>
      </c>
      <c r="AD293" s="248">
        <f t="shared" si="119"/>
        <v>-9.5776725039319786</v>
      </c>
      <c r="AE293" s="248">
        <f t="shared" si="120"/>
        <v>168.31800292487509</v>
      </c>
      <c r="AF293" s="246">
        <f t="shared" si="108"/>
        <v>0.95947959772021285</v>
      </c>
      <c r="AG293" s="246">
        <f t="shared" si="109"/>
        <v>78.329951409676625</v>
      </c>
      <c r="AH293" s="249" t="str">
        <f t="shared" si="110"/>
        <v>0.325106860017354-0.0672198681674739i</v>
      </c>
    </row>
    <row r="294" spans="9:34" x14ac:dyDescent="0.2">
      <c r="I294" s="246">
        <v>290</v>
      </c>
      <c r="J294" s="246">
        <f t="shared" si="98"/>
        <v>3.8275355327671861</v>
      </c>
      <c r="K294" s="246">
        <f t="shared" si="97"/>
        <v>6722.5730908574196</v>
      </c>
      <c r="L294" s="246">
        <f t="shared" si="111"/>
        <v>42239.172470916194</v>
      </c>
      <c r="M294" s="246">
        <f t="shared" si="99"/>
        <v>1943.2204323190927</v>
      </c>
      <c r="N294" s="246">
        <f>SQRT((ABS(AC294)-171.5+'Small Signal'!C$59)^2)</f>
        <v>10.970706913094318</v>
      </c>
      <c r="O294" s="246">
        <f t="shared" si="112"/>
        <v>77.840519380106571</v>
      </c>
      <c r="P294" s="246">
        <f t="shared" si="113"/>
        <v>0.77851544213089952</v>
      </c>
      <c r="Q294" s="246">
        <f t="shared" si="114"/>
        <v>6722.5730908574196</v>
      </c>
      <c r="R294" s="246" t="str">
        <f t="shared" si="100"/>
        <v>0.161233333333333+0.198524110613306i</v>
      </c>
      <c r="S294" s="246" t="str">
        <f t="shared" si="101"/>
        <v>0.025-2.51858577003738i</v>
      </c>
      <c r="T294" s="246" t="str">
        <f t="shared" si="102"/>
        <v>0.28558876710075-2.48602616757522i</v>
      </c>
      <c r="U294" s="246" t="str">
        <f t="shared" si="103"/>
        <v>-30.723328453521-46.0409350415891i</v>
      </c>
      <c r="V294" s="246">
        <f t="shared" si="115"/>
        <v>34.862449056012132</v>
      </c>
      <c r="W294" s="246">
        <f t="shared" si="116"/>
        <v>-123.7153651498011</v>
      </c>
      <c r="X294" s="246" t="str">
        <f t="shared" si="104"/>
        <v>0.999678627634049-0.00317103025205387i</v>
      </c>
      <c r="Y294" s="246" t="str">
        <f t="shared" si="105"/>
        <v>104.051795422469-68.6268059352837i</v>
      </c>
      <c r="Z294" s="246" t="str">
        <f t="shared" si="106"/>
        <v>64.9387883157462-43.1262448398148i</v>
      </c>
      <c r="AA294" s="246" t="str">
        <f t="shared" si="107"/>
        <v>-0.0304499174950658-3.2960984622008i</v>
      </c>
      <c r="AB294" s="246">
        <f t="shared" si="117"/>
        <v>10.360374159819287</v>
      </c>
      <c r="AC294" s="246">
        <f t="shared" si="118"/>
        <v>-90.529293086905682</v>
      </c>
      <c r="AD294" s="248">
        <f t="shared" si="119"/>
        <v>-9.5818587176883874</v>
      </c>
      <c r="AE294" s="248">
        <f t="shared" si="120"/>
        <v>168.36981246701225</v>
      </c>
      <c r="AF294" s="246">
        <f t="shared" si="108"/>
        <v>0.77851544213089952</v>
      </c>
      <c r="AG294" s="246">
        <f t="shared" si="109"/>
        <v>77.840519380106571</v>
      </c>
      <c r="AH294" s="249" t="str">
        <f t="shared" si="110"/>
        <v>0.325010831899514-0.0668936162645228i</v>
      </c>
    </row>
    <row r="295" spans="9:34" x14ac:dyDescent="0.2">
      <c r="I295" s="246">
        <v>291</v>
      </c>
      <c r="J295" s="246">
        <f t="shared" si="98"/>
        <v>3.8372856552939694</v>
      </c>
      <c r="K295" s="246">
        <f t="shared" si="97"/>
        <v>6875.2050492797189</v>
      </c>
      <c r="L295" s="246">
        <f t="shared" si="111"/>
        <v>43198.187349481232</v>
      </c>
      <c r="M295" s="246">
        <f t="shared" si="99"/>
        <v>1787.1230575425252</v>
      </c>
      <c r="N295" s="246">
        <f>SQRT((ABS(AC295)-171.5+'Small Signal'!C$59)^2)</f>
        <v>10.429292146566723</v>
      </c>
      <c r="O295" s="246">
        <f t="shared" si="112"/>
        <v>77.345229244285974</v>
      </c>
      <c r="P295" s="246">
        <f t="shared" si="113"/>
        <v>0.59765497329349593</v>
      </c>
      <c r="Q295" s="246">
        <f t="shared" si="114"/>
        <v>6875.2050492797189</v>
      </c>
      <c r="R295" s="246" t="str">
        <f t="shared" si="100"/>
        <v>0.161233333333333+0.203031480542562i</v>
      </c>
      <c r="S295" s="246" t="str">
        <f t="shared" si="101"/>
        <v>0.025-2.46267228443514i</v>
      </c>
      <c r="T295" s="246" t="str">
        <f t="shared" si="102"/>
        <v>0.274264717704991-2.43199628335288i</v>
      </c>
      <c r="U295" s="246" t="str">
        <f t="shared" si="103"/>
        <v>-31.3483074069739-43.2569442867095i</v>
      </c>
      <c r="V295" s="246">
        <f t="shared" si="115"/>
        <v>34.554356480288092</v>
      </c>
      <c r="W295" s="246">
        <f t="shared" si="116"/>
        <v>-125.93084347954149</v>
      </c>
      <c r="X295" s="246" t="str">
        <f t="shared" si="104"/>
        <v>0.999663868839327-0.0032430265771285i</v>
      </c>
      <c r="Y295" s="246" t="str">
        <f t="shared" si="105"/>
        <v>100.453648540052-70.6019615211359i</v>
      </c>
      <c r="Z295" s="246" t="str">
        <f t="shared" si="106"/>
        <v>62.6804488642999-44.3582595766825i</v>
      </c>
      <c r="AA295" s="246" t="str">
        <f t="shared" si="107"/>
        <v>-0.0603538123884324-3.22928067886181i</v>
      </c>
      <c r="AB295" s="246">
        <f t="shared" si="117"/>
        <v>10.183632606307922</v>
      </c>
      <c r="AC295" s="246">
        <f t="shared" si="118"/>
        <v>-91.070707853433277</v>
      </c>
      <c r="AD295" s="248">
        <f t="shared" si="119"/>
        <v>-9.5859776330144264</v>
      </c>
      <c r="AE295" s="248">
        <f t="shared" si="120"/>
        <v>168.41593709771925</v>
      </c>
      <c r="AF295" s="246">
        <f t="shared" si="108"/>
        <v>0.59765497329349593</v>
      </c>
      <c r="AG295" s="246">
        <f t="shared" si="109"/>
        <v>77.345229244285974</v>
      </c>
      <c r="AH295" s="249" t="str">
        <f t="shared" si="110"/>
        <v>0.324910466157796-0.0666003623376764i</v>
      </c>
    </row>
    <row r="296" spans="9:34" x14ac:dyDescent="0.2">
      <c r="I296" s="246">
        <v>292</v>
      </c>
      <c r="J296" s="246">
        <f t="shared" si="98"/>
        <v>3.8470357778207527</v>
      </c>
      <c r="K296" s="246">
        <f t="shared" si="97"/>
        <v>7031.3024240562863</v>
      </c>
      <c r="L296" s="246">
        <f t="shared" si="111"/>
        <v>44178.976081166664</v>
      </c>
      <c r="M296" s="246">
        <f t="shared" si="99"/>
        <v>1627.4815862280984</v>
      </c>
      <c r="N296" s="246">
        <f>SQRT((ABS(AC296)-171.5+'Small Signal'!C$59)^2)</f>
        <v>9.8875282110503235</v>
      </c>
      <c r="O296" s="246">
        <f t="shared" si="112"/>
        <v>76.843922560312507</v>
      </c>
      <c r="P296" s="246">
        <f t="shared" si="113"/>
        <v>0.41692203625819957</v>
      </c>
      <c r="Q296" s="246">
        <f t="shared" si="114"/>
        <v>7031.3024240562863</v>
      </c>
      <c r="R296" s="246" t="str">
        <f t="shared" si="100"/>
        <v>0.161233333333333+0.207641187581483i</v>
      </c>
      <c r="S296" s="246" t="str">
        <f t="shared" si="101"/>
        <v>0.025-2.40800009778305i</v>
      </c>
      <c r="T296" s="246" t="str">
        <f t="shared" si="102"/>
        <v>0.263427765284385-2.37909129083162i</v>
      </c>
      <c r="U296" s="246" t="str">
        <f t="shared" si="103"/>
        <v>-31.7883942829705-40.5326604214657i</v>
      </c>
      <c r="V296" s="246">
        <f t="shared" si="115"/>
        <v>34.238024910638075</v>
      </c>
      <c r="W296" s="246">
        <f t="shared" si="116"/>
        <v>-128.10588979706063</v>
      </c>
      <c r="X296" s="246" t="str">
        <f t="shared" si="104"/>
        <v>0.999648432257575-0.00331665753524421i</v>
      </c>
      <c r="Y296" s="246" t="str">
        <f t="shared" si="105"/>
        <v>96.8118166884875-72.3040086912118i</v>
      </c>
      <c r="Z296" s="246" t="str">
        <f t="shared" si="106"/>
        <v>60.3951291726747-45.4190920274i</v>
      </c>
      <c r="AA296" s="246" t="str">
        <f t="shared" si="107"/>
        <v>-0.0890553731010443-3.16355912918673i</v>
      </c>
      <c r="AB296" s="246">
        <f t="shared" si="117"/>
        <v>10.006959298700114</v>
      </c>
      <c r="AC296" s="246">
        <f t="shared" si="118"/>
        <v>-91.612471788949676</v>
      </c>
      <c r="AD296" s="248">
        <f t="shared" si="119"/>
        <v>-9.5900372624419141</v>
      </c>
      <c r="AE296" s="248">
        <f t="shared" si="120"/>
        <v>168.45639434926218</v>
      </c>
      <c r="AF296" s="246">
        <f t="shared" si="108"/>
        <v>0.41692203625819957</v>
      </c>
      <c r="AG296" s="246">
        <f t="shared" si="109"/>
        <v>76.843922560312507</v>
      </c>
      <c r="AH296" s="249" t="str">
        <f t="shared" si="110"/>
        <v>0.324805568692169-0.06633990916083i</v>
      </c>
    </row>
    <row r="297" spans="9:34" x14ac:dyDescent="0.2">
      <c r="I297" s="246">
        <v>293</v>
      </c>
      <c r="J297" s="246">
        <f t="shared" si="98"/>
        <v>3.8567859003475364</v>
      </c>
      <c r="K297" s="246">
        <f t="shared" si="97"/>
        <v>7190.9438953707131</v>
      </c>
      <c r="L297" s="246">
        <f t="shared" si="111"/>
        <v>45182.033028146005</v>
      </c>
      <c r="M297" s="246">
        <f t="shared" si="99"/>
        <v>1464.2155518062518</v>
      </c>
      <c r="N297" s="246">
        <f>SQRT((ABS(AC297)-171.5+'Small Signal'!C$59)^2)</f>
        <v>9.3452396149064043</v>
      </c>
      <c r="O297" s="246">
        <f t="shared" si="112"/>
        <v>76.336439260601935</v>
      </c>
      <c r="P297" s="246">
        <f t="shared" si="113"/>
        <v>0.23634065128601023</v>
      </c>
      <c r="Q297" s="246">
        <f t="shared" si="114"/>
        <v>7190.9438953707131</v>
      </c>
      <c r="R297" s="246" t="str">
        <f t="shared" si="100"/>
        <v>0.161233333333333+0.212355555232286i</v>
      </c>
      <c r="S297" s="246" t="str">
        <f t="shared" si="101"/>
        <v>0.025-2.35454165280994i</v>
      </c>
      <c r="T297" s="246" t="str">
        <f t="shared" si="102"/>
        <v>0.253057378753832-2.32729096893285i</v>
      </c>
      <c r="U297" s="246" t="str">
        <f t="shared" si="103"/>
        <v>-32.0568797313287-37.8819094353854i</v>
      </c>
      <c r="V297" s="246">
        <f t="shared" si="115"/>
        <v>33.914084420058025</v>
      </c>
      <c r="W297" s="246">
        <f t="shared" si="116"/>
        <v>-130.23896398587033</v>
      </c>
      <c r="X297" s="246" t="str">
        <f t="shared" si="104"/>
        <v>0.99963228676191-0.0033919602397561i</v>
      </c>
      <c r="Y297" s="246" t="str">
        <f t="shared" si="105"/>
        <v>93.1526739180905-73.7404795878202i</v>
      </c>
      <c r="Z297" s="246" t="str">
        <f t="shared" si="106"/>
        <v>58.0993419546481-46.3134978741966i</v>
      </c>
      <c r="AA297" s="246" t="str">
        <f t="shared" si="107"/>
        <v>-0.11659858512105-3.09893249947961i</v>
      </c>
      <c r="AB297" s="246">
        <f t="shared" si="117"/>
        <v>9.8303861651207747</v>
      </c>
      <c r="AC297" s="246">
        <f t="shared" si="118"/>
        <v>-92.154760385093596</v>
      </c>
      <c r="AD297" s="248">
        <f t="shared" si="119"/>
        <v>-9.5940455138347644</v>
      </c>
      <c r="AE297" s="248">
        <f t="shared" si="120"/>
        <v>168.49119964569553</v>
      </c>
      <c r="AF297" s="246">
        <f t="shared" si="108"/>
        <v>0.23634065128601023</v>
      </c>
      <c r="AG297" s="246">
        <f t="shared" si="109"/>
        <v>76.336439260601935</v>
      </c>
      <c r="AH297" s="249" t="str">
        <f t="shared" si="110"/>
        <v>0.324695937031296-0.0661120726818979i</v>
      </c>
    </row>
    <row r="298" spans="9:34" x14ac:dyDescent="0.2">
      <c r="I298" s="246">
        <v>294</v>
      </c>
      <c r="J298" s="246">
        <f t="shared" si="98"/>
        <v>3.8665360228743197</v>
      </c>
      <c r="K298" s="246">
        <f t="shared" si="97"/>
        <v>7354.2099297925597</v>
      </c>
      <c r="L298" s="246">
        <f t="shared" si="111"/>
        <v>46207.863776786828</v>
      </c>
      <c r="M298" s="246">
        <f t="shared" si="99"/>
        <v>1297.2426607625521</v>
      </c>
      <c r="N298" s="246">
        <f>SQRT((ABS(AC298)-171.5+'Small Signal'!C$59)^2)</f>
        <v>8.8022515965879933</v>
      </c>
      <c r="O298" s="246">
        <f t="shared" si="112"/>
        <v>75.822617886777394</v>
      </c>
      <c r="P298" s="246">
        <f t="shared" si="113"/>
        <v>5.5935030042661538E-2</v>
      </c>
      <c r="Q298" s="246">
        <f t="shared" si="114"/>
        <v>7354.2099297925597</v>
      </c>
      <c r="R298" s="246" t="str">
        <f t="shared" si="100"/>
        <v>0.161233333333333+0.217176959750898i</v>
      </c>
      <c r="S298" s="246" t="str">
        <f t="shared" si="101"/>
        <v>0.025-2.30227000402575i</v>
      </c>
      <c r="T298" s="246" t="str">
        <f t="shared" si="102"/>
        <v>0.243133856537863-2.27657524710709i</v>
      </c>
      <c r="U298" s="246" t="str">
        <f t="shared" si="103"/>
        <v>-32.167859910875-35.3161576630775i</v>
      </c>
      <c r="V298" s="246">
        <f t="shared" si="115"/>
        <v>33.583160594043591</v>
      </c>
      <c r="W298" s="246">
        <f t="shared" si="116"/>
        <v>-132.32894565358447</v>
      </c>
      <c r="X298" s="246" t="str">
        <f t="shared" si="104"/>
        <v>0.999615399795972-0.00346897264665557i</v>
      </c>
      <c r="Y298" s="246" t="str">
        <f t="shared" si="105"/>
        <v>89.5001805363226-74.9215066749673i</v>
      </c>
      <c r="Z298" s="246" t="str">
        <f t="shared" si="106"/>
        <v>55.8080840841112-47.0478584577935i</v>
      </c>
      <c r="AA298" s="246" t="str">
        <f t="shared" si="107"/>
        <v>-0.143026197557354-3.03539823485544i</v>
      </c>
      <c r="AB298" s="246">
        <f t="shared" si="117"/>
        <v>9.6539452342234675</v>
      </c>
      <c r="AC298" s="246">
        <f t="shared" si="118"/>
        <v>-92.697748403412007</v>
      </c>
      <c r="AD298" s="248">
        <f t="shared" si="119"/>
        <v>-9.598010204180806</v>
      </c>
      <c r="AE298" s="248">
        <f t="shared" si="120"/>
        <v>168.5203662901894</v>
      </c>
      <c r="AF298" s="246">
        <f t="shared" si="108"/>
        <v>5.5935030042661538E-2</v>
      </c>
      <c r="AG298" s="246">
        <f t="shared" si="109"/>
        <v>75.822617886777394</v>
      </c>
      <c r="AH298" s="249" t="str">
        <f t="shared" si="110"/>
        <v>0.324581359994676-0.0659166817057819i</v>
      </c>
    </row>
    <row r="299" spans="9:34" x14ac:dyDescent="0.2">
      <c r="I299" s="246">
        <v>295</v>
      </c>
      <c r="J299" s="246">
        <f t="shared" si="98"/>
        <v>3.8762861454011031</v>
      </c>
      <c r="K299" s="246">
        <f t="shared" si="97"/>
        <v>7521.1828208362595</v>
      </c>
      <c r="L299" s="246">
        <f t="shared" si="111"/>
        <v>47256.9853924899</v>
      </c>
      <c r="M299" s="246">
        <f t="shared" si="99"/>
        <v>1126.4787511581171</v>
      </c>
      <c r="N299" s="246">
        <f>SQRT((ABS(AC299)-171.5+'Small Signal'!C$59)^2)</f>
        <v>8.2583903739935351</v>
      </c>
      <c r="O299" s="246">
        <f t="shared" si="112"/>
        <v>75.302295828249385</v>
      </c>
      <c r="P299" s="246">
        <f t="shared" si="113"/>
        <v>0.12427040845916437</v>
      </c>
      <c r="Q299" s="246">
        <f t="shared" si="114"/>
        <v>7521.1828208362595</v>
      </c>
      <c r="R299" s="246" t="str">
        <f t="shared" si="100"/>
        <v>0.161233333333333+0.222107831344703i</v>
      </c>
      <c r="S299" s="246" t="str">
        <f t="shared" si="101"/>
        <v>0.025-2.25115880413969i</v>
      </c>
      <c r="T299" s="246" t="str">
        <f t="shared" si="102"/>
        <v>0.23363829613388-2.22692422027166i</v>
      </c>
      <c r="U299" s="246" t="str">
        <f t="shared" si="103"/>
        <v>-32.1358447194555-32.8445806286386i</v>
      </c>
      <c r="V299" s="246">
        <f t="shared" si="115"/>
        <v>33.245867649061154</v>
      </c>
      <c r="W299" s="246">
        <f t="shared" si="116"/>
        <v>-134.37510464040912</v>
      </c>
      <c r="X299" s="246" t="str">
        <f t="shared" si="104"/>
        <v>0.999597737308271-0.00354773357370188i</v>
      </c>
      <c r="Y299" s="246" t="str">
        <f t="shared" si="105"/>
        <v>85.8757046838797-75.8592861374924i</v>
      </c>
      <c r="Z299" s="246" t="str">
        <f t="shared" si="106"/>
        <v>53.5347255715627-47.6298443542097i</v>
      </c>
      <c r="AA299" s="246" t="str">
        <f t="shared" si="107"/>
        <v>-0.168379725974199-2.97295262764345i</v>
      </c>
      <c r="AB299" s="246">
        <f t="shared" si="117"/>
        <v>9.4776686648359902</v>
      </c>
      <c r="AC299" s="246">
        <f t="shared" si="118"/>
        <v>-93.241609626006465</v>
      </c>
      <c r="AD299" s="248">
        <f t="shared" si="119"/>
        <v>-9.6019390732951546</v>
      </c>
      <c r="AE299" s="248">
        <f t="shared" si="120"/>
        <v>168.54390545425585</v>
      </c>
      <c r="AF299" s="246">
        <f t="shared" si="108"/>
        <v>-0.12427040845916437</v>
      </c>
      <c r="AG299" s="246">
        <f t="shared" si="109"/>
        <v>75.302295828249385</v>
      </c>
      <c r="AH299" s="249" t="str">
        <f t="shared" si="110"/>
        <v>0.3244616173436-0.0657535775693194i</v>
      </c>
    </row>
    <row r="300" spans="9:34" x14ac:dyDescent="0.2">
      <c r="I300" s="246">
        <v>296</v>
      </c>
      <c r="J300" s="246">
        <f t="shared" si="98"/>
        <v>3.8860362679278864</v>
      </c>
      <c r="K300" s="246">
        <f t="shared" si="97"/>
        <v>7691.9467304406944</v>
      </c>
      <c r="L300" s="246">
        <f t="shared" si="111"/>
        <v>48329.92668031303</v>
      </c>
      <c r="M300" s="246">
        <f t="shared" si="99"/>
        <v>951.83775020807479</v>
      </c>
      <c r="N300" s="246">
        <f>SQRT((ABS(AC300)-171.5+'Small Signal'!C$59)^2)</f>
        <v>7.7134833961908384</v>
      </c>
      <c r="O300" s="246">
        <f t="shared" si="112"/>
        <v>74.775309564999105</v>
      </c>
      <c r="P300" s="246">
        <f t="shared" si="113"/>
        <v>0.30425102230653067</v>
      </c>
      <c r="Q300" s="246">
        <f t="shared" si="114"/>
        <v>7691.9467304406944</v>
      </c>
      <c r="R300" s="246" t="str">
        <f t="shared" si="100"/>
        <v>0.161233333333333+0.227150655397471i</v>
      </c>
      <c r="S300" s="246" t="str">
        <f t="shared" si="101"/>
        <v>0.025-2.20118229078007i</v>
      </c>
      <c r="T300" s="246" t="str">
        <f t="shared" si="102"/>
        <v>0.224552564521921-2.17831816234534i</v>
      </c>
      <c r="U300" s="246" t="str">
        <f t="shared" si="103"/>
        <v>-31.9754145187214-30.4741890109729i</v>
      </c>
      <c r="V300" s="246">
        <f t="shared" si="115"/>
        <v>32.902802700363864</v>
      </c>
      <c r="W300" s="246">
        <f t="shared" si="116"/>
        <v>-136.37706755851099</v>
      </c>
      <c r="X300" s="246" t="str">
        <f t="shared" si="104"/>
        <v>0.999579263683528-0.003628282719988i</v>
      </c>
      <c r="Y300" s="246" t="str">
        <f t="shared" si="105"/>
        <v>82.2979480693059-76.5675633524332i</v>
      </c>
      <c r="Z300" s="246" t="str">
        <f t="shared" si="106"/>
        <v>51.2909637630357-48.0680929262755i</v>
      </c>
      <c r="AA300" s="246" t="str">
        <f t="shared" si="107"/>
        <v>-0.192699458620372-2.91159090189873i</v>
      </c>
      <c r="AB300" s="246">
        <f t="shared" si="117"/>
        <v>9.3015887751410116</v>
      </c>
      <c r="AC300" s="246">
        <f t="shared" si="118"/>
        <v>-93.786516603809162</v>
      </c>
      <c r="AD300" s="248">
        <f t="shared" si="119"/>
        <v>-9.6058397974475422</v>
      </c>
      <c r="AE300" s="248">
        <f t="shared" si="120"/>
        <v>168.56182616880827</v>
      </c>
      <c r="AF300" s="246">
        <f t="shared" si="108"/>
        <v>-0.30425102230653067</v>
      </c>
      <c r="AG300" s="246">
        <f t="shared" si="109"/>
        <v>74.775309564999105</v>
      </c>
      <c r="AH300" s="249" t="str">
        <f t="shared" si="110"/>
        <v>0.324336479420787-0.0656226138071782i</v>
      </c>
    </row>
    <row r="301" spans="9:34" x14ac:dyDescent="0.2">
      <c r="I301" s="246">
        <v>297</v>
      </c>
      <c r="J301" s="246">
        <f t="shared" si="98"/>
        <v>3.8957863904546697</v>
      </c>
      <c r="K301" s="246">
        <f t="shared" si="97"/>
        <v>7866.5877313907367</v>
      </c>
      <c r="L301" s="246">
        <f t="shared" si="111"/>
        <v>49427.228451513467</v>
      </c>
      <c r="M301" s="246">
        <f t="shared" si="99"/>
        <v>773.23163089701484</v>
      </c>
      <c r="N301" s="246">
        <f>SQRT((ABS(AC301)-171.5+'Small Signal'!C$59)^2)</f>
        <v>7.1673595980747677</v>
      </c>
      <c r="O301" s="246">
        <f t="shared" si="112"/>
        <v>74.241494915076458</v>
      </c>
      <c r="P301" s="246">
        <f t="shared" si="113"/>
        <v>0.48398193165960102</v>
      </c>
      <c r="Q301" s="246">
        <f t="shared" si="114"/>
        <v>7866.5877313907367</v>
      </c>
      <c r="R301" s="246" t="str">
        <f t="shared" si="100"/>
        <v>0.161233333333333+0.232307973722113i</v>
      </c>
      <c r="S301" s="246" t="str">
        <f t="shared" si="101"/>
        <v>0.025-2.15231527350886i</v>
      </c>
      <c r="T301" s="246" t="str">
        <f t="shared" si="102"/>
        <v>0.215859269422867-2.13073753846848i</v>
      </c>
      <c r="U301" s="246" t="str">
        <f t="shared" si="103"/>
        <v>-31.700930299799-28.2099963024231i</v>
      </c>
      <c r="V301" s="246">
        <f t="shared" si="115"/>
        <v>32.554541164033225</v>
      </c>
      <c r="W301" s="246">
        <f t="shared" si="116"/>
        <v>-138.33478195703645</v>
      </c>
      <c r="X301" s="246" t="str">
        <f t="shared" si="104"/>
        <v>0.999559941670857-0.00371066068595087i</v>
      </c>
      <c r="Y301" s="246" t="str">
        <f t="shared" si="105"/>
        <v>78.7829599140747-77.0611570299625i</v>
      </c>
      <c r="Z301" s="246" t="str">
        <f t="shared" si="106"/>
        <v>49.0868327468705-48.3719102253208i</v>
      </c>
      <c r="AA301" s="246" t="str">
        <f t="shared" si="107"/>
        <v>-0.216024465703831-2.85130729405769i</v>
      </c>
      <c r="AB301" s="246">
        <f t="shared" si="117"/>
        <v>9.1257380712665874</v>
      </c>
      <c r="AC301" s="246">
        <f t="shared" si="118"/>
        <v>-94.332640401925232</v>
      </c>
      <c r="AD301" s="248">
        <f t="shared" si="119"/>
        <v>-9.6097200029261884</v>
      </c>
      <c r="AE301" s="248">
        <f t="shared" si="120"/>
        <v>168.57413531700169</v>
      </c>
      <c r="AF301" s="246">
        <f t="shared" si="108"/>
        <v>-0.48398193165960102</v>
      </c>
      <c r="AG301" s="246">
        <f t="shared" si="109"/>
        <v>74.241494915076458</v>
      </c>
      <c r="AH301" s="249" t="str">
        <f t="shared" si="110"/>
        <v>0.324205706778598-0.0655236558075959i</v>
      </c>
    </row>
    <row r="302" spans="9:34" x14ac:dyDescent="0.2">
      <c r="I302" s="246">
        <v>298</v>
      </c>
      <c r="J302" s="246">
        <f t="shared" si="98"/>
        <v>3.905536512981453</v>
      </c>
      <c r="K302" s="246">
        <f t="shared" si="97"/>
        <v>8045.1938507017967</v>
      </c>
      <c r="L302" s="246">
        <f t="shared" si="111"/>
        <v>50549.443796141088</v>
      </c>
      <c r="M302" s="246">
        <f t="shared" si="99"/>
        <v>590.57036760935443</v>
      </c>
      <c r="N302" s="246">
        <f>SQRT((ABS(AC302)-171.5+'Small Signal'!C$59)^2)</f>
        <v>6.6198496584997315</v>
      </c>
      <c r="O302" s="246">
        <f t="shared" si="112"/>
        <v>73.700687287309336</v>
      </c>
      <c r="P302" s="246">
        <f t="shared" si="113"/>
        <v>0.66343800439336142</v>
      </c>
      <c r="Q302" s="246">
        <f t="shared" si="114"/>
        <v>8045.1938507017967</v>
      </c>
      <c r="R302" s="246" t="str">
        <f t="shared" si="100"/>
        <v>0.161233333333333+0.237582385841863i</v>
      </c>
      <c r="S302" s="246" t="str">
        <f t="shared" si="101"/>
        <v>0.025-2.10453312112458i</v>
      </c>
      <c r="T302" s="246" t="str">
        <f t="shared" si="102"/>
        <v>0.207541731403972-2.08416301599312i</v>
      </c>
      <c r="U302" s="246" t="str">
        <f t="shared" si="103"/>
        <v>-31.3262984434251-26.0552137917578i</v>
      </c>
      <c r="V302" s="246">
        <f t="shared" si="115"/>
        <v>32.201633236200003</v>
      </c>
      <c r="W302" s="246">
        <f t="shared" si="116"/>
        <v>-140.24847950537682</v>
      </c>
      <c r="X302" s="246" t="str">
        <f t="shared" si="104"/>
        <v>0.999539732308655-0.00379490899383578i</v>
      </c>
      <c r="Y302" s="246" t="str">
        <f t="shared" si="105"/>
        <v>75.3442219236501-77.355533165619i</v>
      </c>
      <c r="Z302" s="246" t="str">
        <f t="shared" si="106"/>
        <v>46.9307571868359-48.5510041989078i</v>
      </c>
      <c r="AA302" s="246" t="str">
        <f t="shared" si="107"/>
        <v>-0.238392611384245-2.79209512978864i</v>
      </c>
      <c r="AB302" s="246">
        <f t="shared" si="117"/>
        <v>8.9501492751575586</v>
      </c>
      <c r="AC302" s="246">
        <f t="shared" si="118"/>
        <v>-94.880150341500268</v>
      </c>
      <c r="AD302" s="248">
        <f t="shared" si="119"/>
        <v>-9.6135872795509201</v>
      </c>
      <c r="AE302" s="248">
        <f t="shared" si="120"/>
        <v>168.5808376288096</v>
      </c>
      <c r="AF302" s="246">
        <f t="shared" si="108"/>
        <v>-0.66343800439336142</v>
      </c>
      <c r="AG302" s="246">
        <f t="shared" si="109"/>
        <v>73.700687287309336</v>
      </c>
      <c r="AH302" s="249" t="str">
        <f t="shared" si="110"/>
        <v>0.324069049795763-0.0654565804568255i</v>
      </c>
    </row>
    <row r="303" spans="9:34" x14ac:dyDescent="0.2">
      <c r="I303" s="246">
        <v>299</v>
      </c>
      <c r="J303" s="246">
        <f t="shared" si="98"/>
        <v>3.9152866355082363</v>
      </c>
      <c r="K303" s="246">
        <f t="shared" si="97"/>
        <v>8227.8551139894571</v>
      </c>
      <c r="L303" s="246">
        <f t="shared" si="111"/>
        <v>51697.138361820973</v>
      </c>
      <c r="M303" s="246">
        <f t="shared" si="99"/>
        <v>403.76189075229377</v>
      </c>
      <c r="N303" s="246">
        <f>SQRT((ABS(AC303)-171.5+'Small Signal'!C$59)^2)</f>
        <v>6.0707862623867896</v>
      </c>
      <c r="O303" s="246">
        <f t="shared" si="112"/>
        <v>73.152721939691972</v>
      </c>
      <c r="P303" s="246">
        <f t="shared" si="113"/>
        <v>0.84259384255359215</v>
      </c>
      <c r="Q303" s="246">
        <f t="shared" si="114"/>
        <v>8227.8551139894571</v>
      </c>
      <c r="R303" s="246" t="str">
        <f t="shared" si="100"/>
        <v>0.161233333333333+0.242976550300559i</v>
      </c>
      <c r="S303" s="246" t="str">
        <f t="shared" si="101"/>
        <v>0.025-2.05781174924702i</v>
      </c>
      <c r="T303" s="246" t="str">
        <f t="shared" si="102"/>
        <v>0.199583956827822-2.03857547432287i</v>
      </c>
      <c r="U303" s="246" t="str">
        <f t="shared" si="103"/>
        <v>-30.8647882511968-24.0114602359154i</v>
      </c>
      <c r="V303" s="246">
        <f t="shared" si="115"/>
        <v>31.844601362234627</v>
      </c>
      <c r="W303" s="246">
        <f t="shared" si="116"/>
        <v>-142.11863935722221</v>
      </c>
      <c r="X303" s="246" t="str">
        <f t="shared" si="104"/>
        <v>0.999518594846032-0.00388107010862548i</v>
      </c>
      <c r="Y303" s="246" t="str">
        <f t="shared" si="105"/>
        <v>71.99278725754-77.4664350540222i</v>
      </c>
      <c r="Z303" s="246" t="str">
        <f t="shared" si="106"/>
        <v>44.8296399056731-48.615253096238i</v>
      </c>
      <c r="AA303" s="246" t="str">
        <f t="shared" si="107"/>
        <v>-0.259840568177749-2.73394689710286i</v>
      </c>
      <c r="AB303" s="246">
        <f t="shared" si="117"/>
        <v>8.7748553515964325</v>
      </c>
      <c r="AC303" s="246">
        <f t="shared" si="118"/>
        <v>-95.42921373761321</v>
      </c>
      <c r="AD303" s="248">
        <f t="shared" si="119"/>
        <v>-9.6174491941500246</v>
      </c>
      <c r="AE303" s="248">
        <f t="shared" si="120"/>
        <v>168.58193567730518</v>
      </c>
      <c r="AF303" s="246">
        <f t="shared" si="108"/>
        <v>-0.84259384255359215</v>
      </c>
      <c r="AG303" s="246">
        <f t="shared" si="109"/>
        <v>73.152721939691972</v>
      </c>
      <c r="AH303" s="249" t="str">
        <f t="shared" si="110"/>
        <v>0.323926248282534-0.0654212757710694i</v>
      </c>
    </row>
    <row r="304" spans="9:34" x14ac:dyDescent="0.2">
      <c r="I304" s="246">
        <v>300</v>
      </c>
      <c r="J304" s="246">
        <f t="shared" si="98"/>
        <v>3.9250367580350205</v>
      </c>
      <c r="K304" s="246">
        <f t="shared" si="97"/>
        <v>8414.6635908465178</v>
      </c>
      <c r="L304" s="246">
        <f t="shared" si="111"/>
        <v>52870.890638865858</v>
      </c>
      <c r="M304" s="246">
        <f t="shared" si="99"/>
        <v>212.71204034867333</v>
      </c>
      <c r="N304" s="246">
        <f>SQRT((ABS(AC304)-171.5+'Small Signal'!C$59)^2)</f>
        <v>5.520004367285523</v>
      </c>
      <c r="O304" s="246">
        <f t="shared" si="112"/>
        <v>72.597434243909603</v>
      </c>
      <c r="P304" s="246">
        <f t="shared" si="113"/>
        <v>1.0214237697726549</v>
      </c>
      <c r="Q304" s="246">
        <f t="shared" si="114"/>
        <v>8414.6635908465178</v>
      </c>
      <c r="R304" s="246" t="str">
        <f t="shared" si="100"/>
        <v>0.161233333333333+0.24849318600267i</v>
      </c>
      <c r="S304" s="246" t="str">
        <f t="shared" si="101"/>
        <v>0.025-2.01212760817767i</v>
      </c>
      <c r="T304" s="246" t="str">
        <f t="shared" si="102"/>
        <v>0.191970611638482-1.99395601367857i</v>
      </c>
      <c r="U304" s="246" t="str">
        <f t="shared" si="103"/>
        <v>-30.3288982818091-22.0789756828406i</v>
      </c>
      <c r="V304" s="246">
        <f t="shared" si="115"/>
        <v>31.483938589417019</v>
      </c>
      <c r="W304" s="246">
        <f t="shared" si="116"/>
        <v>-143.9459526211098</v>
      </c>
      <c r="X304" s="246" t="str">
        <f t="shared" si="104"/>
        <v>0.999496486660643-0.00396918745944454i</v>
      </c>
      <c r="Y304" s="246" t="str">
        <f t="shared" si="105"/>
        <v>68.7374576476536-77.4095715195195i</v>
      </c>
      <c r="Z304" s="246" t="str">
        <f t="shared" si="106"/>
        <v>42.7889732858375-48.5745103992378i</v>
      </c>
      <c r="AA304" s="246" t="str">
        <f t="shared" si="107"/>
        <v>-0.280403833488246-2.676854315804i</v>
      </c>
      <c r="AB304" s="246">
        <f t="shared" si="117"/>
        <v>8.5998895342409334</v>
      </c>
      <c r="AC304" s="246">
        <f t="shared" si="118"/>
        <v>-95.979995632714477</v>
      </c>
      <c r="AD304" s="248">
        <f t="shared" si="119"/>
        <v>-9.6213133040135883</v>
      </c>
      <c r="AE304" s="248">
        <f t="shared" si="120"/>
        <v>168.57742987662408</v>
      </c>
      <c r="AF304" s="246">
        <f t="shared" si="108"/>
        <v>-1.0214237697726549</v>
      </c>
      <c r="AG304" s="246">
        <f t="shared" si="109"/>
        <v>72.597434243909603</v>
      </c>
      <c r="AH304" s="249" t="str">
        <f t="shared" si="110"/>
        <v>0.323777031074281-0.0654176405146468i</v>
      </c>
    </row>
    <row r="305" spans="9:34" x14ac:dyDescent="0.2">
      <c r="I305" s="246">
        <v>301</v>
      </c>
      <c r="J305" s="246">
        <f t="shared" si="98"/>
        <v>3.9347868805618038</v>
      </c>
      <c r="K305" s="246">
        <f t="shared" si="97"/>
        <v>8605.7134412501382</v>
      </c>
      <c r="L305" s="246">
        <f t="shared" si="111"/>
        <v>54071.292251860745</v>
      </c>
      <c r="M305" s="246">
        <f t="shared" si="99"/>
        <v>17.324518575878756</v>
      </c>
      <c r="N305" s="246">
        <f>SQRT((ABS(AC305)-171.5+'Small Signal'!C$59)^2)</f>
        <v>4.9673414748139919</v>
      </c>
      <c r="O305" s="246">
        <f t="shared" si="112"/>
        <v>72.034659956409826</v>
      </c>
      <c r="P305" s="246">
        <f t="shared" si="113"/>
        <v>1.1999018197987912</v>
      </c>
      <c r="Q305" s="246">
        <f t="shared" ref="Q305:Q368" si="121">K305</f>
        <v>8605.7134412501382</v>
      </c>
      <c r="R305" s="246" t="str">
        <f t="shared" si="100"/>
        <v>0.161233333333333+0.254135073583745i</v>
      </c>
      <c r="S305" s="246" t="str">
        <f t="shared" si="101"/>
        <v>0.025-1.96745767102955i</v>
      </c>
      <c r="T305" s="246" t="str">
        <f t="shared" si="102"/>
        <v>0.184686995976365-1.95028596286102i</v>
      </c>
      <c r="U305" s="246" t="str">
        <f t="shared" si="103"/>
        <v>-29.7302661543443-20.2568311152029i</v>
      </c>
      <c r="V305" s="246">
        <f t="shared" si="115"/>
        <v>31.120107686686822</v>
      </c>
      <c r="W305" s="246">
        <f t="shared" si="116"/>
        <v>-145.7312886357191</v>
      </c>
      <c r="X305" s="246" t="str">
        <f t="shared" si="104"/>
        <v>0.999473363172744-0.00405930546144948i</v>
      </c>
      <c r="Y305" s="246" t="str">
        <f t="shared" si="105"/>
        <v>65.5849846478615-77.2003623142808i</v>
      </c>
      <c r="Z305" s="246" t="str">
        <f t="shared" si="106"/>
        <v>40.8129657074454-48.4384456020756i</v>
      </c>
      <c r="AA305" s="246" t="str">
        <f t="shared" si="107"/>
        <v>-0.300116748000302-2.62080840336234i</v>
      </c>
      <c r="AB305" s="246">
        <f t="shared" si="117"/>
        <v>8.4252853505382568</v>
      </c>
      <c r="AC305" s="246">
        <f t="shared" si="118"/>
        <v>-96.532658525186008</v>
      </c>
      <c r="AD305" s="248">
        <f t="shared" si="119"/>
        <v>-9.625187170337048</v>
      </c>
      <c r="AE305" s="248">
        <f t="shared" si="120"/>
        <v>168.56731848159583</v>
      </c>
      <c r="AF305" s="246">
        <f t="shared" si="108"/>
        <v>-1.1999018197987912</v>
      </c>
      <c r="AG305" s="246">
        <f t="shared" si="109"/>
        <v>72.034659956409826</v>
      </c>
      <c r="AH305" s="249" t="str">
        <f t="shared" si="110"/>
        <v>0.323621115613567-0.0654455838030749i</v>
      </c>
    </row>
    <row r="306" spans="9:34" x14ac:dyDescent="0.2">
      <c r="I306" s="246">
        <v>302</v>
      </c>
      <c r="J306" s="246">
        <f t="shared" si="98"/>
        <v>3.9445370030885871</v>
      </c>
      <c r="K306" s="246">
        <f t="shared" si="97"/>
        <v>8801.1009630229328</v>
      </c>
      <c r="L306" s="246">
        <f t="shared" si="111"/>
        <v>55298.948257869801</v>
      </c>
      <c r="M306" s="246">
        <f t="shared" si="99"/>
        <v>182.49915877252715</v>
      </c>
      <c r="N306" s="246">
        <f>SQRT((ABS(AC306)-171.5+'Small Signal'!C$59)^2)</f>
        <v>4.4126379073531865</v>
      </c>
      <c r="O306" s="246">
        <f t="shared" si="112"/>
        <v>71.46423549639583</v>
      </c>
      <c r="P306" s="246">
        <f t="shared" si="113"/>
        <v>1.3780017262920161</v>
      </c>
      <c r="Q306" s="246">
        <f t="shared" si="121"/>
        <v>8801.1009630229328</v>
      </c>
      <c r="R306" s="246" t="str">
        <f t="shared" si="100"/>
        <v>0.161233333333333+0.259905056811988i</v>
      </c>
      <c r="S306" s="246" t="str">
        <f t="shared" si="101"/>
        <v>0.025-1.92377942212065i</v>
      </c>
      <c r="T306" s="246" t="str">
        <f t="shared" si="102"/>
        <v>0.177719019611615-1.90754688607897i</v>
      </c>
      <c r="U306" s="246" t="str">
        <f t="shared" si="103"/>
        <v>-29.0796157671117-18.543127712071i</v>
      </c>
      <c r="V306" s="246">
        <f t="shared" si="115"/>
        <v>30.753540912779748</v>
      </c>
      <c r="W306" s="246">
        <f t="shared" si="116"/>
        <v>-147.47566354108162</v>
      </c>
      <c r="X306" s="246" t="str">
        <f t="shared" si="104"/>
        <v>0.999449177755297-0.00415146953821615i</v>
      </c>
      <c r="Y306" s="246" t="str">
        <f t="shared" si="105"/>
        <v>62.5402831753369-76.8537373064436i</v>
      </c>
      <c r="Z306" s="246" t="str">
        <f t="shared" si="106"/>
        <v>38.9046756109929-48.2164187065371i</v>
      </c>
      <c r="AA306" s="246" t="str">
        <f t="shared" si="107"/>
        <v>-0.319012515688142-2.56579953731i</v>
      </c>
      <c r="AB306" s="246">
        <f t="shared" si="117"/>
        <v>8.2510766453766458</v>
      </c>
      <c r="AC306" s="246">
        <f t="shared" si="118"/>
        <v>-97.087362092646813</v>
      </c>
      <c r="AD306" s="248">
        <f t="shared" si="119"/>
        <v>-9.6290783716686619</v>
      </c>
      <c r="AE306" s="248">
        <f t="shared" si="120"/>
        <v>168.55159758904264</v>
      </c>
      <c r="AF306" s="246">
        <f t="shared" si="108"/>
        <v>-1.3780017262920161</v>
      </c>
      <c r="AG306" s="246">
        <f t="shared" si="109"/>
        <v>71.46423549639583</v>
      </c>
      <c r="AH306" s="249" t="str">
        <f t="shared" si="110"/>
        <v>0.32345820752078-0.0655050246896757i</v>
      </c>
    </row>
    <row r="307" spans="9:34" x14ac:dyDescent="0.2">
      <c r="I307" s="246">
        <v>303</v>
      </c>
      <c r="J307" s="246">
        <f t="shared" si="98"/>
        <v>3.9542871256153704</v>
      </c>
      <c r="K307" s="246">
        <f t="shared" si="97"/>
        <v>9000.9246403713387</v>
      </c>
      <c r="L307" s="246">
        <f t="shared" si="111"/>
        <v>56554.477451411898</v>
      </c>
      <c r="M307" s="246">
        <f t="shared" si="99"/>
        <v>386.85971192735815</v>
      </c>
      <c r="N307" s="246">
        <f>SQRT((ABS(AC307)-171.5+'Small Signal'!C$59)^2)</f>
        <v>3.8557370903382946</v>
      </c>
      <c r="O307" s="246">
        <f t="shared" si="112"/>
        <v>70.885998231091293</v>
      </c>
      <c r="P307" s="246">
        <f t="shared" si="113"/>
        <v>1.5556969140477239</v>
      </c>
      <c r="Q307" s="246">
        <f t="shared" si="121"/>
        <v>9000.9246403713387</v>
      </c>
      <c r="R307" s="246" t="str">
        <f t="shared" si="100"/>
        <v>0.161233333333333+0.265806044021636i</v>
      </c>
      <c r="S307" s="246" t="str">
        <f t="shared" si="101"/>
        <v>0.025-1.88107084562494i</v>
      </c>
      <c r="T307" s="246" t="str">
        <f t="shared" si="102"/>
        <v>0.171053178184106-1.86572058890593i</v>
      </c>
      <c r="U307" s="246" t="str">
        <f t="shared" si="103"/>
        <v>-28.3867356901283-16.9351814467213i</v>
      </c>
      <c r="V307" s="246">
        <f t="shared" si="115"/>
        <v>30.384640317531748</v>
      </c>
      <c r="W307" s="246">
        <f t="shared" si="116"/>
        <v>-149.18021145672441</v>
      </c>
      <c r="X307" s="246" t="str">
        <f t="shared" si="104"/>
        <v>0.999423881639953-0.00424572614463523i</v>
      </c>
      <c r="Y307" s="246" t="str">
        <f t="shared" si="105"/>
        <v>59.6066477772437-76.3839845461647i</v>
      </c>
      <c r="Z307" s="246" t="str">
        <f t="shared" si="106"/>
        <v>37.0661471985676-47.9173853423967i</v>
      </c>
      <c r="AA307" s="246" t="str">
        <f t="shared" si="107"/>
        <v>-0.337123225212751-2.51181751425848i</v>
      </c>
      <c r="AB307" s="246">
        <f t="shared" si="117"/>
        <v>8.0772976033266151</v>
      </c>
      <c r="AC307" s="246">
        <f t="shared" si="118"/>
        <v>-97.644262909661705</v>
      </c>
      <c r="AD307" s="248">
        <f t="shared" si="119"/>
        <v>-9.632994517374339</v>
      </c>
      <c r="AE307" s="248">
        <f t="shared" si="120"/>
        <v>168.530261140753</v>
      </c>
      <c r="AF307" s="246">
        <f t="shared" si="108"/>
        <v>-1.5556969140477239</v>
      </c>
      <c r="AG307" s="246">
        <f t="shared" si="109"/>
        <v>70.885998231091293</v>
      </c>
      <c r="AH307" s="249" t="str">
        <f t="shared" si="110"/>
        <v>0.32328800015347-0.0655958917342658i</v>
      </c>
    </row>
    <row r="308" spans="9:34" x14ac:dyDescent="0.2">
      <c r="I308" s="246">
        <v>304</v>
      </c>
      <c r="J308" s="246">
        <f t="shared" si="98"/>
        <v>3.9640372481421537</v>
      </c>
      <c r="K308" s="246">
        <f t="shared" si="97"/>
        <v>9205.2851935261697</v>
      </c>
      <c r="L308" s="246">
        <f t="shared" si="111"/>
        <v>57838.512676361424</v>
      </c>
      <c r="M308" s="246">
        <f t="shared" si="99"/>
        <v>595.86014791140224</v>
      </c>
      <c r="N308" s="246">
        <f>SQRT((ABS(AC308)-171.5+'Small Signal'!C$59)^2)</f>
        <v>3.2964858403919095</v>
      </c>
      <c r="O308" s="246">
        <f t="shared" si="112"/>
        <v>70.299786768540031</v>
      </c>
      <c r="P308" s="246">
        <f t="shared" si="113"/>
        <v>1.7329604918092061</v>
      </c>
      <c r="Q308" s="246">
        <f t="shared" si="121"/>
        <v>9205.2851935261697</v>
      </c>
      <c r="R308" s="246" t="str">
        <f t="shared" si="100"/>
        <v>0.161233333333333+0.271841009578899i</v>
      </c>
      <c r="S308" s="246" t="str">
        <f t="shared" si="101"/>
        <v>0.025-1.83931041447549i</v>
      </c>
      <c r="T308" s="246" t="str">
        <f t="shared" si="102"/>
        <v>0.164676530236854-1.82478912342674i</v>
      </c>
      <c r="U308" s="246" t="str">
        <f t="shared" si="103"/>
        <v>-27.6604826853946-15.4296903833213i</v>
      </c>
      <c r="V308" s="246">
        <f t="shared" si="115"/>
        <v>30.013778468692763</v>
      </c>
      <c r="W308" s="246">
        <f t="shared" si="116"/>
        <v>-150.84615842738435</v>
      </c>
      <c r="X308" s="246" t="str">
        <f t="shared" si="104"/>
        <v>0.999397423818708-0.0043421227903276i</v>
      </c>
      <c r="Y308" s="246" t="str">
        <f t="shared" si="105"/>
        <v>56.7859642445482-75.8046414324414i</v>
      </c>
      <c r="Z308" s="246" t="str">
        <f t="shared" si="106"/>
        <v>35.2985431593663-47.5498288831066i</v>
      </c>
      <c r="AA308" s="246" t="str">
        <f t="shared" si="107"/>
        <v>-0.354479872498786-2.45885160564663i</v>
      </c>
      <c r="AB308" s="246">
        <f t="shared" si="117"/>
        <v>7.9039827693256628</v>
      </c>
      <c r="AC308" s="246">
        <f t="shared" si="118"/>
        <v>-98.20351415960809</v>
      </c>
      <c r="AD308" s="248">
        <f t="shared" si="119"/>
        <v>-9.6369432611348689</v>
      </c>
      <c r="AE308" s="248">
        <f t="shared" si="120"/>
        <v>168.50330092814812</v>
      </c>
      <c r="AF308" s="246">
        <f t="shared" si="108"/>
        <v>-1.7329604918092061</v>
      </c>
      <c r="AG308" s="246">
        <f t="shared" si="109"/>
        <v>70.299786768540031</v>
      </c>
      <c r="AH308" s="249" t="str">
        <f t="shared" si="110"/>
        <v>0.323110174154533-0.0657181225524076i</v>
      </c>
    </row>
    <row r="309" spans="9:34" x14ac:dyDescent="0.2">
      <c r="I309" s="246">
        <v>305</v>
      </c>
      <c r="J309" s="246">
        <f t="shared" si="98"/>
        <v>3.9737873706689371</v>
      </c>
      <c r="K309" s="246">
        <f t="shared" si="97"/>
        <v>9414.2856295102138</v>
      </c>
      <c r="L309" s="246">
        <f t="shared" si="111"/>
        <v>59151.701144930499</v>
      </c>
      <c r="M309" s="246">
        <f t="shared" si="99"/>
        <v>809.60581245958383</v>
      </c>
      <c r="N309" s="246">
        <f>SQRT((ABS(AC309)-171.5+'Small Signal'!C$59)^2)</f>
        <v>2.7347346595206972</v>
      </c>
      <c r="O309" s="246">
        <f t="shared" si="112"/>
        <v>69.705441258191954</v>
      </c>
      <c r="P309" s="246">
        <f t="shared" si="113"/>
        <v>1.9097652468369501</v>
      </c>
      <c r="Q309" s="246">
        <f t="shared" si="121"/>
        <v>9414.2856295102138</v>
      </c>
      <c r="R309" s="246" t="str">
        <f t="shared" si="100"/>
        <v>0.161233333333333+0.278012995381173i</v>
      </c>
      <c r="S309" s="246" t="str">
        <f t="shared" si="101"/>
        <v>0.025-1.79847707951374i</v>
      </c>
      <c r="T309" s="246" t="str">
        <f t="shared" si="102"/>
        <v>0.158576675028367-1.78473479263042i</v>
      </c>
      <c r="U309" s="246" t="str">
        <f t="shared" si="103"/>
        <v>-26.9088047667393-14.0228833766846i</v>
      </c>
      <c r="V309" s="246">
        <f t="shared" si="115"/>
        <v>29.641299506737763</v>
      </c>
      <c r="W309" s="246">
        <f t="shared" si="116"/>
        <v>-152.47479917633498</v>
      </c>
      <c r="X309" s="246" t="str">
        <f t="shared" si="104"/>
        <v>0.999369750941056-0.00444070806359137i</v>
      </c>
      <c r="Y309" s="246" t="str">
        <f t="shared" si="105"/>
        <v>54.0789111805027-75.1284228701759i</v>
      </c>
      <c r="Z309" s="246" t="str">
        <f t="shared" si="106"/>
        <v>33.6022710498593-47.1217157210619i</v>
      </c>
      <c r="AA309" s="246" t="str">
        <f t="shared" si="107"/>
        <v>-0.371112384297657-2.40689061032912i</v>
      </c>
      <c r="AB309" s="246">
        <f t="shared" si="117"/>
        <v>7.7311670676492872</v>
      </c>
      <c r="AC309" s="246">
        <f t="shared" si="118"/>
        <v>-98.765265340479303</v>
      </c>
      <c r="AD309" s="248">
        <f t="shared" si="119"/>
        <v>-9.6409323144862373</v>
      </c>
      <c r="AE309" s="248">
        <f t="shared" si="120"/>
        <v>168.47070659867126</v>
      </c>
      <c r="AF309" s="246">
        <f t="shared" si="108"/>
        <v>-1.9097652468369501</v>
      </c>
      <c r="AG309" s="246">
        <f t="shared" si="109"/>
        <v>69.705441258191954</v>
      </c>
      <c r="AH309" s="249" t="str">
        <f t="shared" si="110"/>
        <v>0.32292439698961-0.0658716633436563i</v>
      </c>
    </row>
    <row r="310" spans="9:34" x14ac:dyDescent="0.2">
      <c r="I310" s="246">
        <v>306</v>
      </c>
      <c r="J310" s="246">
        <f t="shared" si="98"/>
        <v>3.9835374931957204</v>
      </c>
      <c r="K310" s="246">
        <f t="shared" si="97"/>
        <v>9628.0312940583954</v>
      </c>
      <c r="L310" s="246">
        <f t="shared" si="111"/>
        <v>60494.704763892965</v>
      </c>
      <c r="M310" s="246">
        <f t="shared" si="99"/>
        <v>1028.204443118113</v>
      </c>
      <c r="N310" s="246">
        <f>SQRT((ABS(AC310)-171.5+'Small Signal'!C$59)^2)</f>
        <v>2.1703380354827999</v>
      </c>
      <c r="O310" s="246">
        <f t="shared" si="112"/>
        <v>69.10280369941988</v>
      </c>
      <c r="P310" s="246">
        <f t="shared" si="113"/>
        <v>2.0860836414043522</v>
      </c>
      <c r="Q310" s="246">
        <f t="shared" si="121"/>
        <v>9628.0312940583954</v>
      </c>
      <c r="R310" s="246" t="str">
        <f t="shared" si="100"/>
        <v>0.161233333333333+0.284325112390297i</v>
      </c>
      <c r="S310" s="246" t="str">
        <f t="shared" si="101"/>
        <v>0.025-1.75855025887985i</v>
      </c>
      <c r="T310" s="246" t="str">
        <f t="shared" si="102"/>
        <v>0.152741731108581-1.74554015410338i</v>
      </c>
      <c r="U310" s="246" t="str">
        <f t="shared" si="103"/>
        <v>-26.1387788247649-12.7106499226734i</v>
      </c>
      <c r="V310" s="246">
        <f t="shared" si="115"/>
        <v>29.267520441694987</v>
      </c>
      <c r="W310" s="246">
        <f t="shared" si="116"/>
        <v>-154.06747661374976</v>
      </c>
      <c r="X310" s="246" t="str">
        <f t="shared" si="104"/>
        <v>0.999340807206405-0.00454153165589258i</v>
      </c>
      <c r="Y310" s="246" t="str">
        <f t="shared" si="105"/>
        <v>51.4851478499354-74.3671803699007i</v>
      </c>
      <c r="Z310" s="246" t="str">
        <f t="shared" si="106"/>
        <v>31.9771010355123-46.6404699085537i</v>
      </c>
      <c r="AA310" s="246" t="str">
        <f t="shared" si="107"/>
        <v>-0.387049642561324-2.35592290412028i</v>
      </c>
      <c r="AB310" s="246">
        <f t="shared" si="117"/>
        <v>7.5588858190147779</v>
      </c>
      <c r="AC310" s="246">
        <f t="shared" si="118"/>
        <v>-99.3296619645172</v>
      </c>
      <c r="AD310" s="248">
        <f t="shared" si="119"/>
        <v>-9.6449694604191301</v>
      </c>
      <c r="AE310" s="248">
        <f t="shared" si="120"/>
        <v>168.43246566393708</v>
      </c>
      <c r="AF310" s="246">
        <f t="shared" si="108"/>
        <v>-2.0860836414043522</v>
      </c>
      <c r="AG310" s="246">
        <f t="shared" si="109"/>
        <v>69.10280369941988</v>
      </c>
      <c r="AH310" s="249" t="str">
        <f t="shared" si="110"/>
        <v>0.322730322473931-0.0660564683971428i</v>
      </c>
    </row>
    <row r="311" spans="9:34" x14ac:dyDescent="0.2">
      <c r="I311" s="246">
        <v>307</v>
      </c>
      <c r="J311" s="246">
        <f t="shared" si="98"/>
        <v>3.9932876157225037</v>
      </c>
      <c r="K311" s="246">
        <f t="shared" si="97"/>
        <v>9846.6299247169245</v>
      </c>
      <c r="L311" s="246">
        <f t="shared" si="111"/>
        <v>61868.200468216215</v>
      </c>
      <c r="M311" s="246">
        <f t="shared" si="99"/>
        <v>1251.7662235490461</v>
      </c>
      <c r="N311" s="246">
        <f>SQRT((ABS(AC311)-171.5+'Small Signal'!C$59)^2)</f>
        <v>1.6031547483890591</v>
      </c>
      <c r="O311" s="246">
        <f t="shared" si="112"/>
        <v>68.491718258080411</v>
      </c>
      <c r="P311" s="246">
        <f t="shared" si="113"/>
        <v>2.2618878113943719</v>
      </c>
      <c r="Q311" s="246">
        <f t="shared" si="121"/>
        <v>9846.6299247169245</v>
      </c>
      <c r="R311" s="246" t="str">
        <f t="shared" si="100"/>
        <v>0.161233333333333+0.290780542200616i</v>
      </c>
      <c r="S311" s="246" t="str">
        <f t="shared" si="101"/>
        <v>0.025-1.71950982763846i</v>
      </c>
      <c r="T311" s="246" t="str">
        <f t="shared" si="102"/>
        <v>0.147160315642096-1.70718802307338i</v>
      </c>
      <c r="U311" s="246" t="str">
        <f t="shared" si="103"/>
        <v>-25.3566585288852-11.4886516775431i</v>
      </c>
      <c r="V311" s="246">
        <f t="shared" si="115"/>
        <v>28.892732617972342</v>
      </c>
      <c r="W311" s="246">
        <f t="shared" si="116"/>
        <v>-155.62556397980205</v>
      </c>
      <c r="X311" s="246" t="str">
        <f t="shared" si="104"/>
        <v>0.99931053425156-0.00464464438691196i</v>
      </c>
      <c r="Y311" s="246" t="str">
        <f t="shared" si="105"/>
        <v>49.0034860622448-73.5318863804741i</v>
      </c>
      <c r="Z311" s="246" t="str">
        <f t="shared" si="106"/>
        <v>30.4222735943463-46.1129635842237i</v>
      </c>
      <c r="AA311" s="246" t="str">
        <f t="shared" si="107"/>
        <v>-0.402319509464704-2.3059364864083i</v>
      </c>
      <c r="AB311" s="246">
        <f t="shared" si="117"/>
        <v>7.3871747556542253</v>
      </c>
      <c r="AC311" s="246">
        <f t="shared" si="118"/>
        <v>-99.896845251610941</v>
      </c>
      <c r="AD311" s="248">
        <f t="shared" si="119"/>
        <v>-9.6490625670485972</v>
      </c>
      <c r="AE311" s="248">
        <f t="shared" si="120"/>
        <v>168.38856350969135</v>
      </c>
      <c r="AF311" s="246">
        <f t="shared" si="108"/>
        <v>-2.2618878113943719</v>
      </c>
      <c r="AG311" s="246">
        <f t="shared" si="109"/>
        <v>68.491718258080411</v>
      </c>
      <c r="AH311" s="249" t="str">
        <f t="shared" si="110"/>
        <v>0.322527590289101-0.0662724995727853i</v>
      </c>
    </row>
    <row r="312" spans="9:34" x14ac:dyDescent="0.2">
      <c r="I312" s="246">
        <v>308</v>
      </c>
      <c r="J312" s="246">
        <f t="shared" si="98"/>
        <v>4.0030377382492865</v>
      </c>
      <c r="K312" s="246">
        <f t="shared" si="97"/>
        <v>10070.191705147858</v>
      </c>
      <c r="L312" s="246">
        <f t="shared" si="111"/>
        <v>63272.880562266764</v>
      </c>
      <c r="M312" s="246">
        <f t="shared" si="99"/>
        <v>1480.4038390678779</v>
      </c>
      <c r="N312" s="246">
        <f>SQRT((ABS(AC312)-171.5+'Small Signal'!C$59)^2)</f>
        <v>1.0330481834826628</v>
      </c>
      <c r="O312" s="246">
        <f t="shared" si="112"/>
        <v>67.872031591123147</v>
      </c>
      <c r="P312" s="246">
        <f t="shared" si="113"/>
        <v>2.4371495671734209</v>
      </c>
      <c r="Q312" s="246">
        <f t="shared" si="121"/>
        <v>10070.191705147858</v>
      </c>
      <c r="R312" s="246" t="str">
        <f t="shared" si="100"/>
        <v>0.161233333333333+0.297382538642654i</v>
      </c>
      <c r="S312" s="246" t="str">
        <f t="shared" si="101"/>
        <v>0.025-1.68133610763482i</v>
      </c>
      <c r="T312" s="246" t="str">
        <f t="shared" si="102"/>
        <v>0.141821524461827-1.66966147485195i</v>
      </c>
      <c r="U312" s="246" t="str">
        <f t="shared" si="103"/>
        <v>-24.5679289159492-10.3524166992342i</v>
      </c>
      <c r="V312" s="246">
        <f t="shared" si="115"/>
        <v>28.51720328487993</v>
      </c>
      <c r="W312" s="246">
        <f t="shared" si="116"/>
        <v>-157.1504494558113</v>
      </c>
      <c r="X312" s="246" t="str">
        <f t="shared" si="104"/>
        <v>0.999278871033042-0.00475009823016041i</v>
      </c>
      <c r="Y312" s="246" t="str">
        <f t="shared" si="105"/>
        <v>46.6320449802157-72.6326386560341i</v>
      </c>
      <c r="Z312" s="246" t="str">
        <f t="shared" si="106"/>
        <v>28.936596495598-45.5455199265514i</v>
      </c>
      <c r="AA312" s="246" t="str">
        <f t="shared" si="107"/>
        <v>-0.416948852930434-2.25691902395675i</v>
      </c>
      <c r="AB312" s="246">
        <f t="shared" si="117"/>
        <v>7.2160700341943773</v>
      </c>
      <c r="AC312" s="246">
        <f t="shared" si="118"/>
        <v>-100.46695181651734</v>
      </c>
      <c r="AD312" s="248">
        <f t="shared" si="119"/>
        <v>-9.6532196013677982</v>
      </c>
      <c r="AE312" s="248">
        <f t="shared" si="120"/>
        <v>168.33898340764048</v>
      </c>
      <c r="AF312" s="246">
        <f t="shared" si="108"/>
        <v>-2.4371495671734209</v>
      </c>
      <c r="AG312" s="246">
        <f t="shared" si="109"/>
        <v>67.872031591123147</v>
      </c>
      <c r="AH312" s="249" t="str">
        <f t="shared" si="110"/>
        <v>0.322315825490288-0.0665197257563369i</v>
      </c>
    </row>
    <row r="313" spans="9:34" x14ac:dyDescent="0.2">
      <c r="I313" s="246">
        <v>309</v>
      </c>
      <c r="J313" s="246">
        <f t="shared" si="98"/>
        <v>4.0127878607760703</v>
      </c>
      <c r="K313" s="246">
        <f t="shared" si="97"/>
        <v>10298.829320666689</v>
      </c>
      <c r="L313" s="246">
        <f t="shared" si="111"/>
        <v>64709.453068763265</v>
      </c>
      <c r="M313" s="246">
        <f t="shared" si="99"/>
        <v>1714.2325334421002</v>
      </c>
      <c r="N313" s="246">
        <f>SQRT((ABS(AC313)-171.5+'Small Signal'!C$59)^2)</f>
        <v>0.45988664997467765</v>
      </c>
      <c r="O313" s="246">
        <f t="shared" si="112"/>
        <v>67.243593179195798</v>
      </c>
      <c r="P313" s="246">
        <f t="shared" si="113"/>
        <v>2.6118403969211696</v>
      </c>
      <c r="Q313" s="246">
        <f t="shared" si="121"/>
        <v>10298.829320666689</v>
      </c>
      <c r="R313" s="246" t="str">
        <f t="shared" si="100"/>
        <v>0.161233333333333+0.304134429423187i</v>
      </c>
      <c r="S313" s="246" t="str">
        <f t="shared" si="101"/>
        <v>0.025-1.64400985757609i</v>
      </c>
      <c r="T313" s="246" t="str">
        <f t="shared" si="102"/>
        <v>0.136714912835622-1.63294384671995i</v>
      </c>
      <c r="U313" s="246" t="str">
        <f t="shared" si="103"/>
        <v>-23.777364740966-9.29741780328361i</v>
      </c>
      <c r="V313" s="246">
        <f t="shared" si="115"/>
        <v>28.141177221540072</v>
      </c>
      <c r="W313" s="246">
        <f t="shared" si="116"/>
        <v>-158.64352304789955</v>
      </c>
      <c r="X313" s="246" t="str">
        <f t="shared" si="104"/>
        <v>0.999245753703991-0.00485794633917594i</v>
      </c>
      <c r="Y313" s="246" t="str">
        <f t="shared" si="105"/>
        <v>44.3683886208966-71.6786800617651i</v>
      </c>
      <c r="Z313" s="246" t="str">
        <f t="shared" si="106"/>
        <v>27.5185309135106-44.943925755081i</v>
      </c>
      <c r="AA313" s="246" t="str">
        <f t="shared" si="107"/>
        <v>-0.430963572521948-2.2088578920099i</v>
      </c>
      <c r="AB313" s="246">
        <f t="shared" si="117"/>
        <v>7.0456082461754042</v>
      </c>
      <c r="AC313" s="246">
        <f t="shared" si="118"/>
        <v>-101.04011335002532</v>
      </c>
      <c r="AD313" s="248">
        <f t="shared" si="119"/>
        <v>-9.6574486430965738</v>
      </c>
      <c r="AE313" s="248">
        <f t="shared" si="120"/>
        <v>168.28370652922112</v>
      </c>
      <c r="AF313" s="246">
        <f t="shared" si="108"/>
        <v>-2.6118403969211696</v>
      </c>
      <c r="AG313" s="246">
        <f t="shared" si="109"/>
        <v>67.243593179195798</v>
      </c>
      <c r="AH313" s="249" t="str">
        <f t="shared" si="110"/>
        <v>0.322094638004479-0.0667981222864232i</v>
      </c>
    </row>
    <row r="314" spans="9:34" x14ac:dyDescent="0.2">
      <c r="I314" s="246">
        <v>310</v>
      </c>
      <c r="J314" s="246">
        <f t="shared" si="98"/>
        <v>4.0225379833028541</v>
      </c>
      <c r="K314" s="246">
        <f t="shared" si="97"/>
        <v>10532.658015040912</v>
      </c>
      <c r="L314" s="246">
        <f t="shared" si="111"/>
        <v>66178.642085652362</v>
      </c>
      <c r="M314" s="246">
        <f t="shared" si="99"/>
        <v>1953.3701669792463</v>
      </c>
      <c r="N314" s="246">
        <f>SQRT((ABS(AC314)-171.5+'Small Signal'!C$59)^2)</f>
        <v>0.11645629430864801</v>
      </c>
      <c r="O314" s="246">
        <f t="shared" si="112"/>
        <v>66.606255667081626</v>
      </c>
      <c r="P314" s="246">
        <f t="shared" si="113"/>
        <v>2.7859314725989819</v>
      </c>
      <c r="Q314" s="246">
        <f t="shared" si="121"/>
        <v>10532.658015040912</v>
      </c>
      <c r="R314" s="246" t="str">
        <f t="shared" si="100"/>
        <v>0.161233333333333+0.311039617802566i</v>
      </c>
      <c r="S314" s="246" t="str">
        <f t="shared" si="101"/>
        <v>0.025-1.60751226333289i</v>
      </c>
      <c r="T314" s="246" t="str">
        <f t="shared" si="102"/>
        <v>0.131830476927983-1.59701873929851i</v>
      </c>
      <c r="U314" s="246" t="str">
        <f t="shared" si="103"/>
        <v>-22.9890902734723-8.31913661118283i</v>
      </c>
      <c r="V314" s="246">
        <f t="shared" si="115"/>
        <v>27.764878374872385</v>
      </c>
      <c r="W314" s="246">
        <f t="shared" si="116"/>
        <v>-160.10616553278956</v>
      </c>
      <c r="X314" s="246" t="str">
        <f t="shared" si="104"/>
        <v>0.999211115485427-0.00496824307431555i</v>
      </c>
      <c r="Y314" s="246" t="str">
        <f t="shared" si="105"/>
        <v>42.2096464566286-70.6784298581026i</v>
      </c>
      <c r="Z314" s="246" t="str">
        <f t="shared" si="106"/>
        <v>26.1662669375027-44.3134512988555i</v>
      </c>
      <c r="AA314" s="246" t="str">
        <f t="shared" si="107"/>
        <v>-0.444388625584374-2.161740212818i</v>
      </c>
      <c r="AB314" s="246">
        <f t="shared" si="117"/>
        <v>6.8758264260397652</v>
      </c>
      <c r="AC314" s="246">
        <f t="shared" si="118"/>
        <v>-101.61645629430865</v>
      </c>
      <c r="AD314" s="248">
        <f t="shared" si="119"/>
        <v>-9.6617578986387471</v>
      </c>
      <c r="AE314" s="248">
        <f t="shared" si="120"/>
        <v>168.22271196139027</v>
      </c>
      <c r="AF314" s="246">
        <f t="shared" si="108"/>
        <v>-2.7859314725989819</v>
      </c>
      <c r="AG314" s="246">
        <f t="shared" si="109"/>
        <v>66.606255667081626</v>
      </c>
      <c r="AH314" s="249" t="str">
        <f t="shared" si="110"/>
        <v>0.321863622120442-0.0671076703516295i</v>
      </c>
    </row>
    <row r="315" spans="9:34" x14ac:dyDescent="0.2">
      <c r="I315" s="246">
        <v>311</v>
      </c>
      <c r="J315" s="246">
        <f t="shared" si="98"/>
        <v>4.0322881058296378</v>
      </c>
      <c r="K315" s="246">
        <f t="shared" si="97"/>
        <v>10771.795648578058</v>
      </c>
      <c r="L315" s="246">
        <f t="shared" si="111"/>
        <v>67681.188151086651</v>
      </c>
      <c r="M315" s="246">
        <f t="shared" si="99"/>
        <v>2197.9372759338676</v>
      </c>
      <c r="N315" s="246">
        <f>SQRT((ABS(AC315)-171.5+'Small Signal'!C$59)^2)</f>
        <v>0.69610151280447496</v>
      </c>
      <c r="O315" s="246">
        <f t="shared" si="112"/>
        <v>65.959875211723229</v>
      </c>
      <c r="P315" s="246">
        <f t="shared" si="113"/>
        <v>2.9593936587363094</v>
      </c>
      <c r="Q315" s="246">
        <f t="shared" si="121"/>
        <v>10771.795648578058</v>
      </c>
      <c r="R315" s="246" t="str">
        <f t="shared" si="100"/>
        <v>0.161233333333333+0.318101584310107i</v>
      </c>
      <c r="S315" s="246" t="str">
        <f t="shared" si="101"/>
        <v>0.025-1.57182492845608i</v>
      </c>
      <c r="T315" s="246" t="str">
        <f t="shared" si="102"/>
        <v>0.127158635938719-1.5618700174447i</v>
      </c>
      <c r="U315" s="246" t="str">
        <f t="shared" si="103"/>
        <v>-22.206638758895-7.4131149368041i</v>
      </c>
      <c r="V315" s="246">
        <f t="shared" si="115"/>
        <v>27.388511478180774</v>
      </c>
      <c r="W315" s="246">
        <f t="shared" si="116"/>
        <v>-161.53973925125442</v>
      </c>
      <c r="X315" s="246" t="str">
        <f t="shared" si="104"/>
        <v>0.999174886531593-0.00508104403015523i</v>
      </c>
      <c r="Y315" s="246" t="str">
        <f t="shared" si="105"/>
        <v>40.1526179706918-69.6395231269881i</v>
      </c>
      <c r="Z315" s="246" t="str">
        <f t="shared" si="106"/>
        <v>24.877789018727-43.6588750430758i</v>
      </c>
      <c r="AA315" s="246" t="str">
        <f t="shared" si="107"/>
        <v>-0.457248053523977-2.11555289169748i</v>
      </c>
      <c r="AB315" s="246">
        <f t="shared" si="117"/>
        <v>6.7067620564203336</v>
      </c>
      <c r="AC315" s="246">
        <f t="shared" si="118"/>
        <v>-102.19610151280447</v>
      </c>
      <c r="AD315" s="248">
        <f t="shared" si="119"/>
        <v>-9.6661557151566431</v>
      </c>
      <c r="AE315" s="248">
        <f t="shared" si="120"/>
        <v>168.1559767245277</v>
      </c>
      <c r="AF315" s="246">
        <f t="shared" si="108"/>
        <v>-2.9593936587363094</v>
      </c>
      <c r="AG315" s="246">
        <f t="shared" si="109"/>
        <v>65.959875211723229</v>
      </c>
      <c r="AH315" s="249" t="str">
        <f t="shared" si="110"/>
        <v>0.321622355971329-0.0674483563556643i</v>
      </c>
    </row>
    <row r="316" spans="9:34" x14ac:dyDescent="0.2">
      <c r="I316" s="246">
        <v>312</v>
      </c>
      <c r="J316" s="246">
        <f t="shared" si="98"/>
        <v>4.0420382283564207</v>
      </c>
      <c r="K316" s="246">
        <f t="shared" si="97"/>
        <v>11016.362757532679</v>
      </c>
      <c r="L316" s="246">
        <f t="shared" si="111"/>
        <v>69217.84861668972</v>
      </c>
      <c r="M316" s="246">
        <f t="shared" si="99"/>
        <v>2448.0571332634117</v>
      </c>
      <c r="N316" s="246">
        <f>SQRT((ABS(AC316)-171.5+'Small Signal'!C$59)^2)</f>
        <v>1.2791639550782463</v>
      </c>
      <c r="O316" s="246">
        <f t="shared" si="112"/>
        <v>65.304311837474359</v>
      </c>
      <c r="P316" s="246">
        <f t="shared" si="113"/>
        <v>3.1321975242185296</v>
      </c>
      <c r="Q316" s="246">
        <f t="shared" si="121"/>
        <v>11016.362757532679</v>
      </c>
      <c r="R316" s="246" t="str">
        <f t="shared" si="100"/>
        <v>0.161233333333333+0.325323888498442i</v>
      </c>
      <c r="S316" s="246" t="str">
        <f t="shared" si="101"/>
        <v>0.025-1.53692986490414i</v>
      </c>
      <c r="T316" s="246" t="str">
        <f t="shared" si="102"/>
        <v>0.122690214900178-1.52748181070917i</v>
      </c>
      <c r="U316" s="246" t="str">
        <f t="shared" si="103"/>
        <v>-21.4330102228136-6.57499513913988i</v>
      </c>
      <c r="V316" s="246">
        <f t="shared" si="115"/>
        <v>27.012263625519957</v>
      </c>
      <c r="W316" s="246">
        <f t="shared" si="116"/>
        <v>-162.94558053856238</v>
      </c>
      <c r="X316" s="246" t="str">
        <f t="shared" si="104"/>
        <v>0.999136993789116-0.00519640606351224i</v>
      </c>
      <c r="Y316" s="246" t="str">
        <f t="shared" si="105"/>
        <v>38.1938623098166-68.568855588688i</v>
      </c>
      <c r="Z316" s="246" t="str">
        <f t="shared" si="106"/>
        <v>23.6509320724961-42.9845119318368i</v>
      </c>
      <c r="AA316" s="246" t="str">
        <f t="shared" si="107"/>
        <v>-0.469565008128256-2.07028265073951i</v>
      </c>
      <c r="AB316" s="246">
        <f t="shared" si="117"/>
        <v>6.5384530705571855</v>
      </c>
      <c r="AC316" s="246">
        <f t="shared" si="118"/>
        <v>-102.77916395507825</v>
      </c>
      <c r="AD316" s="248">
        <f t="shared" si="119"/>
        <v>-9.6706505947757151</v>
      </c>
      <c r="AE316" s="248">
        <f t="shared" si="120"/>
        <v>168.0834757925526</v>
      </c>
      <c r="AF316" s="246">
        <f t="shared" si="108"/>
        <v>-3.1321975242185296</v>
      </c>
      <c r="AG316" s="246">
        <f t="shared" si="109"/>
        <v>65.304311837474359</v>
      </c>
      <c r="AH316" s="249" t="str">
        <f t="shared" si="110"/>
        <v>0.321370401010802-0.0678201712485188i</v>
      </c>
    </row>
    <row r="317" spans="9:34" x14ac:dyDescent="0.2">
      <c r="I317" s="246">
        <v>313</v>
      </c>
      <c r="J317" s="246">
        <f t="shared" si="98"/>
        <v>4.0517883508832035</v>
      </c>
      <c r="K317" s="246">
        <f t="shared" si="97"/>
        <v>11266.482614862223</v>
      </c>
      <c r="L317" s="246">
        <f t="shared" si="111"/>
        <v>70789.398029296572</v>
      </c>
      <c r="M317" s="246">
        <f t="shared" si="99"/>
        <v>2703.8558107632525</v>
      </c>
      <c r="N317" s="246">
        <f>SQRT((ABS(AC317)-171.5+'Small Signal'!C$59)^2)</f>
        <v>1.8657523172486918</v>
      </c>
      <c r="O317" s="246">
        <f t="shared" si="112"/>
        <v>64.639429798118769</v>
      </c>
      <c r="P317" s="246">
        <f t="shared" si="113"/>
        <v>3.304313357256552</v>
      </c>
      <c r="Q317" s="246">
        <f t="shared" si="121"/>
        <v>11266.482614862223</v>
      </c>
      <c r="R317" s="246" t="str">
        <f t="shared" si="100"/>
        <v>0.161233333333333+0.332710170737694i</v>
      </c>
      <c r="S317" s="246" t="str">
        <f t="shared" si="101"/>
        <v>0.025-1.50280948397636i</v>
      </c>
      <c r="T317" s="246" t="str">
        <f t="shared" si="102"/>
        <v>0.118416428114555-1.49383851339036i</v>
      </c>
      <c r="U317" s="246" t="str">
        <f t="shared" si="103"/>
        <v>-20.6707266784672-5.80055099376136i</v>
      </c>
      <c r="V317" s="246">
        <f t="shared" si="115"/>
        <v>26.636305783503417</v>
      </c>
      <c r="W317" s="246">
        <f t="shared" si="116"/>
        <v>-164.32499359066296</v>
      </c>
      <c r="X317" s="246" t="str">
        <f t="shared" si="104"/>
        <v>0.9990973608497-0.00531438732210355i</v>
      </c>
      <c r="Y317" s="246" t="str">
        <f t="shared" si="105"/>
        <v>36.329774339119-67.4726315869131i</v>
      </c>
      <c r="Z317" s="246" t="str">
        <f t="shared" si="106"/>
        <v>22.4834290576201-42.2942435365723i</v>
      </c>
      <c r="AA317" s="246" t="str">
        <f t="shared" si="107"/>
        <v>-0.481361777838671-2.02591606027779i</v>
      </c>
      <c r="AB317" s="246">
        <f t="shared" si="117"/>
        <v>6.3709378516705701</v>
      </c>
      <c r="AC317" s="246">
        <f t="shared" si="118"/>
        <v>-103.36575231724869</v>
      </c>
      <c r="AD317" s="248">
        <f t="shared" si="119"/>
        <v>-9.6752512089271221</v>
      </c>
      <c r="AE317" s="248">
        <f t="shared" si="120"/>
        <v>168.00518211536746</v>
      </c>
      <c r="AF317" s="246">
        <f t="shared" si="108"/>
        <v>-3.304313357256552</v>
      </c>
      <c r="AG317" s="246">
        <f t="shared" si="109"/>
        <v>64.639429798118769</v>
      </c>
      <c r="AH317" s="249" t="str">
        <f t="shared" si="110"/>
        <v>0.321107301483861-0.0682231098215123i</v>
      </c>
    </row>
    <row r="318" spans="9:34" x14ac:dyDescent="0.2">
      <c r="I318" s="246">
        <v>314</v>
      </c>
      <c r="J318" s="246">
        <f t="shared" si="98"/>
        <v>4.0615384734099873</v>
      </c>
      <c r="K318" s="246">
        <f t="shared" si="97"/>
        <v>11522.281292362064</v>
      </c>
      <c r="L318" s="246">
        <f t="shared" si="111"/>
        <v>72396.62852135954</v>
      </c>
      <c r="M318" s="246">
        <f t="shared" si="99"/>
        <v>2965.462242612648</v>
      </c>
      <c r="N318" s="246">
        <f>SQRT((ABS(AC318)-171.5+'Small Signal'!C$59)^2)</f>
        <v>2.4559686986814881</v>
      </c>
      <c r="O318" s="246">
        <f t="shared" si="112"/>
        <v>63.965097945071818</v>
      </c>
      <c r="P318" s="246">
        <f t="shared" si="113"/>
        <v>3.4757111837150783</v>
      </c>
      <c r="Q318" s="246">
        <f t="shared" si="121"/>
        <v>11522.281292362064</v>
      </c>
      <c r="R318" s="246" t="str">
        <f t="shared" si="100"/>
        <v>0.161233333333333+0.34026415405039i</v>
      </c>
      <c r="S318" s="246" t="str">
        <f t="shared" si="101"/>
        <v>0.025-1.46944658744734i</v>
      </c>
      <c r="T318" s="246" t="str">
        <f t="shared" si="102"/>
        <v>0.114328863212763-1.46092478421817i</v>
      </c>
      <c r="U318" s="246" t="str">
        <f t="shared" si="103"/>
        <v>-19.9218841093455-5.08571052239189i</v>
      </c>
      <c r="V318" s="246">
        <f t="shared" si="115"/>
        <v>26.260794227613538</v>
      </c>
      <c r="W318" s="246">
        <f t="shared" si="116"/>
        <v>-165.67924557793387</v>
      </c>
      <c r="X318" s="246" t="str">
        <f t="shared" si="104"/>
        <v>0.999055907796051-0.00543504727385484i</v>
      </c>
      <c r="Y318" s="246" t="str">
        <f t="shared" si="105"/>
        <v>34.5566484740028-66.3564134855799i</v>
      </c>
      <c r="Z318" s="246" t="str">
        <f t="shared" si="106"/>
        <v>21.3729508962581-41.5915490916327i</v>
      </c>
      <c r="AA318" s="246" t="str">
        <f t="shared" si="107"/>
        <v>-0.492659813898032-1.98243956822494i</v>
      </c>
      <c r="AB318" s="246">
        <f t="shared" si="117"/>
        <v>6.2042552291234854</v>
      </c>
      <c r="AC318" s="246">
        <f t="shared" si="118"/>
        <v>-103.95596869868149</v>
      </c>
      <c r="AD318" s="248">
        <f t="shared" si="119"/>
        <v>-9.6799664128385636</v>
      </c>
      <c r="AE318" s="248">
        <f t="shared" si="120"/>
        <v>167.92106664375331</v>
      </c>
      <c r="AF318" s="246">
        <f t="shared" si="108"/>
        <v>-3.4757111837150783</v>
      </c>
      <c r="AG318" s="246">
        <f t="shared" si="109"/>
        <v>63.965097945071818</v>
      </c>
      <c r="AH318" s="249" t="str">
        <f t="shared" si="110"/>
        <v>0.320832583893588-0.068657169964021i</v>
      </c>
    </row>
    <row r="319" spans="9:34" x14ac:dyDescent="0.2">
      <c r="I319" s="246">
        <v>315</v>
      </c>
      <c r="J319" s="246">
        <f t="shared" si="98"/>
        <v>4.0712885959367711</v>
      </c>
      <c r="K319" s="246">
        <f t="shared" ref="K319:K382" si="122">10^(J319)</f>
        <v>11783.887724211459</v>
      </c>
      <c r="L319" s="246">
        <f t="shared" si="111"/>
        <v>74040.350210219331</v>
      </c>
      <c r="M319" s="246">
        <f t="shared" si="99"/>
        <v>3233.0082903634629</v>
      </c>
      <c r="N319" s="246">
        <f>SQRT((ABS(AC319)-171.5+'Small Signal'!C$59)^2)</f>
        <v>3.0499082557824693</v>
      </c>
      <c r="O319" s="246">
        <f t="shared" si="112"/>
        <v>63.281190101068688</v>
      </c>
      <c r="P319" s="246">
        <f t="shared" si="113"/>
        <v>3.6463607889753611</v>
      </c>
      <c r="Q319" s="246">
        <f t="shared" si="121"/>
        <v>11783.887724211459</v>
      </c>
      <c r="R319" s="246" t="str">
        <f t="shared" si="100"/>
        <v>0.161233333333333+0.347989645988031i</v>
      </c>
      <c r="S319" s="246" t="str">
        <f t="shared" si="101"/>
        <v>0.025-1.4368243588983i</v>
      </c>
      <c r="T319" s="246" t="str">
        <f t="shared" si="102"/>
        <v>0.110419465816364-1.4287255456973i</v>
      </c>
      <c r="U319" s="246" t="str">
        <f t="shared" si="103"/>
        <v>-19.1882008466269-4.42657208617324i</v>
      </c>
      <c r="V319" s="246">
        <f t="shared" si="115"/>
        <v>25.885871894484907</v>
      </c>
      <c r="W319" s="246">
        <f t="shared" si="116"/>
        <v>-167.00956283357743</v>
      </c>
      <c r="X319" s="246" t="str">
        <f t="shared" si="104"/>
        <v>0.999012551040734-0.0055584467368751i</v>
      </c>
      <c r="Y319" s="246" t="str">
        <f t="shared" si="105"/>
        <v>32.8707316636119-65.2251711207472i</v>
      </c>
      <c r="Z319" s="246" t="str">
        <f t="shared" si="106"/>
        <v>20.317139597351-40.8795365491304i</v>
      </c>
      <c r="AA319" s="246" t="str">
        <f t="shared" si="107"/>
        <v>-0.503479756302798-1.93983952738309i</v>
      </c>
      <c r="AB319" s="246">
        <f t="shared" si="117"/>
        <v>6.0384444712056933</v>
      </c>
      <c r="AC319" s="246">
        <f t="shared" si="118"/>
        <v>-104.54990825578247</v>
      </c>
      <c r="AD319" s="248">
        <f t="shared" si="119"/>
        <v>-9.6848052601810544</v>
      </c>
      <c r="AE319" s="248">
        <f t="shared" si="120"/>
        <v>167.83109835685116</v>
      </c>
      <c r="AF319" s="246">
        <f t="shared" si="108"/>
        <v>-3.6463607889753611</v>
      </c>
      <c r="AG319" s="246">
        <f t="shared" si="109"/>
        <v>63.281190101068688</v>
      </c>
      <c r="AH319" s="249" t="str">
        <f t="shared" si="110"/>
        <v>0.320545756465248-0.0691223518796499i</v>
      </c>
    </row>
    <row r="320" spans="9:34" x14ac:dyDescent="0.2">
      <c r="I320" s="246">
        <v>316</v>
      </c>
      <c r="J320" s="246">
        <f t="shared" si="98"/>
        <v>4.0810387184635548</v>
      </c>
      <c r="K320" s="246">
        <f t="shared" si="122"/>
        <v>12051.433771962274</v>
      </c>
      <c r="L320" s="246">
        <f t="shared" si="111"/>
        <v>75721.391606441219</v>
      </c>
      <c r="M320" s="246">
        <f t="shared" si="99"/>
        <v>3506.6288094044503</v>
      </c>
      <c r="N320" s="246">
        <f>SQRT((ABS(AC320)-171.5+'Small Signal'!C$59)^2)</f>
        <v>3.6476588538660195</v>
      </c>
      <c r="O320" s="246">
        <f t="shared" si="112"/>
        <v>62.587585438508981</v>
      </c>
      <c r="P320" s="246">
        <f t="shared" si="113"/>
        <v>3.8162317434963313</v>
      </c>
      <c r="Q320" s="246">
        <f t="shared" si="121"/>
        <v>12051.433771962274</v>
      </c>
      <c r="R320" s="246" t="str">
        <f t="shared" si="100"/>
        <v>0.161233333333333+0.355890540550274i</v>
      </c>
      <c r="S320" s="246" t="str">
        <f t="shared" si="101"/>
        <v>0.025-1.40492635524087i</v>
      </c>
      <c r="T320" s="246" t="str">
        <f t="shared" si="102"/>
        <v>0.10668052478417-1.39722598313926i</v>
      </c>
      <c r="U320" s="246" t="str">
        <f t="shared" si="103"/>
        <v>-18.4710621539692-3.81941490572603i</v>
      </c>
      <c r="V320" s="246">
        <f t="shared" si="115"/>
        <v>25.5116696451799</v>
      </c>
      <c r="W320" s="246">
        <f t="shared" si="116"/>
        <v>-168.31712796004828</v>
      </c>
      <c r="X320" s="246" t="str">
        <f t="shared" si="104"/>
        <v>0.998967203157618-0.00568464791011174i</v>
      </c>
      <c r="Y320" s="246" t="str">
        <f t="shared" si="105"/>
        <v>31.2682668524238-64.083330288318i</v>
      </c>
      <c r="Z320" s="246" t="str">
        <f t="shared" si="106"/>
        <v>19.3136354161563-40.1609730162822i</v>
      </c>
      <c r="AA320" s="246" t="str">
        <f t="shared" si="107"/>
        <v>-0.513841459499258-1.89810222083241i</v>
      </c>
      <c r="AB320" s="246">
        <f t="shared" si="117"/>
        <v>5.8735452743807315</v>
      </c>
      <c r="AC320" s="246">
        <f t="shared" si="118"/>
        <v>-105.14765885386602</v>
      </c>
      <c r="AD320" s="248">
        <f t="shared" si="119"/>
        <v>-9.6897770178770628</v>
      </c>
      <c r="AE320" s="248">
        <f t="shared" si="120"/>
        <v>167.735244292375</v>
      </c>
      <c r="AF320" s="246">
        <f t="shared" si="108"/>
        <v>-3.8162317434963313</v>
      </c>
      <c r="AG320" s="246">
        <f t="shared" si="109"/>
        <v>62.587585438508981</v>
      </c>
      <c r="AH320" s="249" t="str">
        <f t="shared" si="110"/>
        <v>0.320246308609415-0.0696186572595564i</v>
      </c>
    </row>
    <row r="321" spans="9:34" x14ac:dyDescent="0.2">
      <c r="I321" s="246">
        <v>317</v>
      </c>
      <c r="J321" s="246">
        <f t="shared" si="98"/>
        <v>4.0907888409903386</v>
      </c>
      <c r="K321" s="246">
        <f t="shared" si="122"/>
        <v>12325.054291003262</v>
      </c>
      <c r="L321" s="246">
        <f t="shared" si="111"/>
        <v>77440.600031422407</v>
      </c>
      <c r="M321" s="246">
        <f t="shared" si="99"/>
        <v>3786.4617169343619</v>
      </c>
      <c r="N321" s="246">
        <f>SQRT((ABS(AC321)-171.5+'Small Signal'!C$59)^2)</f>
        <v>4.2493007182090139</v>
      </c>
      <c r="O321" s="246">
        <f t="shared" si="112"/>
        <v>61.884168861505998</v>
      </c>
      <c r="P321" s="246">
        <f t="shared" si="113"/>
        <v>3.985293432240379</v>
      </c>
      <c r="Q321" s="246">
        <f t="shared" si="121"/>
        <v>12325.054291003262</v>
      </c>
      <c r="R321" s="246" t="str">
        <f t="shared" si="100"/>
        <v>0.161233333333333+0.363970820147685i</v>
      </c>
      <c r="S321" s="246" t="str">
        <f t="shared" si="101"/>
        <v>0.025-1.37373649842896i</v>
      </c>
      <c r="T321" s="246" t="str">
        <f t="shared" si="102"/>
        <v>0.103104658025222-1.36641154340927i</v>
      </c>
      <c r="U321" s="246" t="str">
        <f t="shared" si="103"/>
        <v>-17.7715609781686-3.26070502857533i</v>
      </c>
      <c r="V321" s="246">
        <f t="shared" si="115"/>
        <v>25.138307437262263</v>
      </c>
      <c r="W321" s="246">
        <f t="shared" si="116"/>
        <v>-169.60307771338987</v>
      </c>
      <c r="X321" s="246" t="str">
        <f t="shared" si="104"/>
        <v>0.998919772705592-0.00581371440470169i</v>
      </c>
      <c r="Y321" s="246" t="str">
        <f t="shared" si="105"/>
        <v>29.7455281669497-62.9348195267578i</v>
      </c>
      <c r="Z321" s="246" t="str">
        <f t="shared" si="106"/>
        <v>18.3600988321337-39.4383141129415i</v>
      </c>
      <c r="AA321" s="246" t="str">
        <f t="shared" si="107"/>
        <v>-0.523764017769557-1.85721388549687i</v>
      </c>
      <c r="AB321" s="246">
        <f t="shared" si="117"/>
        <v>5.7095977488380392</v>
      </c>
      <c r="AC321" s="246">
        <f t="shared" si="118"/>
        <v>-105.74930071820901</v>
      </c>
      <c r="AD321" s="248">
        <f t="shared" si="119"/>
        <v>-9.6948911810784182</v>
      </c>
      <c r="AE321" s="248">
        <f t="shared" si="120"/>
        <v>167.63346957971501</v>
      </c>
      <c r="AF321" s="246">
        <f t="shared" si="108"/>
        <v>-3.985293432240379</v>
      </c>
      <c r="AG321" s="246">
        <f t="shared" si="109"/>
        <v>61.884168861505998</v>
      </c>
      <c r="AH321" s="249" t="str">
        <f t="shared" si="110"/>
        <v>0.319933710385832-0.0701460884105546i</v>
      </c>
    </row>
    <row r="322" spans="9:34" x14ac:dyDescent="0.2">
      <c r="I322" s="246">
        <v>318</v>
      </c>
      <c r="J322" s="246">
        <f t="shared" si="98"/>
        <v>4.1005389635171214</v>
      </c>
      <c r="K322" s="246">
        <f t="shared" si="122"/>
        <v>12604.887198533173</v>
      </c>
      <c r="L322" s="246">
        <f t="shared" si="111"/>
        <v>79198.842044479694</v>
      </c>
      <c r="M322" s="246">
        <f t="shared" si="99"/>
        <v>4072.6480614786269</v>
      </c>
      <c r="N322" s="246">
        <f>SQRT((ABS(AC322)-171.5+'Small Signal'!C$59)^2)</f>
        <v>4.8549060855453092</v>
      </c>
      <c r="O322" s="246">
        <f t="shared" si="112"/>
        <v>61.17083139055228</v>
      </c>
      <c r="P322" s="246">
        <f t="shared" si="113"/>
        <v>4.1535150881078744</v>
      </c>
      <c r="Q322" s="246">
        <f t="shared" si="121"/>
        <v>12604.887198533173</v>
      </c>
      <c r="R322" s="246" t="str">
        <f t="shared" si="100"/>
        <v>0.161233333333333+0.372234557609055i</v>
      </c>
      <c r="S322" s="246" t="str">
        <f t="shared" si="101"/>
        <v>0.025-1.34323906735477i</v>
      </c>
      <c r="T322" s="246" t="str">
        <f t="shared" si="102"/>
        <v>0.0996847988601334-1.3362679334137i</v>
      </c>
      <c r="U322" s="246" t="str">
        <f t="shared" si="103"/>
        <v>-17.0905349316019-2.74709762776587i</v>
      </c>
      <c r="V322" s="246">
        <f t="shared" si="115"/>
        <v>24.765895405643366</v>
      </c>
      <c r="W322" s="246">
        <f t="shared" si="116"/>
        <v>-170.86850154146109</v>
      </c>
      <c r="X322" s="246" t="str">
        <f t="shared" si="104"/>
        <v>0.998870164044176-0.00594571127603424i</v>
      </c>
      <c r="Y322" s="246" t="str">
        <f t="shared" si="105"/>
        <v>28.2988489760703-61.7831146805981i</v>
      </c>
      <c r="Z322" s="246" t="str">
        <f t="shared" si="106"/>
        <v>17.4542280654374-38.713731928783i</v>
      </c>
      <c r="AA322" s="246" t="str">
        <f t="shared" si="107"/>
        <v>-0.533265790260937-1.81716073398489i</v>
      </c>
      <c r="AB322" s="246">
        <f t="shared" si="117"/>
        <v>5.5466424002081274</v>
      </c>
      <c r="AC322" s="246">
        <f t="shared" si="118"/>
        <v>-106.35490608554531</v>
      </c>
      <c r="AD322" s="248">
        <f t="shared" si="119"/>
        <v>-9.7001574883160018</v>
      </c>
      <c r="AE322" s="248">
        <f t="shared" si="120"/>
        <v>167.52573747609759</v>
      </c>
      <c r="AF322" s="246">
        <f t="shared" si="108"/>
        <v>-4.1535150881078744</v>
      </c>
      <c r="AG322" s="246">
        <f t="shared" si="109"/>
        <v>61.17083139055228</v>
      </c>
      <c r="AH322" s="249" t="str">
        <f t="shared" si="110"/>
        <v>0.319607411970114-0.0707046473356345i</v>
      </c>
    </row>
    <row r="323" spans="9:34" x14ac:dyDescent="0.2">
      <c r="I323" s="246">
        <v>319</v>
      </c>
      <c r="J323" s="246">
        <f t="shared" si="98"/>
        <v>4.1102890860439043</v>
      </c>
      <c r="K323" s="246">
        <f t="shared" si="122"/>
        <v>12891.073543077438</v>
      </c>
      <c r="L323" s="246">
        <f t="shared" si="111"/>
        <v>80997.003879635653</v>
      </c>
      <c r="M323" s="246">
        <f t="shared" si="99"/>
        <v>4365.3320939842524</v>
      </c>
      <c r="N323" s="246">
        <f>SQRT((ABS(AC323)-171.5+'Small Signal'!C$59)^2)</f>
        <v>5.4645388574020757</v>
      </c>
      <c r="O323" s="246">
        <f t="shared" si="112"/>
        <v>60.447470548580824</v>
      </c>
      <c r="P323" s="246">
        <f t="shared" si="113"/>
        <v>4.320865829524613</v>
      </c>
      <c r="Q323" s="246">
        <f t="shared" si="121"/>
        <v>12891.073543077438</v>
      </c>
      <c r="R323" s="246" t="str">
        <f t="shared" si="100"/>
        <v>0.161233333333333+0.380685918234288i</v>
      </c>
      <c r="S323" s="246" t="str">
        <f t="shared" si="101"/>
        <v>0.025-1.31341868992454i</v>
      </c>
      <c r="T323" s="246" t="str">
        <f t="shared" si="102"/>
        <v>0.0964141829128991-1.30678111835078i</v>
      </c>
      <c r="U323" s="246" t="str">
        <f t="shared" si="103"/>
        <v>-16.4285996483695-2.27543638817655i</v>
      </c>
      <c r="V323" s="246">
        <f t="shared" si="115"/>
        <v>24.394534853789906</v>
      </c>
      <c r="W323" s="246">
        <f t="shared" si="116"/>
        <v>-172.11444066731971</v>
      </c>
      <c r="X323" s="246" t="str">
        <f t="shared" si="104"/>
        <v>0.998818277140672-0.006080705056542i</v>
      </c>
      <c r="Y323" s="246" t="str">
        <f t="shared" si="105"/>
        <v>26.9246438657016-60.6312809113647i</v>
      </c>
      <c r="Z323" s="246" t="str">
        <f t="shared" si="106"/>
        <v>16.5937727844631-37.989141372765i</v>
      </c>
      <c r="AA323" s="246" t="str">
        <f t="shared" si="107"/>
        <v>-0.542364425617486-1.77792897479738i</v>
      </c>
      <c r="AB323" s="246">
        <f t="shared" si="117"/>
        <v>5.3847201073014483</v>
      </c>
      <c r="AC323" s="246">
        <f t="shared" si="118"/>
        <v>-106.96453885740208</v>
      </c>
      <c r="AD323" s="248">
        <f t="shared" si="119"/>
        <v>-9.7055859368260613</v>
      </c>
      <c r="AE323" s="248">
        <f t="shared" si="120"/>
        <v>167.4120094059829</v>
      </c>
      <c r="AF323" s="246">
        <f t="shared" si="108"/>
        <v>-4.320865829524613</v>
      </c>
      <c r="AG323" s="246">
        <f t="shared" si="109"/>
        <v>60.447470548580824</v>
      </c>
      <c r="AH323" s="249" t="str">
        <f t="shared" si="110"/>
        <v>0.319266843125471-0.0712943347644583i</v>
      </c>
    </row>
    <row r="324" spans="9:34" x14ac:dyDescent="0.2">
      <c r="I324" s="246">
        <v>320</v>
      </c>
      <c r="J324" s="246">
        <f t="shared" ref="J324:J387" si="123">1+I324*(LOG(fsw)-1)/500</f>
        <v>4.1200392085706881</v>
      </c>
      <c r="K324" s="246">
        <f t="shared" si="122"/>
        <v>13183.757575583064</v>
      </c>
      <c r="L324" s="246">
        <f t="shared" si="111"/>
        <v>82835.991892321064</v>
      </c>
      <c r="M324" s="246">
        <f t="shared" ref="M324:M387" si="124">SQRT((Fco_target-K325)^2)</f>
        <v>4664.6613405286826</v>
      </c>
      <c r="N324" s="246">
        <f>SQRT((ABS(AC324)-171.5+'Small Signal'!C$59)^2)</f>
        <v>6.0782542568231008</v>
      </c>
      <c r="O324" s="246">
        <f t="shared" si="112"/>
        <v>59.713990747067328</v>
      </c>
      <c r="P324" s="246">
        <f t="shared" si="113"/>
        <v>4.4873147023006048</v>
      </c>
      <c r="Q324" s="246">
        <f t="shared" si="121"/>
        <v>13183.757575583064</v>
      </c>
      <c r="R324" s="246" t="str">
        <f t="shared" ref="R324:R387" si="125">IMSUM(COMPLEX(DCRss,Lss*L324),COMPLEX(Rdsonss,0),COMPLEX(40/3*Risense,0))</f>
        <v>0.161233333333333+0.389329161893909i</v>
      </c>
      <c r="S324" s="246" t="str">
        <f t="shared" ref="S324:S387" si="126">IMSUM(COMPLEX(ESRss,0),IMDIV(COMPLEX(1,0),COMPLEX(0,L324*Cbulkss)))</f>
        <v>0.025-1.28426033531043i</v>
      </c>
      <c r="T324" s="246" t="str">
        <f t="shared" ref="T324:T387" si="127">IMDIV(IMPRODUCT(S324,COMPLEX(Ross,0)),IMSUM(S324,COMPLEX(Ross,0)))</f>
        <v>0.0932863355156696-1.27793731974697i</v>
      </c>
      <c r="U324" s="246" t="str">
        <f t="shared" ref="U324:U387" si="128">IMPRODUCT(COMPLEX(Vinss,0),COMPLEX(M^2,0),IMDIV(IMSUB(COMPLEX(1,0),IMDIV(IMPRODUCT(R324,COMPLEX(M^2,0)),COMPLEX(Ross,0))),IMSUM(COMPLEX(1,0),IMDIV(IMPRODUCT(R324,COMPLEX(M^2,0)),T324))))</f>
        <v>-15.7861787071872-1.84275062121584i</v>
      </c>
      <c r="V324" s="246">
        <f t="shared" si="115"/>
        <v>24.024319158084925</v>
      </c>
      <c r="W324" s="246">
        <f t="shared" si="116"/>
        <v>-173.3418876232783</v>
      </c>
      <c r="X324" s="246" t="str">
        <f t="shared" ref="X324:X387" si="129">IMSUM(COMPLEX(1,L324/(wn*q0)),IMPOWER(COMPLEX(0,L324/wn),2))</f>
        <v>0.99876400736845-0.00621876378923628i</v>
      </c>
      <c r="Y324" s="246" t="str">
        <f t="shared" ref="Y324:Y387" si="130">IMPRODUCT(COMPLEX(2*Ioutss*M^2,0),IMDIV(IMSUM(COMPLEX(1,0),IMDIV(COMPLEX(Ross,0),IMPRODUCT(COMPLEX(2,0),S324))),IMSUM(COMPLEX(1,0),IMDIV(IMPRODUCT(R324,COMPLEX(M^2,0)),T324))))</f>
        <v>25.6194254582137-59.482011964626i</v>
      </c>
      <c r="Z324" s="246" t="str">
        <f t="shared" ref="Z324:Z387" si="131">IMPRODUCT(COMPLEX(Fm*40/3*Risense,0),Y324,X324)</f>
        <v>15.7765445876115-37.2662247963309i</v>
      </c>
      <c r="AA324" s="246" t="str">
        <f t="shared" ref="AA324:AA387" si="132">IMDIV(IMPRODUCT(COMPLEX(Fm,0),U324),IMSUM(COMPLEX(1,0),Z324))</f>
        <v>-0.551076886179969-1.73950483099401i</v>
      </c>
      <c r="AB324" s="246">
        <f t="shared" si="117"/>
        <v>5.2238720957524762</v>
      </c>
      <c r="AC324" s="246">
        <f t="shared" si="118"/>
        <v>-107.5782542568231</v>
      </c>
      <c r="AD324" s="248">
        <f t="shared" si="119"/>
        <v>-9.711186798053081</v>
      </c>
      <c r="AE324" s="248">
        <f t="shared" si="120"/>
        <v>167.29224500389043</v>
      </c>
      <c r="AF324" s="246">
        <f t="shared" ref="AF324:AF387" si="133">AD324+AB324</f>
        <v>-4.4873147023006048</v>
      </c>
      <c r="AG324" s="246">
        <f t="shared" ref="AG324:AG387" si="134">AE324+AC324</f>
        <v>59.713990747067328</v>
      </c>
      <c r="AH324" s="249" t="str">
        <f t="shared" ref="AH324:AH387" si="135">IMDIV(IMPRODUCT(COMPLEX(gea*Rea*Rslss/(Rslss+Rshss),0),COMPLEX(1,L324*Ccompss*Rcompss),COMPLEX(1,k_3*L324*Cffss*Rshss)),IMPRODUCT(COMPLEX(1,L324*Rea*Ccompss),COMPLEX(1,L324*Rcompss*Chfss),COMPLEX(1,k_3*L324*Rffss*Cffss)))</f>
        <v>0.318911412681993-0.0719151491314043i</v>
      </c>
    </row>
    <row r="325" spans="9:34" x14ac:dyDescent="0.2">
      <c r="I325" s="246">
        <v>321</v>
      </c>
      <c r="J325" s="246">
        <f t="shared" si="123"/>
        <v>4.1297893310974718</v>
      </c>
      <c r="K325" s="246">
        <f t="shared" si="122"/>
        <v>13483.086822127494</v>
      </c>
      <c r="L325" s="246">
        <f t="shared" ref="L325:L388" si="136">2*PI()*K325</f>
        <v>84716.733016218175</v>
      </c>
      <c r="M325" s="246">
        <f t="shared" si="124"/>
        <v>4970.7866766797797</v>
      </c>
      <c r="N325" s="246">
        <f>SQRT((ABS(AC325)-171.5+'Small Signal'!C$59)^2)</f>
        <v>6.6960984901683247</v>
      </c>
      <c r="O325" s="246">
        <f t="shared" ref="O325:O388" si="137">ABS(AG325)</f>
        <v>58.97030367068551</v>
      </c>
      <c r="P325" s="246">
        <f t="shared" ref="P325:P388" si="138">ABS(AF325)</f>
        <v>4.6528307258732919</v>
      </c>
      <c r="Q325" s="246">
        <f t="shared" si="121"/>
        <v>13483.086822127494</v>
      </c>
      <c r="R325" s="246" t="str">
        <f t="shared" si="125"/>
        <v>0.161233333333333+0.398168645176225i</v>
      </c>
      <c r="S325" s="246" t="str">
        <f t="shared" si="126"/>
        <v>0.025-1.2557493063742i</v>
      </c>
      <c r="T325" s="246" t="str">
        <f t="shared" si="127"/>
        <v>0.0902950596091591-1.24972301329896i</v>
      </c>
      <c r="U325" s="246" t="str">
        <f t="shared" si="128"/>
        <v>-15.1635303457161-1.44625064510159i</v>
      </c>
      <c r="V325" s="246">
        <f t="shared" ref="V325:V388" si="139">20*LOG(IMABS(U325))</f>
        <v>23.655334588965641</v>
      </c>
      <c r="W325" s="246">
        <f t="shared" ref="W325:W388" si="140">IF(DEGREES(IMARGUMENT(U325))&gt;0,DEGREES(IMARGUMENT(U325))-360, DEGREES(IMARGUMENT(U325)))</f>
        <v>-174.55178615418589</v>
      </c>
      <c r="X325" s="246" t="str">
        <f t="shared" si="129"/>
        <v>0.998707245295978-0.00635995706200378i</v>
      </c>
      <c r="Y325" s="246" t="str">
        <f t="shared" si="130"/>
        <v>24.3798168990649-58.3376666112193i</v>
      </c>
      <c r="Z325" s="246" t="str">
        <f t="shared" si="131"/>
        <v>15.0004247746429-36.5464548401768i</v>
      </c>
      <c r="AA325" s="246" t="str">
        <f t="shared" si="132"/>
        <v>-0.559419471724111-1.7018745574032i</v>
      </c>
      <c r="AB325" s="246">
        <f t="shared" ref="AB325:AB388" si="141">20*LOG(IMABS(AA325))</f>
        <v>5.0641399074571858</v>
      </c>
      <c r="AC325" s="246">
        <f t="shared" ref="AC325:AC388" si="142">IF(DEGREES(IMARGUMENT(AA325))&gt;0,DEGREES(IMARGUMENT(AA325))-360, DEGREES(IMARGUMENT(AA325)))</f>
        <v>-108.19609849016832</v>
      </c>
      <c r="AD325" s="248">
        <f t="shared" ref="AD325:AD388" si="143">20*LOG(IMABS(AH325))</f>
        <v>-9.7169706333304777</v>
      </c>
      <c r="AE325" s="248">
        <f t="shared" ref="AE325:AE388" si="144">180+DEGREES(IMARGUMENT(AH325))</f>
        <v>167.16640216085383</v>
      </c>
      <c r="AF325" s="246">
        <f t="shared" si="133"/>
        <v>-4.6528307258732919</v>
      </c>
      <c r="AG325" s="246">
        <f t="shared" si="134"/>
        <v>58.97030367068551</v>
      </c>
      <c r="AH325" s="249" t="str">
        <f t="shared" si="135"/>
        <v>0.318540508026187-0.0725670854986952i</v>
      </c>
    </row>
    <row r="326" spans="9:34" x14ac:dyDescent="0.2">
      <c r="I326" s="246">
        <v>322</v>
      </c>
      <c r="J326" s="246">
        <f t="shared" si="123"/>
        <v>4.1395394536242547</v>
      </c>
      <c r="K326" s="246">
        <f t="shared" si="122"/>
        <v>13789.212158278591</v>
      </c>
      <c r="L326" s="246">
        <f t="shared" si="136"/>
        <v>86640.175230478155</v>
      </c>
      <c r="M326" s="246">
        <f t="shared" si="124"/>
        <v>5283.862403544088</v>
      </c>
      <c r="N326" s="246">
        <f>SQRT((ABS(AC326)-171.5+'Small Signal'!C$59)^2)</f>
        <v>7.3181084158180738</v>
      </c>
      <c r="O326" s="246">
        <f t="shared" si="137"/>
        <v>58.216328658901091</v>
      </c>
      <c r="P326" s="246">
        <f t="shared" si="138"/>
        <v>4.8173829440178206</v>
      </c>
      <c r="Q326" s="246">
        <f t="shared" si="121"/>
        <v>13789.212158278591</v>
      </c>
      <c r="R326" s="246" t="str">
        <f t="shared" si="125"/>
        <v>0.161233333333333+0.407208823583247i</v>
      </c>
      <c r="S326" s="246" t="str">
        <f t="shared" si="126"/>
        <v>0.025-1.22787123225925i</v>
      </c>
      <c r="T326" s="246" t="str">
        <f t="shared" si="127"/>
        <v>0.0874344241217872-1.22212492654042i</v>
      </c>
      <c r="U326" s="246" t="str">
        <f t="shared" si="128"/>
        <v>-14.5607712078149-1.0833218768598i</v>
      </c>
      <c r="V326" s="246">
        <f t="shared" si="139"/>
        <v>23.287661053020781</v>
      </c>
      <c r="W326" s="246">
        <f t="shared" si="140"/>
        <v>-175.74503142029269</v>
      </c>
      <c r="X326" s="246" t="str">
        <f t="shared" si="129"/>
        <v>0.998647876466162-0.00650435604268209i</v>
      </c>
      <c r="Y326" s="246" t="str">
        <f t="shared" si="130"/>
        <v>23.2025607306147-57.200302263097i</v>
      </c>
      <c r="Z326" s="246" t="str">
        <f t="shared" si="131"/>
        <v>14.2633698586643-35.8311155058768i</v>
      </c>
      <c r="AA326" s="246" t="str">
        <f t="shared" si="132"/>
        <v>-0.567407842713008-1.66502445645959i</v>
      </c>
      <c r="AB326" s="246">
        <f t="shared" si="141"/>
        <v>4.905565365717985</v>
      </c>
      <c r="AC326" s="246">
        <f t="shared" si="142"/>
        <v>-108.81810841581807</v>
      </c>
      <c r="AD326" s="248">
        <f t="shared" si="143"/>
        <v>-9.7229483097358056</v>
      </c>
      <c r="AE326" s="248">
        <f t="shared" si="144"/>
        <v>167.03443707471916</v>
      </c>
      <c r="AF326" s="246">
        <f t="shared" si="133"/>
        <v>-4.8173829440178206</v>
      </c>
      <c r="AG326" s="246">
        <f t="shared" si="134"/>
        <v>58.216328658901091</v>
      </c>
      <c r="AH326" s="249" t="str">
        <f t="shared" si="135"/>
        <v>0.318153494603832-0.0732501344221704i</v>
      </c>
    </row>
    <row r="327" spans="9:34" x14ac:dyDescent="0.2">
      <c r="I327" s="246">
        <v>323</v>
      </c>
      <c r="J327" s="246">
        <f t="shared" si="123"/>
        <v>4.1492895761510376</v>
      </c>
      <c r="K327" s="246">
        <f t="shared" si="122"/>
        <v>14102.2878851429</v>
      </c>
      <c r="L327" s="246">
        <f t="shared" si="136"/>
        <v>88607.288037546547</v>
      </c>
      <c r="M327" s="246">
        <f t="shared" si="124"/>
        <v>5604.0463255414397</v>
      </c>
      <c r="N327" s="246">
        <f>SQRT((ABS(AC327)-171.5+'Small Signal'!C$59)^2)</f>
        <v>7.9443112217535941</v>
      </c>
      <c r="O327" s="246">
        <f t="shared" si="137"/>
        <v>57.451993082755251</v>
      </c>
      <c r="P327" s="246">
        <f t="shared" si="138"/>
        <v>4.9809404800918928</v>
      </c>
      <c r="Q327" s="246">
        <f t="shared" si="121"/>
        <v>14102.2878851429</v>
      </c>
      <c r="R327" s="246" t="str">
        <f t="shared" si="125"/>
        <v>0.161233333333333+0.416454253776469i</v>
      </c>
      <c r="S327" s="246" t="str">
        <f t="shared" si="126"/>
        <v>0.025-1.20061206114699i</v>
      </c>
      <c r="T327" s="246" t="str">
        <f t="shared" si="127"/>
        <v>0.0846987528109202-1.19513003635126i</v>
      </c>
      <c r="U327" s="246" t="str">
        <f t="shared" si="128"/>
        <v>-13.977897370888-0.751518003037062i</v>
      </c>
      <c r="V327" s="246">
        <f t="shared" si="139"/>
        <v>22.921372760571437</v>
      </c>
      <c r="W327" s="246">
        <f t="shared" si="140"/>
        <v>-176.92247044060682</v>
      </c>
      <c r="X327" s="246" t="str">
        <f t="shared" si="129"/>
        <v>0.998585781165544-0.00665203351493161i</v>
      </c>
      <c r="Y327" s="246" t="str">
        <f t="shared" si="130"/>
        <v>22.084524778035-56.071705824758i</v>
      </c>
      <c r="Z327" s="246" t="str">
        <f t="shared" si="131"/>
        <v>13.5634152101647-35.1213214914422i</v>
      </c>
      <c r="AA327" s="246" t="str">
        <f t="shared" si="132"/>
        <v>-0.575057043043652-1.62894089274807i</v>
      </c>
      <c r="AB327" s="246">
        <f t="shared" si="141"/>
        <v>4.74819053602537</v>
      </c>
      <c r="AC327" s="246">
        <f t="shared" si="142"/>
        <v>-109.44431122175359</v>
      </c>
      <c r="AD327" s="248">
        <f t="shared" si="143"/>
        <v>-9.7291310161172628</v>
      </c>
      <c r="AE327" s="248">
        <f t="shared" si="144"/>
        <v>166.89630430450885</v>
      </c>
      <c r="AF327" s="246">
        <f t="shared" si="133"/>
        <v>-4.9809404800918928</v>
      </c>
      <c r="AG327" s="246">
        <f t="shared" si="134"/>
        <v>57.451993082755251</v>
      </c>
      <c r="AH327" s="249" t="str">
        <f t="shared" si="135"/>
        <v>0.31774971543943-0.07396428075727i</v>
      </c>
    </row>
    <row r="328" spans="9:34" x14ac:dyDescent="0.2">
      <c r="I328" s="246">
        <v>324</v>
      </c>
      <c r="J328" s="246">
        <f t="shared" si="123"/>
        <v>4.1590396986778213</v>
      </c>
      <c r="K328" s="246">
        <f t="shared" si="122"/>
        <v>14422.471807140251</v>
      </c>
      <c r="L328" s="246">
        <f t="shared" si="136"/>
        <v>90619.06295183544</v>
      </c>
      <c r="M328" s="246">
        <f t="shared" si="124"/>
        <v>5931.499829945602</v>
      </c>
      <c r="N328" s="246">
        <f>SQRT((ABS(AC328)-171.5+'Small Signal'!C$59)^2)</f>
        <v>8.5747241141043276</v>
      </c>
      <c r="O328" s="246">
        <f t="shared" si="137"/>
        <v>56.677232714982665</v>
      </c>
      <c r="P328" s="246">
        <f t="shared" si="138"/>
        <v>5.1434725968550516</v>
      </c>
      <c r="Q328" s="246">
        <f t="shared" si="121"/>
        <v>14422.471807140251</v>
      </c>
      <c r="R328" s="246" t="str">
        <f t="shared" si="125"/>
        <v>0.161233333333333+0.425909595873627i</v>
      </c>
      <c r="S328" s="246" t="str">
        <f t="shared" si="126"/>
        <v>0.025-1.17395805317417i</v>
      </c>
      <c r="T328" s="246" t="str">
        <f t="shared" si="127"/>
        <v>0.0820826135499989-1.16872556632581i</v>
      </c>
      <c r="U328" s="246" t="str">
        <f t="shared" si="128"/>
        <v>-13.4148028980922-0.448553528089683i</v>
      </c>
      <c r="V328" s="246">
        <f t="shared" si="139"/>
        <v>22.556538823421057</v>
      </c>
      <c r="W328" s="246">
        <f t="shared" si="140"/>
        <v>-178.08490272699535</v>
      </c>
      <c r="X328" s="246" t="str">
        <f t="shared" si="129"/>
        <v>0.998520834182914-0.00680306391492171i</v>
      </c>
      <c r="Y328" s="246" t="str">
        <f t="shared" si="130"/>
        <v>21.0227055855876-54.953421884076i</v>
      </c>
      <c r="Z328" s="246" t="str">
        <f t="shared" si="131"/>
        <v>12.8986771701665-34.4180358566091i</v>
      </c>
      <c r="AA328" s="246" t="str">
        <f t="shared" si="132"/>
        <v>-0.582381522271305-1.59361030633033i</v>
      </c>
      <c r="AB328" s="246">
        <f t="shared" si="141"/>
        <v>4.592057682429564</v>
      </c>
      <c r="AC328" s="246">
        <f t="shared" si="142"/>
        <v>-110.07472411410433</v>
      </c>
      <c r="AD328" s="248">
        <f t="shared" si="143"/>
        <v>-9.7355302792846157</v>
      </c>
      <c r="AE328" s="248">
        <f t="shared" si="144"/>
        <v>166.75195682908699</v>
      </c>
      <c r="AF328" s="246">
        <f t="shared" si="133"/>
        <v>-5.1434725968550516</v>
      </c>
      <c r="AG328" s="246">
        <f t="shared" si="134"/>
        <v>56.677232714982665</v>
      </c>
      <c r="AH328" s="249" t="str">
        <f t="shared" si="135"/>
        <v>0.317328490675899-0.0747095024028419i</v>
      </c>
    </row>
    <row r="329" spans="9:34" x14ac:dyDescent="0.2">
      <c r="I329" s="246">
        <v>325</v>
      </c>
      <c r="J329" s="246">
        <f t="shared" si="123"/>
        <v>4.1687898212046051</v>
      </c>
      <c r="K329" s="246">
        <f t="shared" si="122"/>
        <v>14749.925311544413</v>
      </c>
      <c r="L329" s="246">
        <f t="shared" si="136"/>
        <v>92676.513999492134</v>
      </c>
      <c r="M329" s="246">
        <f t="shared" si="124"/>
        <v>6266.3879682308379</v>
      </c>
      <c r="N329" s="246">
        <f>SQRT((ABS(AC329)-171.5+'Small Signal'!C$59)^2)</f>
        <v>9.2093540188827774</v>
      </c>
      <c r="O329" s="246">
        <f t="shared" si="137"/>
        <v>55.891992091488163</v>
      </c>
      <c r="P329" s="246">
        <f t="shared" si="138"/>
        <v>5.3049487608738684</v>
      </c>
      <c r="Q329" s="246">
        <f t="shared" si="121"/>
        <v>14749.925311544413</v>
      </c>
      <c r="R329" s="246" t="str">
        <f t="shared" si="125"/>
        <v>0.161233333333333+0.435579615797613i</v>
      </c>
      <c r="S329" s="246" t="str">
        <f t="shared" si="126"/>
        <v>0.025-1.14789577350727i</v>
      </c>
      <c r="T329" s="246" t="str">
        <f t="shared" si="127"/>
        <v>0.0795808080456553-1.14289898401526i</v>
      </c>
      <c r="U329" s="246" t="str">
        <f t="shared" si="128"/>
        <v>-12.8712961520936-0.172295941488054i</v>
      </c>
      <c r="V329" s="246">
        <f t="shared" si="139"/>
        <v>22.193223787504461</v>
      </c>
      <c r="W329" s="246">
        <f t="shared" si="140"/>
        <v>-179.23308106751605</v>
      </c>
      <c r="X329" s="246" t="str">
        <f t="shared" si="129"/>
        <v>0.998452904556827-0.00695752336884997i</v>
      </c>
      <c r="Y329" s="246" t="str">
        <f t="shared" si="130"/>
        <v>20.0142298637181-53.8467783753162i</v>
      </c>
      <c r="Z329" s="246" t="str">
        <f t="shared" si="131"/>
        <v>12.2673539207691-33.7220861016978i</v>
      </c>
      <c r="AA329" s="246" t="str">
        <f t="shared" si="132"/>
        <v>-0.589395157299468-1.55901922492657i</v>
      </c>
      <c r="AB329" s="246">
        <f t="shared" si="141"/>
        <v>4.4372092194820745</v>
      </c>
      <c r="AC329" s="246">
        <f t="shared" si="142"/>
        <v>-110.70935401888278</v>
      </c>
      <c r="AD329" s="248">
        <f t="shared" si="143"/>
        <v>-9.7421579803559428</v>
      </c>
      <c r="AE329" s="248">
        <f t="shared" si="144"/>
        <v>166.60134611037094</v>
      </c>
      <c r="AF329" s="246">
        <f t="shared" si="133"/>
        <v>-5.3049487608738684</v>
      </c>
      <c r="AG329" s="246">
        <f t="shared" si="134"/>
        <v>55.891992091488163</v>
      </c>
      <c r="AH329" s="249" t="str">
        <f t="shared" si="135"/>
        <v>0.316889117138458-0.0754857689804388i</v>
      </c>
    </row>
    <row r="330" spans="9:34" x14ac:dyDescent="0.2">
      <c r="I330" s="246">
        <v>326</v>
      </c>
      <c r="J330" s="246">
        <f t="shared" si="123"/>
        <v>4.1785399437313888</v>
      </c>
      <c r="K330" s="246">
        <f t="shared" si="122"/>
        <v>15084.813449829649</v>
      </c>
      <c r="L330" s="246">
        <f t="shared" si="136"/>
        <v>94780.678229514655</v>
      </c>
      <c r="M330" s="246">
        <f t="shared" si="124"/>
        <v>6608.8795392654429</v>
      </c>
      <c r="N330" s="246">
        <f>SQRT((ABS(AC330)-171.5+'Small Signal'!C$59)^2)</f>
        <v>9.8481972992316997</v>
      </c>
      <c r="O330" s="246">
        <f t="shared" si="137"/>
        <v>55.096224862111242</v>
      </c>
      <c r="P330" s="246">
        <f t="shared" si="138"/>
        <v>5.4653387114933167</v>
      </c>
      <c r="Q330" s="246">
        <f t="shared" si="121"/>
        <v>15084.813449829649</v>
      </c>
      <c r="R330" s="246" t="str">
        <f t="shared" si="125"/>
        <v>0.161233333333333+0.445469187678719i</v>
      </c>
      <c r="S330" s="246" t="str">
        <f t="shared" si="126"/>
        <v>0.025-1.1224120855708i</v>
      </c>
      <c r="T330" s="246" t="str">
        <f t="shared" si="127"/>
        <v>0.0771883619693735-1.11763799805866i</v>
      </c>
      <c r="U330" s="246" t="str">
        <f t="shared" si="128"/>
        <v>-12.3471140951717+0.0792423043113443i</v>
      </c>
      <c r="V330" s="246">
        <f t="shared" si="139"/>
        <v>21.831488105106796</v>
      </c>
      <c r="W330" s="246">
        <f t="shared" si="140"/>
        <v>-180.36771242462589</v>
      </c>
      <c r="X330" s="246" t="str">
        <f t="shared" si="129"/>
        <v>0.99838185531153-0.00711548973131328i</v>
      </c>
      <c r="Y330" s="246" t="str">
        <f t="shared" si="130"/>
        <v>19.0563543383079-52.7529098652185i</v>
      </c>
      <c r="Z330" s="246" t="str">
        <f t="shared" si="131"/>
        <v>11.667725358039-33.0341787551159i</v>
      </c>
      <c r="AA330" s="246" t="str">
        <f t="shared" si="132"/>
        <v>-0.596111273526295-1.52515427502164i</v>
      </c>
      <c r="AB330" s="246">
        <f t="shared" si="141"/>
        <v>4.2836876597554365</v>
      </c>
      <c r="AC330" s="246">
        <f t="shared" si="142"/>
        <v>-111.3481972992317</v>
      </c>
      <c r="AD330" s="248">
        <f t="shared" si="143"/>
        <v>-9.7490263712487533</v>
      </c>
      <c r="AE330" s="248">
        <f t="shared" si="144"/>
        <v>166.44442216134294</v>
      </c>
      <c r="AF330" s="246">
        <f t="shared" si="133"/>
        <v>-5.4653387114933167</v>
      </c>
      <c r="AG330" s="246">
        <f t="shared" si="134"/>
        <v>55.096224862111242</v>
      </c>
      <c r="AH330" s="249" t="str">
        <f t="shared" si="135"/>
        <v>0.316430867927003-0.076293040446862i</v>
      </c>
    </row>
    <row r="331" spans="9:34" x14ac:dyDescent="0.2">
      <c r="I331" s="246">
        <v>327</v>
      </c>
      <c r="J331" s="246">
        <f t="shared" si="123"/>
        <v>4.1882900662581726</v>
      </c>
      <c r="K331" s="246">
        <f t="shared" si="122"/>
        <v>15427.305020864254</v>
      </c>
      <c r="L331" s="246">
        <f t="shared" si="136"/>
        <v>96932.616236472139</v>
      </c>
      <c r="M331" s="246">
        <f t="shared" si="124"/>
        <v>6959.1471743938764</v>
      </c>
      <c r="N331" s="246">
        <f>SQRT((ABS(AC331)-171.5+'Small Signal'!C$59)^2)</f>
        <v>10.491239490601146</v>
      </c>
      <c r="O331" s="246">
        <f t="shared" si="137"/>
        <v>54.289894128526754</v>
      </c>
      <c r="P331" s="246">
        <f t="shared" si="138"/>
        <v>5.6246125343230666</v>
      </c>
      <c r="Q331" s="246">
        <f t="shared" si="121"/>
        <v>15427.305020864254</v>
      </c>
      <c r="R331" s="246" t="str">
        <f t="shared" si="125"/>
        <v>0.161233333333333+0.455583296311419i</v>
      </c>
      <c r="S331" s="246" t="str">
        <f t="shared" si="126"/>
        <v>0.025-1.09749414442583i</v>
      </c>
      <c r="T331" s="246" t="str">
        <f t="shared" si="127"/>
        <v>0.074900515488586-1.09293055521568i</v>
      </c>
      <c r="U331" s="246" t="str">
        <f t="shared" si="128"/>
        <v>-11.8419347862136+0.307911853808949i</v>
      </c>
      <c r="V331" s="246">
        <f t="shared" si="139"/>
        <v>21.471388551203169</v>
      </c>
      <c r="W331" s="246">
        <f t="shared" si="140"/>
        <v>-181.48945892013816</v>
      </c>
      <c r="X331" s="246" t="str">
        <f t="shared" si="129"/>
        <v>0.998307543180752-0.00727704262455013i</v>
      </c>
      <c r="Y331" s="246" t="str">
        <f t="shared" si="130"/>
        <v>18.1464643326724-51.6727786228246i</v>
      </c>
      <c r="Z331" s="246" t="str">
        <f t="shared" si="131"/>
        <v>11.0981521741273-32.3549125706359i</v>
      </c>
      <c r="AA331" s="246" t="str">
        <f t="shared" si="132"/>
        <v>-0.602542665441123-1.49200219196135i</v>
      </c>
      <c r="AB331" s="246">
        <f t="shared" si="141"/>
        <v>4.1315355569788252</v>
      </c>
      <c r="AC331" s="246">
        <f t="shared" si="142"/>
        <v>-111.99123949060115</v>
      </c>
      <c r="AD331" s="248">
        <f t="shared" si="143"/>
        <v>-9.7561480913018919</v>
      </c>
      <c r="AE331" s="248">
        <f t="shared" si="144"/>
        <v>166.2811336191279</v>
      </c>
      <c r="AF331" s="246">
        <f t="shared" si="133"/>
        <v>-5.6246125343230666</v>
      </c>
      <c r="AG331" s="246">
        <f t="shared" si="134"/>
        <v>54.289894128526754</v>
      </c>
      <c r="AH331" s="249" t="str">
        <f t="shared" si="135"/>
        <v>0.315952992041624-0.0771312656377992i</v>
      </c>
    </row>
    <row r="332" spans="9:34" x14ac:dyDescent="0.2">
      <c r="I332" s="246">
        <v>328</v>
      </c>
      <c r="J332" s="246">
        <f t="shared" si="123"/>
        <v>4.1980401887849554</v>
      </c>
      <c r="K332" s="246">
        <f t="shared" si="122"/>
        <v>15777.572655992688</v>
      </c>
      <c r="L332" s="246">
        <f t="shared" si="136"/>
        <v>99133.412695091654</v>
      </c>
      <c r="M332" s="246">
        <f t="shared" si="124"/>
        <v>7317.3674244509766</v>
      </c>
      <c r="N332" s="246">
        <f>SQRT((ABS(AC332)-171.5+'Small Signal'!C$59)^2)</f>
        <v>11.138455056360343</v>
      </c>
      <c r="O332" s="246">
        <f t="shared" si="137"/>
        <v>53.472972767049598</v>
      </c>
      <c r="P332" s="246">
        <f t="shared" si="138"/>
        <v>5.7827407391470338</v>
      </c>
      <c r="Q332" s="246">
        <f t="shared" si="121"/>
        <v>15777.572655992688</v>
      </c>
      <c r="R332" s="246" t="str">
        <f t="shared" si="125"/>
        <v>0.161233333333333+0.465927039666931i</v>
      </c>
      <c r="S332" s="246" t="str">
        <f t="shared" si="126"/>
        <v>0.025-1.07312939029558i</v>
      </c>
      <c r="T332" s="246" t="str">
        <f t="shared" si="127"/>
        <v>0.0727127141825421-1.06876483731348i</v>
      </c>
      <c r="U332" s="246" t="str">
        <f t="shared" si="128"/>
        <v>-11.3553882695937+0.515434429115887i</v>
      </c>
      <c r="V332" s="246">
        <f t="shared" si="139"/>
        <v>21.112978588299327</v>
      </c>
      <c r="W332" s="246">
        <f t="shared" si="140"/>
        <v>-182.59893888415363</v>
      </c>
      <c r="X332" s="246" t="str">
        <f t="shared" si="129"/>
        <v>0.998229818318826-0.00744226347857374i</v>
      </c>
      <c r="Y332" s="246" t="str">
        <f t="shared" si="130"/>
        <v>17.2820713599187-50.6071936372055i</v>
      </c>
      <c r="Z332" s="246" t="str">
        <f t="shared" si="131"/>
        <v>10.5570743223018-31.6847904376782i</v>
      </c>
      <c r="AA332" s="246" t="str">
        <f t="shared" si="132"/>
        <v>-0.608701616667821-1.45954982910179i</v>
      </c>
      <c r="AB332" s="246">
        <f t="shared" si="141"/>
        <v>3.9807954448630962</v>
      </c>
      <c r="AC332" s="246">
        <f t="shared" si="142"/>
        <v>-112.63845505636034</v>
      </c>
      <c r="AD332" s="248">
        <f t="shared" si="143"/>
        <v>-9.76353618401013</v>
      </c>
      <c r="AE332" s="248">
        <f t="shared" si="144"/>
        <v>166.11142782340994</v>
      </c>
      <c r="AF332" s="246">
        <f t="shared" si="133"/>
        <v>-5.7827407391470338</v>
      </c>
      <c r="AG332" s="246">
        <f t="shared" si="134"/>
        <v>53.472972767049598</v>
      </c>
      <c r="AH332" s="249" t="str">
        <f t="shared" si="135"/>
        <v>0.315454714046336-0.0780003807405639i</v>
      </c>
    </row>
    <row r="333" spans="9:34" x14ac:dyDescent="0.2">
      <c r="I333" s="246">
        <v>329</v>
      </c>
      <c r="J333" s="246">
        <f t="shared" si="123"/>
        <v>4.2077903113117383</v>
      </c>
      <c r="K333" s="246">
        <f t="shared" si="122"/>
        <v>16135.792906049788</v>
      </c>
      <c r="L333" s="246">
        <f t="shared" si="136"/>
        <v>101384.17690698462</v>
      </c>
      <c r="M333" s="246">
        <f t="shared" si="124"/>
        <v>7683.7208487516527</v>
      </c>
      <c r="N333" s="246">
        <f>SQRT((ABS(AC333)-171.5+'Small Signal'!C$59)^2)</f>
        <v>11.789807166399129</v>
      </c>
      <c r="O333" s="246">
        <f t="shared" si="137"/>
        <v>52.64544373407125</v>
      </c>
      <c r="P333" s="246">
        <f t="shared" si="138"/>
        <v>5.9396943421286741</v>
      </c>
      <c r="Q333" s="246">
        <f t="shared" si="121"/>
        <v>16135.792906049788</v>
      </c>
      <c r="R333" s="246" t="str">
        <f t="shared" si="125"/>
        <v>0.161233333333333+0.476505631462828i</v>
      </c>
      <c r="S333" s="246" t="str">
        <f t="shared" si="126"/>
        <v>0.025-1.04930554223472i</v>
      </c>
      <c r="T333" s="246" t="str">
        <f t="shared" si="127"/>
        <v>0.070620600328661-1.04512925811915i</v>
      </c>
      <c r="U333" s="246" t="str">
        <f t="shared" si="128"/>
        <v>-10.8870660349057+0.703410642168167i</v>
      </c>
      <c r="V333" s="246">
        <f t="shared" si="139"/>
        <v>20.756308683958473</v>
      </c>
      <c r="W333" s="246">
        <f t="shared" si="140"/>
        <v>-183.6967279497768</v>
      </c>
      <c r="X333" s="246" t="str">
        <f t="shared" si="129"/>
        <v>0.998148523998528-0.00761123557221661i</v>
      </c>
      <c r="Y333" s="246" t="str">
        <f t="shared" si="130"/>
        <v>16.4608099574227-49.5568277461426i</v>
      </c>
      <c r="Z333" s="246" t="str">
        <f t="shared" si="131"/>
        <v>10.0430090098563-31.0242301070775i</v>
      </c>
      <c r="AA333" s="246" t="str">
        <f t="shared" si="132"/>
        <v>-0.614599919453625-1.42778416607108i</v>
      </c>
      <c r="AB333" s="246">
        <f t="shared" si="141"/>
        <v>3.8315097717225202</v>
      </c>
      <c r="AC333" s="246">
        <f t="shared" si="142"/>
        <v>-113.28980716639913</v>
      </c>
      <c r="AD333" s="248">
        <f t="shared" si="143"/>
        <v>-9.7712041138511943</v>
      </c>
      <c r="AE333" s="248">
        <f t="shared" si="144"/>
        <v>165.93525090047038</v>
      </c>
      <c r="AF333" s="246">
        <f t="shared" si="133"/>
        <v>-5.9396943421286741</v>
      </c>
      <c r="AG333" s="246">
        <f t="shared" si="134"/>
        <v>52.64544373407125</v>
      </c>
      <c r="AH333" s="249" t="str">
        <f t="shared" si="135"/>
        <v>0.314935233776464-0.0789003076940987i</v>
      </c>
    </row>
    <row r="334" spans="9:34" x14ac:dyDescent="0.2">
      <c r="I334" s="246">
        <v>330</v>
      </c>
      <c r="J334" s="246">
        <f t="shared" si="123"/>
        <v>4.2175404338385221</v>
      </c>
      <c r="K334" s="246">
        <f t="shared" si="122"/>
        <v>16502.146330350464</v>
      </c>
      <c r="L334" s="246">
        <f t="shared" si="136"/>
        <v>103686.04335978556</v>
      </c>
      <c r="M334" s="246">
        <f t="shared" si="124"/>
        <v>8058.3921061007804</v>
      </c>
      <c r="N334" s="246">
        <f>SQRT((ABS(AC334)-171.5+'Small Signal'!C$59)^2)</f>
        <v>12.445247501316885</v>
      </c>
      <c r="O334" s="246">
        <f t="shared" si="137"/>
        <v>51.807300351818668</v>
      </c>
      <c r="P334" s="246">
        <f t="shared" si="138"/>
        <v>6.0954449521427012</v>
      </c>
      <c r="Q334" s="246">
        <f t="shared" si="121"/>
        <v>16502.146330350464</v>
      </c>
      <c r="R334" s="246" t="str">
        <f t="shared" si="125"/>
        <v>0.161233333333333+0.487324403790992i</v>
      </c>
      <c r="S334" s="246" t="str">
        <f t="shared" si="126"/>
        <v>0.025-1.02601059193917i</v>
      </c>
      <c r="T334" s="246" t="str">
        <f t="shared" si="127"/>
        <v>0.068620004545504-1.02201246014807i</v>
      </c>
      <c r="U334" s="246" t="str">
        <f t="shared" si="128"/>
        <v>-10.4365292105658+0.873327572318673i</v>
      </c>
      <c r="V334" s="246">
        <f t="shared" si="139"/>
        <v>20.401426584980666</v>
      </c>
      <c r="W334" s="246">
        <f t="shared" si="140"/>
        <v>-184.78336017932358</v>
      </c>
      <c r="X334" s="246" t="str">
        <f t="shared" si="129"/>
        <v>0.998063496295052-0.0077840440751068i</v>
      </c>
      <c r="Y334" s="246" t="str">
        <f t="shared" si="130"/>
        <v>15.6804339557518-48.5222330343426i</v>
      </c>
      <c r="Z334" s="246" t="str">
        <f t="shared" si="131"/>
        <v>9.55454833916164-30.3735738319514i</v>
      </c>
      <c r="AA334" s="246" t="str">
        <f t="shared" si="132"/>
        <v>-0.620248893604506-1.39669231620015i</v>
      </c>
      <c r="AB334" s="246">
        <f t="shared" si="141"/>
        <v>3.6837208310400871</v>
      </c>
      <c r="AC334" s="246">
        <f t="shared" si="142"/>
        <v>-113.94524750131689</v>
      </c>
      <c r="AD334" s="248">
        <f t="shared" si="143"/>
        <v>-9.7791657831827887</v>
      </c>
      <c r="AE334" s="248">
        <f t="shared" si="144"/>
        <v>165.75254785313555</v>
      </c>
      <c r="AF334" s="246">
        <f t="shared" si="133"/>
        <v>-6.0954449521427012</v>
      </c>
      <c r="AG334" s="246">
        <f t="shared" si="134"/>
        <v>51.807300351818668</v>
      </c>
      <c r="AH334" s="249" t="str">
        <f t="shared" si="135"/>
        <v>0.314393726095476-0.0798309525146036i</v>
      </c>
    </row>
    <row r="335" spans="9:34" x14ac:dyDescent="0.2">
      <c r="I335" s="246">
        <v>331</v>
      </c>
      <c r="J335" s="246">
        <f t="shared" si="123"/>
        <v>4.2272905563653058</v>
      </c>
      <c r="K335" s="246">
        <f t="shared" si="122"/>
        <v>16876.817587699592</v>
      </c>
      <c r="L335" s="246">
        <f t="shared" si="136"/>
        <v>106040.17229898411</v>
      </c>
      <c r="M335" s="246">
        <f t="shared" si="124"/>
        <v>8441.5700478698218</v>
      </c>
      <c r="N335" s="246">
        <f>SQRT((ABS(AC335)-171.5+'Small Signal'!C$59)^2)</f>
        <v>13.104716084812338</v>
      </c>
      <c r="O335" s="246">
        <f t="shared" si="137"/>
        <v>50.95854657212027</v>
      </c>
      <c r="P335" s="246">
        <f t="shared" si="138"/>
        <v>6.2499648610156573</v>
      </c>
      <c r="Q335" s="246">
        <f t="shared" si="121"/>
        <v>16876.817587699592</v>
      </c>
      <c r="R335" s="246" t="str">
        <f t="shared" si="125"/>
        <v>0.161233333333333+0.498388809805225i</v>
      </c>
      <c r="S335" s="246" t="str">
        <f t="shared" si="126"/>
        <v>0.025-1.00323279769344i</v>
      </c>
      <c r="T335" s="246" t="str">
        <f t="shared" si="127"/>
        <v>0.0667069377789159-0.999403311418485i</v>
      </c>
      <c r="U335" s="246" t="str">
        <f t="shared" si="128"/>
        <v>-10.0033156388654+1.02656606178728i</v>
      </c>
      <c r="V335" s="246">
        <f t="shared" si="139"/>
        <v>20.04837755198983</v>
      </c>
      <c r="W335" s="246">
        <f t="shared" si="140"/>
        <v>-185.85932921102622</v>
      </c>
      <c r="X335" s="246" t="str">
        <f t="shared" si="129"/>
        <v>0.99797456375546-0.00796077609059726i</v>
      </c>
      <c r="Y335" s="246" t="str">
        <f t="shared" si="130"/>
        <v>14.9388123406466-47.5038546530753i</v>
      </c>
      <c r="Z335" s="246" t="str">
        <f t="shared" si="131"/>
        <v>9.09035669601152-29.7330970190499i</v>
      </c>
      <c r="AA335" s="246" t="str">
        <f t="shared" si="132"/>
        <v>-0.625659404870009-1.36626153317617i</v>
      </c>
      <c r="AB335" s="246">
        <f t="shared" si="141"/>
        <v>3.5374706881631006</v>
      </c>
      <c r="AC335" s="246">
        <f t="shared" si="142"/>
        <v>-114.60471608481234</v>
      </c>
      <c r="AD335" s="248">
        <f t="shared" si="143"/>
        <v>-9.7874355491787579</v>
      </c>
      <c r="AE335" s="248">
        <f t="shared" si="144"/>
        <v>165.56326265693261</v>
      </c>
      <c r="AF335" s="246">
        <f t="shared" si="133"/>
        <v>-6.2499648610156573</v>
      </c>
      <c r="AG335" s="246">
        <f t="shared" si="134"/>
        <v>50.95854657212027</v>
      </c>
      <c r="AH335" s="249" t="str">
        <f t="shared" si="135"/>
        <v>0.313829340707665-0.080792203545426i</v>
      </c>
    </row>
    <row r="336" spans="9:34" x14ac:dyDescent="0.2">
      <c r="I336" s="246">
        <v>332</v>
      </c>
      <c r="J336" s="246">
        <f t="shared" si="123"/>
        <v>4.2370406788920896</v>
      </c>
      <c r="K336" s="246">
        <f t="shared" si="122"/>
        <v>17259.995529468633</v>
      </c>
      <c r="L336" s="246">
        <f t="shared" si="136"/>
        <v>108447.75031274266</v>
      </c>
      <c r="M336" s="246">
        <f t="shared" si="124"/>
        <v>8833.447813186418</v>
      </c>
      <c r="N336" s="246">
        <f>SQRT((ABS(AC336)-171.5+'Small Signal'!C$59)^2)</f>
        <v>13.768141146870235</v>
      </c>
      <c r="O336" s="246">
        <f t="shared" si="137"/>
        <v>50.099197215882512</v>
      </c>
      <c r="P336" s="246">
        <f t="shared" si="138"/>
        <v>6.4032271374211867</v>
      </c>
      <c r="Q336" s="246">
        <f t="shared" si="121"/>
        <v>17259.995529468633</v>
      </c>
      <c r="R336" s="246" t="str">
        <f t="shared" si="125"/>
        <v>0.161233333333333+0.50970442646989i</v>
      </c>
      <c r="S336" s="246" t="str">
        <f t="shared" si="126"/>
        <v>0.025-0.980960678452214i</v>
      </c>
      <c r="T336" s="246" t="str">
        <f t="shared" si="127"/>
        <v>0.0648775836182613-0.977290902160691i</v>
      </c>
      <c r="U336" s="246" t="str">
        <f t="shared" si="128"/>
        <v>-9.58694596534354+1.16440769648773i</v>
      </c>
      <c r="V336" s="246">
        <f t="shared" si="139"/>
        <v>19.697204557951999</v>
      </c>
      <c r="W336" s="246">
        <f t="shared" si="140"/>
        <v>-186.92508941799446</v>
      </c>
      <c r="X336" s="246" t="str">
        <f t="shared" si="129"/>
        <v>0.997881547052962-0.00814152069966992i</v>
      </c>
      <c r="Y336" s="246" t="str">
        <f t="shared" si="130"/>
        <v>14.2339248379821-46.502043204843i</v>
      </c>
      <c r="Z336" s="246" t="str">
        <f t="shared" si="131"/>
        <v>8.6491679664527-29.1030159807394i</v>
      </c>
      <c r="AA336" s="246" t="str">
        <f t="shared" si="132"/>
        <v>-0.63084188278192-1.3364792169691i</v>
      </c>
      <c r="AB336" s="246">
        <f t="shared" si="141"/>
        <v>3.3928011033551297</v>
      </c>
      <c r="AC336" s="246">
        <f t="shared" si="142"/>
        <v>-115.26814114687024</v>
      </c>
      <c r="AD336" s="248">
        <f t="shared" si="143"/>
        <v>-9.796028240776316</v>
      </c>
      <c r="AE336" s="248">
        <f t="shared" si="144"/>
        <v>165.36733836275275</v>
      </c>
      <c r="AF336" s="246">
        <f t="shared" si="133"/>
        <v>-6.4032271374211867</v>
      </c>
      <c r="AG336" s="246">
        <f t="shared" si="134"/>
        <v>50.099197215882512</v>
      </c>
      <c r="AH336" s="249" t="str">
        <f t="shared" si="135"/>
        <v>0.313241202033259-0.0817839296300957i</v>
      </c>
    </row>
    <row r="337" spans="9:34" x14ac:dyDescent="0.2">
      <c r="I337" s="246">
        <v>333</v>
      </c>
      <c r="J337" s="246">
        <f t="shared" si="123"/>
        <v>4.2467908014188724</v>
      </c>
      <c r="K337" s="246">
        <f t="shared" si="122"/>
        <v>17651.87329478523</v>
      </c>
      <c r="L337" s="246">
        <f t="shared" si="136"/>
        <v>110909.99092999026</v>
      </c>
      <c r="M337" s="246">
        <f t="shared" si="124"/>
        <v>9234.2229262855199</v>
      </c>
      <c r="N337" s="246">
        <f>SQRT((ABS(AC337)-171.5+'Small Signal'!C$59)^2)</f>
        <v>14.435439020303747</v>
      </c>
      <c r="O337" s="246">
        <f t="shared" si="137"/>
        <v>49.229278186026491</v>
      </c>
      <c r="P337" s="246">
        <f t="shared" si="138"/>
        <v>6.555205724117398</v>
      </c>
      <c r="Q337" s="246">
        <f t="shared" si="121"/>
        <v>17651.87329478523</v>
      </c>
      <c r="R337" s="246" t="str">
        <f t="shared" si="125"/>
        <v>0.161233333333333+0.521276957370954i</v>
      </c>
      <c r="S337" s="246" t="str">
        <f t="shared" si="126"/>
        <v>0.025-0.959183008053407i</v>
      </c>
      <c r="T337" s="246" t="str">
        <f t="shared" si="127"/>
        <v>0.0631282909301243-0.955664541489872i</v>
      </c>
      <c r="U337" s="246" t="str">
        <f t="shared" si="128"/>
        <v>-9.18692886159684+1.28804145176677i</v>
      </c>
      <c r="V337" s="246">
        <f t="shared" si="139"/>
        <v>19.347948453948806</v>
      </c>
      <c r="W337" s="246">
        <f t="shared" si="140"/>
        <v>-187.98105707348722</v>
      </c>
      <c r="X337" s="246" t="str">
        <f t="shared" si="129"/>
        <v>0.997784258625315-0.00832636900583652i</v>
      </c>
      <c r="Y337" s="246" t="str">
        <f t="shared" si="130"/>
        <v>13.5638573273684-45.5170658276355i</v>
      </c>
      <c r="Z337" s="246" t="str">
        <f t="shared" si="131"/>
        <v>8.22978264810321-28.4834948720635i</v>
      </c>
      <c r="AA337" s="246" t="str">
        <f t="shared" si="132"/>
        <v>-0.635806337953016-1.30733291907985i</v>
      </c>
      <c r="AB337" s="246">
        <f t="shared" si="141"/>
        <v>3.2497534514779343</v>
      </c>
      <c r="AC337" s="246">
        <f t="shared" si="142"/>
        <v>-115.93543902030375</v>
      </c>
      <c r="AD337" s="248">
        <f t="shared" si="143"/>
        <v>-9.8049591755953323</v>
      </c>
      <c r="AE337" s="248">
        <f t="shared" si="144"/>
        <v>165.16471720633024</v>
      </c>
      <c r="AF337" s="246">
        <f t="shared" si="133"/>
        <v>-6.555205724117398</v>
      </c>
      <c r="AG337" s="246">
        <f t="shared" si="134"/>
        <v>49.229278186026491</v>
      </c>
      <c r="AH337" s="249" t="str">
        <f t="shared" si="135"/>
        <v>0.312628409153238-0.0828059782077579i</v>
      </c>
    </row>
    <row r="338" spans="9:34" x14ac:dyDescent="0.2">
      <c r="I338" s="246">
        <v>334</v>
      </c>
      <c r="J338" s="246">
        <f t="shared" si="123"/>
        <v>4.2565409239456553</v>
      </c>
      <c r="K338" s="246">
        <f t="shared" si="122"/>
        <v>18052.648407884331</v>
      </c>
      <c r="L338" s="246">
        <f t="shared" si="136"/>
        <v>113428.13523209777</v>
      </c>
      <c r="M338" s="246">
        <f t="shared" si="124"/>
        <v>9644.097396070325</v>
      </c>
      <c r="N338" s="246">
        <f>SQRT((ABS(AC338)-171.5+'Small Signal'!C$59)^2)</f>
        <v>15.106514073139252</v>
      </c>
      <c r="O338" s="246">
        <f t="shared" si="137"/>
        <v>48.34882665170413</v>
      </c>
      <c r="P338" s="246">
        <f t="shared" si="138"/>
        <v>6.7058755381777093</v>
      </c>
      <c r="Q338" s="246">
        <f t="shared" si="121"/>
        <v>18052.648407884331</v>
      </c>
      <c r="R338" s="246" t="str">
        <f t="shared" si="125"/>
        <v>0.161233333333333+0.53311223559086i</v>
      </c>
      <c r="S338" s="246" t="str">
        <f t="shared" si="126"/>
        <v>0.025-0.937888809559659i</v>
      </c>
      <c r="T338" s="246" t="str">
        <f t="shared" si="127"/>
        <v>0.0614555667972087-0.934513754049846i</v>
      </c>
      <c r="U338" s="246" t="str">
        <f t="shared" si="128"/>
        <v>-8.80276548787313+1.3985699920932i</v>
      </c>
      <c r="V338" s="246">
        <f t="shared" si="139"/>
        <v>19.000648105313356</v>
      </c>
      <c r="W338" s="246">
        <f t="shared" si="140"/>
        <v>-189.02761151843447</v>
      </c>
      <c r="X338" s="246" t="str">
        <f t="shared" si="129"/>
        <v>0.997682502296614-0.00851541418105907i</v>
      </c>
      <c r="Y338" s="246" t="str">
        <f t="shared" si="130"/>
        <v>12.9267971695861-44.5491161037444i</v>
      </c>
      <c r="Z338" s="246" t="str">
        <f t="shared" si="131"/>
        <v>7.83106490915435-27.8746518912955i</v>
      </c>
      <c r="AA338" s="246" t="str">
        <f t="shared" si="132"/>
        <v>-0.640562378842992-1.27881034715484i</v>
      </c>
      <c r="AB338" s="246">
        <f t="shared" si="141"/>
        <v>3.1083686386137916</v>
      </c>
      <c r="AC338" s="246">
        <f t="shared" si="142"/>
        <v>-116.60651407313925</v>
      </c>
      <c r="AD338" s="248">
        <f t="shared" si="143"/>
        <v>-9.814244176791501</v>
      </c>
      <c r="AE338" s="248">
        <f t="shared" si="144"/>
        <v>164.95534072484338</v>
      </c>
      <c r="AF338" s="246">
        <f t="shared" si="133"/>
        <v>-6.7058755381777093</v>
      </c>
      <c r="AG338" s="246">
        <f t="shared" si="134"/>
        <v>48.34882665170413</v>
      </c>
      <c r="AH338" s="249" t="str">
        <f t="shared" si="135"/>
        <v>0.311990035831385-0.0838581733306252i</v>
      </c>
    </row>
    <row r="339" spans="9:34" x14ac:dyDescent="0.2">
      <c r="I339" s="246">
        <v>335</v>
      </c>
      <c r="J339" s="246">
        <f t="shared" si="123"/>
        <v>4.2662910464724391</v>
      </c>
      <c r="K339" s="246">
        <f t="shared" si="122"/>
        <v>18462.522877669137</v>
      </c>
      <c r="L339" s="246">
        <f t="shared" si="136"/>
        <v>116003.4524784377</v>
      </c>
      <c r="M339" s="246">
        <f t="shared" si="124"/>
        <v>10063.277817934022</v>
      </c>
      <c r="N339" s="246">
        <f>SQRT((ABS(AC339)-171.5+'Small Signal'!C$59)^2)</f>
        <v>15.781258679225544</v>
      </c>
      <c r="O339" s="246">
        <f t="shared" si="137"/>
        <v>47.457891201724181</v>
      </c>
      <c r="P339" s="246">
        <f t="shared" si="138"/>
        <v>6.8552125738079903</v>
      </c>
      <c r="Q339" s="246">
        <f t="shared" si="121"/>
        <v>18462.522877669137</v>
      </c>
      <c r="R339" s="246" t="str">
        <f t="shared" si="125"/>
        <v>0.161233333333333+0.545216226648657i</v>
      </c>
      <c r="S339" s="246" t="str">
        <f t="shared" si="126"/>
        <v>0.025-0.917067349725464i</v>
      </c>
      <c r="T339" s="246" t="str">
        <f t="shared" si="127"/>
        <v>0.0598560697505933-0.913828276635169i</v>
      </c>
      <c r="U339" s="246" t="str">
        <f t="shared" si="128"/>
        <v>-8.43395329009932+1.49701562116446i</v>
      </c>
      <c r="V339" s="246">
        <f t="shared" si="139"/>
        <v>18.655340501052706</v>
      </c>
      <c r="W339" s="246">
        <f t="shared" si="140"/>
        <v>-190.06509632866837</v>
      </c>
      <c r="X339" s="246" t="str">
        <f t="shared" si="129"/>
        <v>0.997576072881718-0.0087087515127126i</v>
      </c>
      <c r="Y339" s="246" t="str">
        <f t="shared" si="130"/>
        <v>12.321028515907-43.5983229085131i</v>
      </c>
      <c r="Z339" s="246" t="str">
        <f t="shared" si="131"/>
        <v>7.45193963752556-27.2765648163598i</v>
      </c>
      <c r="AA339" s="246" t="str">
        <f t="shared" si="132"/>
        <v>-0.64511922800016-1.25089936901018i</v>
      </c>
      <c r="AB339" s="246">
        <f t="shared" si="141"/>
        <v>2.9686870159880892</v>
      </c>
      <c r="AC339" s="246">
        <f t="shared" si="142"/>
        <v>-117.28125867922554</v>
      </c>
      <c r="AD339" s="248">
        <f t="shared" si="143"/>
        <v>-9.8238995897960795</v>
      </c>
      <c r="AE339" s="248">
        <f t="shared" si="144"/>
        <v>164.73914988094973</v>
      </c>
      <c r="AF339" s="246">
        <f t="shared" si="133"/>
        <v>-6.8552125738079903</v>
      </c>
      <c r="AG339" s="246">
        <f t="shared" si="134"/>
        <v>47.457891201724181</v>
      </c>
      <c r="AH339" s="249" t="str">
        <f t="shared" si="135"/>
        <v>0.311325130621721-0.0849403136035224i</v>
      </c>
    </row>
    <row r="340" spans="9:34" x14ac:dyDescent="0.2">
      <c r="I340" s="246">
        <v>336</v>
      </c>
      <c r="J340" s="246">
        <f t="shared" si="123"/>
        <v>4.2760411689992228</v>
      </c>
      <c r="K340" s="246">
        <f t="shared" si="122"/>
        <v>18881.703299532834</v>
      </c>
      <c r="L340" s="246">
        <f t="shared" si="136"/>
        <v>118637.24074614901</v>
      </c>
      <c r="M340" s="246">
        <f t="shared" si="124"/>
        <v>10491.975477893402</v>
      </c>
      <c r="N340" s="246">
        <f>SQRT((ABS(AC340)-171.5+'Small Signal'!C$59)^2)</f>
        <v>16.459553229308398</v>
      </c>
      <c r="O340" s="246">
        <f t="shared" si="137"/>
        <v>46.556531965254777</v>
      </c>
      <c r="P340" s="246">
        <f t="shared" si="138"/>
        <v>7.003194007301536</v>
      </c>
      <c r="Q340" s="246">
        <f t="shared" si="121"/>
        <v>18881.703299532834</v>
      </c>
      <c r="R340" s="246" t="str">
        <f t="shared" si="125"/>
        <v>0.161233333333333+0.5575950315069i</v>
      </c>
      <c r="S340" s="246" t="str">
        <f t="shared" si="126"/>
        <v>0.025-0.896708133587113i</v>
      </c>
      <c r="T340" s="246" t="str">
        <f t="shared" si="127"/>
        <v>0.0583266032838699-0.893598054797983i</v>
      </c>
      <c r="U340" s="246" t="str">
        <f t="shared" si="128"/>
        <v>-8.07998921532362+1.5843258846265i</v>
      </c>
      <c r="V340" s="246">
        <f t="shared" si="139"/>
        <v>18.312060839296102</v>
      </c>
      <c r="W340" s="246">
        <f t="shared" si="140"/>
        <v>-191.09382048054084</v>
      </c>
      <c r="X340" s="246" t="str">
        <f t="shared" si="129"/>
        <v>0.997464755772504-0.00890647845161434i</v>
      </c>
      <c r="Y340" s="246" t="str">
        <f t="shared" si="130"/>
        <v>11.7449276530232-42.6647583049265i</v>
      </c>
      <c r="Z340" s="246" t="str">
        <f t="shared" si="131"/>
        <v>7.09138951367837-26.6892759435447i</v>
      </c>
      <c r="AA340" s="246" t="str">
        <f t="shared" si="132"/>
        <v>-0.649485737788232-1.22358801610578i</v>
      </c>
      <c r="AB340" s="246">
        <f t="shared" si="141"/>
        <v>2.8307482915921311</v>
      </c>
      <c r="AC340" s="246">
        <f t="shared" si="142"/>
        <v>-117.9595532293084</v>
      </c>
      <c r="AD340" s="248">
        <f t="shared" si="143"/>
        <v>-9.8339422988936676</v>
      </c>
      <c r="AE340" s="248">
        <f t="shared" si="144"/>
        <v>164.51608519456317</v>
      </c>
      <c r="AF340" s="246">
        <f t="shared" si="133"/>
        <v>-7.003194007301536</v>
      </c>
      <c r="AG340" s="246">
        <f t="shared" si="134"/>
        <v>46.556531965254777</v>
      </c>
      <c r="AH340" s="249" t="str">
        <f t="shared" si="135"/>
        <v>0.31063271706978-0.0860521700460856i</v>
      </c>
    </row>
    <row r="341" spans="9:34" x14ac:dyDescent="0.2">
      <c r="I341" s="246">
        <v>337</v>
      </c>
      <c r="J341" s="246">
        <f t="shared" si="123"/>
        <v>4.2857912915260057</v>
      </c>
      <c r="K341" s="246">
        <f t="shared" si="122"/>
        <v>19310.400959492214</v>
      </c>
      <c r="L341" s="246">
        <f t="shared" si="136"/>
        <v>121330.82758442806</v>
      </c>
      <c r="M341" s="246">
        <f t="shared" si="124"/>
        <v>10930.406459086529</v>
      </c>
      <c r="N341" s="246">
        <f>SQRT((ABS(AC341)-171.5+'Small Signal'!C$59)^2)</f>
        <v>17.141266184650917</v>
      </c>
      <c r="O341" s="246">
        <f t="shared" si="137"/>
        <v>45.644820698028198</v>
      </c>
      <c r="P341" s="246">
        <f t="shared" si="138"/>
        <v>7.1497983036323687</v>
      </c>
      <c r="Q341" s="246">
        <f t="shared" si="121"/>
        <v>19310.400959492214</v>
      </c>
      <c r="R341" s="246" t="str">
        <f t="shared" si="125"/>
        <v>0.161233333333333+0.570254889646812i</v>
      </c>
      <c r="S341" s="246" t="str">
        <f t="shared" si="126"/>
        <v>0.025-0.876800899172784i</v>
      </c>
      <c r="T341" s="246" t="str">
        <f t="shared" si="127"/>
        <v>0.0568641096380922-0.873813239445805i</v>
      </c>
      <c r="U341" s="246" t="str">
        <f t="shared" si="128"/>
        <v>-7.74037241990199+1.66137883194308i</v>
      </c>
      <c r="V341" s="246">
        <f t="shared" si="139"/>
        <v>17.970842591343018</v>
      </c>
      <c r="W341" s="246">
        <f t="shared" si="140"/>
        <v>-192.11405951455089</v>
      </c>
      <c r="X341" s="246" t="str">
        <f t="shared" si="129"/>
        <v>0.997348326505128-0.0091086946611435i</v>
      </c>
      <c r="Y341" s="246" t="str">
        <f t="shared" si="130"/>
        <v>11.196958425403-41.7484445808122i</v>
      </c>
      <c r="Z341" s="246" t="str">
        <f t="shared" si="131"/>
        <v>6.74845213315069-26.1127964891902i</v>
      </c>
      <c r="AA341" s="246" t="str">
        <f t="shared" si="132"/>
        <v>-0.653670405608575-1.19686448650733i</v>
      </c>
      <c r="AB341" s="246">
        <f t="shared" si="141"/>
        <v>2.694591439948586</v>
      </c>
      <c r="AC341" s="246">
        <f t="shared" si="142"/>
        <v>-118.64126618465092</v>
      </c>
      <c r="AD341" s="248">
        <f t="shared" si="143"/>
        <v>-9.8443897435809546</v>
      </c>
      <c r="AE341" s="248">
        <f t="shared" si="144"/>
        <v>164.28608688267911</v>
      </c>
      <c r="AF341" s="246">
        <f t="shared" si="133"/>
        <v>-7.1497983036323687</v>
      </c>
      <c r="AG341" s="246">
        <f t="shared" si="134"/>
        <v>45.644820698028198</v>
      </c>
      <c r="AH341" s="249" t="str">
        <f t="shared" si="135"/>
        <v>0.309911794016751-0.0871934838787628i</v>
      </c>
    </row>
    <row r="342" spans="9:34" x14ac:dyDescent="0.2">
      <c r="I342" s="246">
        <v>338</v>
      </c>
      <c r="J342" s="246">
        <f t="shared" si="123"/>
        <v>4.2955414140527886</v>
      </c>
      <c r="K342" s="246">
        <f t="shared" si="122"/>
        <v>19748.831940685341</v>
      </c>
      <c r="L342" s="246">
        <f t="shared" si="136"/>
        <v>124085.57068367305</v>
      </c>
      <c r="M342" s="246">
        <f t="shared" si="124"/>
        <v>11378.791750688497</v>
      </c>
      <c r="N342" s="246">
        <f>SQRT((ABS(AC342)-171.5+'Small Signal'!C$59)^2)</f>
        <v>17.826254175056008</v>
      </c>
      <c r="O342" s="246">
        <f t="shared" si="137"/>
        <v>44.722840832492906</v>
      </c>
      <c r="P342" s="246">
        <f t="shared" si="138"/>
        <v>7.295005324141977</v>
      </c>
      <c r="Q342" s="246">
        <f t="shared" si="121"/>
        <v>19748.831940685341</v>
      </c>
      <c r="R342" s="246" t="str">
        <f t="shared" si="125"/>
        <v>0.161233333333333+0.583202182213263i</v>
      </c>
      <c r="S342" s="246" t="str">
        <f t="shared" si="126"/>
        <v>0.025-0.857335612329997i</v>
      </c>
      <c r="T342" s="246" t="str">
        <f t="shared" si="127"/>
        <v>0.0554656638468216-0.854464183435692i</v>
      </c>
      <c r="U342" s="246" t="str">
        <f t="shared" si="128"/>
        <v>-7.41460653606749+1.72898794716336i</v>
      </c>
      <c r="V342" s="246">
        <f t="shared" si="139"/>
        <v>17.631717546730531</v>
      </c>
      <c r="W342" s="246">
        <f t="shared" si="140"/>
        <v>-193.12605669730402</v>
      </c>
      <c r="X342" s="246" t="str">
        <f t="shared" si="129"/>
        <v>0.997226550307403-0.00931550206747603i</v>
      </c>
      <c r="Y342" s="246" t="str">
        <f t="shared" si="130"/>
        <v>10.6756677670411-40.8493605167327i</v>
      </c>
      <c r="Z342" s="246" t="str">
        <f t="shared" si="131"/>
        <v>6.42221719871326-25.5471105095766i</v>
      </c>
      <c r="AA342" s="246" t="str">
        <f t="shared" si="132"/>
        <v>-0.657681388628814-1.17071714737224i</v>
      </c>
      <c r="AB342" s="246">
        <f t="shared" si="141"/>
        <v>2.5602546105040052</v>
      </c>
      <c r="AC342" s="246">
        <f t="shared" si="142"/>
        <v>-119.32625417505601</v>
      </c>
      <c r="AD342" s="248">
        <f t="shared" si="143"/>
        <v>-9.8552599346459822</v>
      </c>
      <c r="AE342" s="248">
        <f t="shared" si="144"/>
        <v>164.04909500754891</v>
      </c>
      <c r="AF342" s="246">
        <f t="shared" si="133"/>
        <v>-7.295005324141977</v>
      </c>
      <c r="AG342" s="246">
        <f t="shared" si="134"/>
        <v>44.722840832492906</v>
      </c>
      <c r="AH342" s="249" t="str">
        <f t="shared" si="135"/>
        <v>0.30916133601587-0.0883639642343774i</v>
      </c>
    </row>
    <row r="343" spans="9:34" x14ac:dyDescent="0.2">
      <c r="I343" s="246">
        <v>339</v>
      </c>
      <c r="J343" s="246">
        <f t="shared" si="123"/>
        <v>4.3052915365795723</v>
      </c>
      <c r="K343" s="246">
        <f t="shared" si="122"/>
        <v>20197.217232287308</v>
      </c>
      <c r="L343" s="246">
        <f t="shared" si="136"/>
        <v>126902.85855982197</v>
      </c>
      <c r="M343" s="246">
        <f t="shared" si="124"/>
        <v>11837.357359300075</v>
      </c>
      <c r="N343" s="246">
        <f>SQRT((ABS(AC343)-171.5+'Small Signal'!C$59)^2)</f>
        <v>18.514362142923346</v>
      </c>
      <c r="O343" s="246">
        <f t="shared" si="137"/>
        <v>43.790687490573418</v>
      </c>
      <c r="P343" s="246">
        <f t="shared" si="138"/>
        <v>7.4387964347312003</v>
      </c>
      <c r="Q343" s="246">
        <f t="shared" si="121"/>
        <v>20197.217232287308</v>
      </c>
      <c r="R343" s="246" t="str">
        <f t="shared" si="125"/>
        <v>0.161233333333333+0.596443435231163i</v>
      </c>
      <c r="S343" s="246" t="str">
        <f t="shared" si="126"/>
        <v>0.025-0.838302461667993i</v>
      </c>
      <c r="T343" s="246" t="str">
        <f t="shared" si="127"/>
        <v>0.0541284680309493-0.835541438170037i</v>
      </c>
      <c r="U343" s="246" t="str">
        <f t="shared" si="128"/>
        <v>-7.10220155473182+1.78790676064448i</v>
      </c>
      <c r="V343" s="246">
        <f t="shared" si="139"/>
        <v>17.294715841598634</v>
      </c>
      <c r="W343" s="246">
        <f t="shared" si="140"/>
        <v>-194.130024182634</v>
      </c>
      <c r="X343" s="246" t="str">
        <f t="shared" si="129"/>
        <v>0.997099181625399-0.0095270049109601i</v>
      </c>
      <c r="Y343" s="246" t="str">
        <f t="shared" si="130"/>
        <v>10.1796813664644-39.967446964484i</v>
      </c>
      <c r="Z343" s="246" t="str">
        <f t="shared" si="131"/>
        <v>6.11182379698364-24.9921783891128i</v>
      </c>
      <c r="AA343" s="246" t="str">
        <f t="shared" si="132"/>
        <v>-0.661526518029455-1.14513453699307i</v>
      </c>
      <c r="AB343" s="246">
        <f t="shared" si="141"/>
        <v>2.4277750351692498</v>
      </c>
      <c r="AC343" s="246">
        <f t="shared" si="142"/>
        <v>-120.01436214292335</v>
      </c>
      <c r="AD343" s="248">
        <f t="shared" si="143"/>
        <v>-9.8665714699004496</v>
      </c>
      <c r="AE343" s="248">
        <f t="shared" si="144"/>
        <v>163.80504963349676</v>
      </c>
      <c r="AF343" s="246">
        <f t="shared" si="133"/>
        <v>-7.4387964347312003</v>
      </c>
      <c r="AG343" s="246">
        <f t="shared" si="134"/>
        <v>43.790687490573418</v>
      </c>
      <c r="AH343" s="249" t="str">
        <f t="shared" si="135"/>
        <v>0.308380293870908-0.0895632857977288i</v>
      </c>
    </row>
    <row r="344" spans="9:34" x14ac:dyDescent="0.2">
      <c r="I344" s="246">
        <v>340</v>
      </c>
      <c r="J344" s="246">
        <f t="shared" si="123"/>
        <v>4.3150416591063561</v>
      </c>
      <c r="K344" s="246">
        <f t="shared" si="122"/>
        <v>20655.782840898886</v>
      </c>
      <c r="L344" s="246">
        <f t="shared" si="136"/>
        <v>129784.11125422809</v>
      </c>
      <c r="M344" s="246">
        <f t="shared" si="124"/>
        <v>12306.334422865219</v>
      </c>
      <c r="N344" s="246">
        <f>SQRT((ABS(AC344)-171.5+'Small Signal'!C$59)^2)</f>
        <v>19.205423534688691</v>
      </c>
      <c r="O344" s="246">
        <f t="shared" si="137"/>
        <v>42.848467457970798</v>
      </c>
      <c r="P344" s="246">
        <f t="shared" si="138"/>
        <v>7.5811546139273087</v>
      </c>
      <c r="Q344" s="246">
        <f t="shared" si="121"/>
        <v>20655.782840898886</v>
      </c>
      <c r="R344" s="246" t="str">
        <f t="shared" si="125"/>
        <v>0.161233333333333+0.609985322894872i</v>
      </c>
      <c r="S344" s="246" t="str">
        <f t="shared" si="126"/>
        <v>0.025-0.819691853612311i</v>
      </c>
      <c r="T344" s="246" t="str">
        <f t="shared" si="127"/>
        <v>0.0528498459333089-0.817035750198514i</v>
      </c>
      <c r="U344" s="246" t="str">
        <f t="shared" si="128"/>
        <v>-6.8026753754096+1.83883315536668i</v>
      </c>
      <c r="V344" s="246">
        <f t="shared" si="139"/>
        <v>16.95986597249906</v>
      </c>
      <c r="W344" s="246">
        <f t="shared" si="140"/>
        <v>-195.12614417304394</v>
      </c>
      <c r="X344" s="246" t="str">
        <f t="shared" si="129"/>
        <v>0.9969659636283-0.00974330979865799i</v>
      </c>
      <c r="Y344" s="246" t="str">
        <f t="shared" si="130"/>
        <v>9.70769948220546-39.1026118084817i</v>
      </c>
      <c r="Z344" s="246" t="str">
        <f t="shared" si="131"/>
        <v>5.8164577701779-24.4479399421308i</v>
      </c>
      <c r="AA344" s="246" t="str">
        <f t="shared" si="132"/>
        <v>-0.665213312780606-1.1201053664302i</v>
      </c>
      <c r="AB344" s="246">
        <f t="shared" si="141"/>
        <v>2.2971889355648258</v>
      </c>
      <c r="AC344" s="246">
        <f t="shared" si="142"/>
        <v>-120.70542353468869</v>
      </c>
      <c r="AD344" s="248">
        <f t="shared" si="143"/>
        <v>-9.8783435494921346</v>
      </c>
      <c r="AE344" s="248">
        <f t="shared" si="144"/>
        <v>163.55389099265949</v>
      </c>
      <c r="AF344" s="246">
        <f t="shared" si="133"/>
        <v>-7.5811546139273087</v>
      </c>
      <c r="AG344" s="246">
        <f t="shared" si="134"/>
        <v>42.848467457970798</v>
      </c>
      <c r="AH344" s="249" t="str">
        <f t="shared" si="135"/>
        <v>0.307567595306972-0.0907910863764896i</v>
      </c>
    </row>
    <row r="345" spans="9:34" x14ac:dyDescent="0.2">
      <c r="I345" s="246">
        <v>341</v>
      </c>
      <c r="J345" s="246">
        <f t="shared" si="123"/>
        <v>4.3247917816331398</v>
      </c>
      <c r="K345" s="246">
        <f t="shared" si="122"/>
        <v>21124.75990446403</v>
      </c>
      <c r="L345" s="246">
        <f t="shared" si="136"/>
        <v>132730.78104942484</v>
      </c>
      <c r="M345" s="246">
        <f t="shared" si="124"/>
        <v>12785.959327175218</v>
      </c>
      <c r="N345" s="246">
        <f>SQRT((ABS(AC345)-171.5+'Small Signal'!C$59)^2)</f>
        <v>19.899260540691913</v>
      </c>
      <c r="O345" s="246">
        <f t="shared" si="137"/>
        <v>41.896299119226782</v>
      </c>
      <c r="P345" s="246">
        <f t="shared" si="138"/>
        <v>7.7220645601573521</v>
      </c>
      <c r="Q345" s="246">
        <f t="shared" si="121"/>
        <v>21124.75990446403</v>
      </c>
      <c r="R345" s="246" t="str">
        <f t="shared" si="125"/>
        <v>0.161233333333333+0.623834670932297i</v>
      </c>
      <c r="S345" s="246" t="str">
        <f t="shared" si="126"/>
        <v>0.025-0.801494407569189i</v>
      </c>
      <c r="T345" s="246" t="str">
        <f t="shared" si="127"/>
        <v>0.0516272376834703-0.798938057830549i</v>
      </c>
      <c r="U345" s="246" t="str">
        <f t="shared" si="128"/>
        <v>-6.51555506796513+1.88241338248338i</v>
      </c>
      <c r="V345" s="246">
        <f t="shared" si="139"/>
        <v>16.627194797673106</v>
      </c>
      <c r="W345" s="246">
        <f t="shared" si="140"/>
        <v>-196.11457008279299</v>
      </c>
      <c r="X345" s="246" t="str">
        <f t="shared" si="129"/>
        <v>0.996826627690516-0.00996452575808088i</v>
      </c>
      <c r="Y345" s="246" t="str">
        <f t="shared" si="130"/>
        <v>9.25849292055391-38.2547343752748i</v>
      </c>
      <c r="Z345" s="246" t="str">
        <f t="shared" si="131"/>
        <v>5.53534919030626-23.914317169173i</v>
      </c>
      <c r="AA345" s="246" t="str">
        <f t="shared" si="132"/>
        <v>-0.668748992961412-1.09561852076354i</v>
      </c>
      <c r="AB345" s="246">
        <f t="shared" si="141"/>
        <v>2.1685314305600452</v>
      </c>
      <c r="AC345" s="246">
        <f t="shared" si="142"/>
        <v>-121.39926054069191</v>
      </c>
      <c r="AD345" s="248">
        <f t="shared" si="143"/>
        <v>-9.8905959907173973</v>
      </c>
      <c r="AE345" s="248">
        <f t="shared" si="144"/>
        <v>163.29555965991869</v>
      </c>
      <c r="AF345" s="246">
        <f t="shared" si="133"/>
        <v>-7.7220645601573521</v>
      </c>
      <c r="AG345" s="246">
        <f t="shared" si="134"/>
        <v>41.896299119226782</v>
      </c>
      <c r="AH345" s="249" t="str">
        <f t="shared" si="135"/>
        <v>0.306722145784233-0.0920469644075096i</v>
      </c>
    </row>
    <row r="346" spans="9:34" x14ac:dyDescent="0.2">
      <c r="I346" s="246">
        <v>342</v>
      </c>
      <c r="J346" s="246">
        <f t="shared" si="123"/>
        <v>4.3345419041599236</v>
      </c>
      <c r="K346" s="246">
        <f t="shared" si="122"/>
        <v>21604.38480877403</v>
      </c>
      <c r="L346" s="246">
        <f t="shared" si="136"/>
        <v>135744.35320114283</v>
      </c>
      <c r="M346" s="246">
        <f t="shared" si="124"/>
        <v>13276.473825017782</v>
      </c>
      <c r="N346" s="246">
        <f>SQRT((ABS(AC346)-171.5+'Small Signal'!C$59)^2)</f>
        <v>20.595684384175613</v>
      </c>
      <c r="O346" s="246">
        <f t="shared" si="137"/>
        <v>40.934312353097923</v>
      </c>
      <c r="P346" s="246">
        <f t="shared" si="138"/>
        <v>7.8615127975270376</v>
      </c>
      <c r="Q346" s="246">
        <f t="shared" si="121"/>
        <v>21604.38480877403</v>
      </c>
      <c r="R346" s="246" t="str">
        <f t="shared" si="125"/>
        <v>0.161233333333333+0.637998460045371i</v>
      </c>
      <c r="S346" s="246" t="str">
        <f t="shared" si="126"/>
        <v>0.025-0.783700951197349i</v>
      </c>
      <c r="T346" s="246" t="str">
        <f t="shared" si="127"/>
        <v>0.0504581947834436-0.781239487762286i</v>
      </c>
      <c r="U346" s="246" t="str">
        <f t="shared" si="128"/>
        <v>-6.24037788538703+1.9192458013013i</v>
      </c>
      <c r="V346" s="246">
        <f t="shared" si="139"/>
        <v>16.296727527713969</v>
      </c>
      <c r="W346" s="246">
        <f t="shared" si="140"/>
        <v>-197.09542770399398</v>
      </c>
      <c r="X346" s="246" t="str">
        <f t="shared" si="129"/>
        <v>0.996680892850022-0.0101907642921437i</v>
      </c>
      <c r="Y346" s="246" t="str">
        <f t="shared" si="130"/>
        <v>8.83089918302405-37.4236693499463i</v>
      </c>
      <c r="Z346" s="246" t="str">
        <f t="shared" si="131"/>
        <v>5.26776994038896-23.3912167045973i</v>
      </c>
      <c r="AA346" s="246" t="str">
        <f t="shared" si="132"/>
        <v>-0.672140492634943-1.07166305999128i</v>
      </c>
      <c r="AB346" s="246">
        <f t="shared" si="141"/>
        <v>2.0418364447214579</v>
      </c>
      <c r="AC346" s="246">
        <f t="shared" si="142"/>
        <v>-122.09568438417561</v>
      </c>
      <c r="AD346" s="248">
        <f t="shared" si="143"/>
        <v>-9.9033492422484954</v>
      </c>
      <c r="AE346" s="248">
        <f t="shared" si="144"/>
        <v>163.02999673727354</v>
      </c>
      <c r="AF346" s="246">
        <f t="shared" si="133"/>
        <v>-7.8615127975270376</v>
      </c>
      <c r="AG346" s="246">
        <f t="shared" si="134"/>
        <v>40.934312353097923</v>
      </c>
      <c r="AH346" s="249" t="str">
        <f t="shared" si="135"/>
        <v>0.305842829465465-0.0933304764035818i</v>
      </c>
    </row>
    <row r="347" spans="9:34" x14ac:dyDescent="0.2">
      <c r="I347" s="246">
        <v>343</v>
      </c>
      <c r="J347" s="246">
        <f t="shared" si="123"/>
        <v>4.3442920266867064</v>
      </c>
      <c r="K347" s="246">
        <f t="shared" si="122"/>
        <v>22094.899306616593</v>
      </c>
      <c r="L347" s="246">
        <f t="shared" si="136"/>
        <v>138826.34668694579</v>
      </c>
      <c r="M347" s="246">
        <f t="shared" si="124"/>
        <v>13778.125158031738</v>
      </c>
      <c r="N347" s="246">
        <f>SQRT((ABS(AC347)-171.5+'Small Signal'!C$59)^2)</f>
        <v>21.294495659770121</v>
      </c>
      <c r="O347" s="246">
        <f t="shared" si="137"/>
        <v>39.962648388113934</v>
      </c>
      <c r="P347" s="246">
        <f t="shared" si="138"/>
        <v>7.999487779374908</v>
      </c>
      <c r="Q347" s="246">
        <f t="shared" si="121"/>
        <v>22094.899306616593</v>
      </c>
      <c r="R347" s="246" t="str">
        <f t="shared" si="125"/>
        <v>0.161233333333333+0.652483829428645i</v>
      </c>
      <c r="S347" s="246" t="str">
        <f t="shared" si="126"/>
        <v>0.025-0.766302515784691i</v>
      </c>
      <c r="T347" s="246" t="str">
        <f t="shared" si="127"/>
        <v>0.0493403753053444-0.763931351721388i</v>
      </c>
      <c r="U347" s="246" t="str">
        <f t="shared" si="128"/>
        <v>-5.97669206192293+1.94988435908549i</v>
      </c>
      <c r="V347" s="246">
        <f t="shared" si="139"/>
        <v>15.96848770741585</v>
      </c>
      <c r="W347" s="246">
        <f t="shared" si="140"/>
        <v>-198.06881637703145</v>
      </c>
      <c r="X347" s="246" t="str">
        <f t="shared" si="129"/>
        <v>0.996528465241817-0.0104221394353675i</v>
      </c>
      <c r="Y347" s="246" t="str">
        <f t="shared" si="130"/>
        <v>8.4238187874589-36.6092502522037i</v>
      </c>
      <c r="Z347" s="246" t="str">
        <f t="shared" si="131"/>
        <v>5.01303140507335-22.8785319885808i</v>
      </c>
      <c r="AA347" s="246" t="str">
        <f t="shared" si="132"/>
        <v>-0.675394472291874-1.04822821960165i</v>
      </c>
      <c r="AB347" s="246">
        <f t="shared" si="141"/>
        <v>1.9171366183075107</v>
      </c>
      <c r="AC347" s="246">
        <f t="shared" si="142"/>
        <v>-122.79449565977012</v>
      </c>
      <c r="AD347" s="248">
        <f t="shared" si="143"/>
        <v>-9.9166243976824191</v>
      </c>
      <c r="AE347" s="248">
        <f t="shared" si="144"/>
        <v>162.75714404788405</v>
      </c>
      <c r="AF347" s="246">
        <f t="shared" si="133"/>
        <v>-7.999487779374908</v>
      </c>
      <c r="AG347" s="246">
        <f t="shared" si="134"/>
        <v>39.962648388113934</v>
      </c>
      <c r="AH347" s="249" t="str">
        <f t="shared" si="135"/>
        <v>0.304928510348606-0.0946411343467476i</v>
      </c>
    </row>
    <row r="348" spans="9:34" x14ac:dyDescent="0.2">
      <c r="I348" s="246">
        <v>344</v>
      </c>
      <c r="J348" s="246">
        <f t="shared" si="123"/>
        <v>4.3540421492134893</v>
      </c>
      <c r="K348" s="246">
        <f t="shared" si="122"/>
        <v>22596.55063963055</v>
      </c>
      <c r="L348" s="246">
        <f t="shared" si="136"/>
        <v>141978.31497186614</v>
      </c>
      <c r="M348" s="246">
        <f t="shared" si="124"/>
        <v>14291.166181327751</v>
      </c>
      <c r="N348" s="246">
        <f>SQRT((ABS(AC348)-171.5+'Small Signal'!C$59)^2)</f>
        <v>21.995484721412637</v>
      </c>
      <c r="O348" s="246">
        <f t="shared" si="137"/>
        <v>38.981459618572572</v>
      </c>
      <c r="P348" s="246">
        <f t="shared" si="138"/>
        <v>8.1359799888478683</v>
      </c>
      <c r="Q348" s="246">
        <f t="shared" si="121"/>
        <v>22596.55063963055</v>
      </c>
      <c r="R348" s="246" t="str">
        <f t="shared" si="125"/>
        <v>0.161233333333333+0.667298080367771i</v>
      </c>
      <c r="S348" s="246" t="str">
        <f t="shared" si="126"/>
        <v>0.025-0.749290331727664i</v>
      </c>
      <c r="T348" s="246" t="str">
        <f t="shared" si="127"/>
        <v>0.0482715392924257-0.747005143133173i</v>
      </c>
      <c r="U348" s="246" t="str">
        <f t="shared" si="128"/>
        <v>-5.72405742661504+1.97484182601362i</v>
      </c>
      <c r="V348" s="246">
        <f t="shared" si="139"/>
        <v>15.642497190523102</v>
      </c>
      <c r="W348" s="246">
        <f t="shared" si="140"/>
        <v>-199.03481016642291</v>
      </c>
      <c r="X348" s="246" t="str">
        <f t="shared" si="129"/>
        <v>0.996369037505355-0.0106587678113585i</v>
      </c>
      <c r="Y348" s="246" t="str">
        <f t="shared" si="130"/>
        <v>8.03621176391403-35.8112925195878i</v>
      </c>
      <c r="Z348" s="246" t="str">
        <f t="shared" si="131"/>
        <v>4.77048227130053-22.3761451932393i</v>
      </c>
      <c r="AA348" s="246" t="str">
        <f t="shared" si="132"/>
        <v>-0.678517330876144-1.02530341084243i</v>
      </c>
      <c r="AB348" s="246">
        <f t="shared" si="141"/>
        <v>1.7944632194640706</v>
      </c>
      <c r="AC348" s="246">
        <f t="shared" si="142"/>
        <v>-123.49548472141264</v>
      </c>
      <c r="AD348" s="248">
        <f t="shared" si="143"/>
        <v>-9.9304432083119387</v>
      </c>
      <c r="AE348" s="248">
        <f t="shared" si="144"/>
        <v>162.47694433998521</v>
      </c>
      <c r="AF348" s="246">
        <f t="shared" si="133"/>
        <v>-8.1359799888478683</v>
      </c>
      <c r="AG348" s="246">
        <f t="shared" si="134"/>
        <v>38.981459618572572</v>
      </c>
      <c r="AH348" s="249" t="str">
        <f t="shared" si="135"/>
        <v>0.303978033575724-0.0959784030353383i</v>
      </c>
    </row>
    <row r="349" spans="9:34" x14ac:dyDescent="0.2">
      <c r="I349" s="246">
        <v>345</v>
      </c>
      <c r="J349" s="246">
        <f t="shared" si="123"/>
        <v>4.3637922717402731</v>
      </c>
      <c r="K349" s="246">
        <f t="shared" si="122"/>
        <v>23109.591662926563</v>
      </c>
      <c r="L349" s="246">
        <f t="shared" si="136"/>
        <v>145201.84679142004</v>
      </c>
      <c r="M349" s="246">
        <f t="shared" si="124"/>
        <v>14815.855490938849</v>
      </c>
      <c r="N349" s="246">
        <f>SQRT((ABS(AC349)-171.5+'Small Signal'!C$59)^2)</f>
        <v>22.698432119262037</v>
      </c>
      <c r="O349" s="246">
        <f t="shared" si="137"/>
        <v>37.990909381584544</v>
      </c>
      <c r="P349" s="246">
        <f t="shared" si="138"/>
        <v>8.2709820357295385</v>
      </c>
      <c r="Q349" s="246">
        <f t="shared" si="121"/>
        <v>23109.591662926563</v>
      </c>
      <c r="R349" s="246" t="str">
        <f t="shared" si="125"/>
        <v>0.161233333333333+0.682448679919674i</v>
      </c>
      <c r="S349" s="246" t="str">
        <f t="shared" si="126"/>
        <v>0.025-0.73265582411098i</v>
      </c>
      <c r="T349" s="246" t="str">
        <f t="shared" si="127"/>
        <v>0.0472495443551769-0.730452533810826i</v>
      </c>
      <c r="U349" s="246" t="str">
        <f t="shared" si="128"/>
        <v>-5.48204585847514+1.99459280033009i</v>
      </c>
      <c r="V349" s="246">
        <f t="shared" si="139"/>
        <v>15.318776108986249</v>
      </c>
      <c r="W349" s="246">
        <f t="shared" si="140"/>
        <v>-199.99345904303391</v>
      </c>
      <c r="X349" s="246" t="str">
        <f t="shared" si="129"/>
        <v>0.996202288164784-0.0109007686915912i</v>
      </c>
      <c r="Y349" s="246" t="str">
        <f t="shared" si="130"/>
        <v>7.66709432425369-35.0295962402852i</v>
      </c>
      <c r="Z349" s="246" t="str">
        <f t="shared" si="131"/>
        <v>4.53950643829285-21.8839289294767i</v>
      </c>
      <c r="AA349" s="246" t="str">
        <f t="shared" si="132"/>
        <v>-0.681515217406144-1.00287822071083i</v>
      </c>
      <c r="AB349" s="246">
        <f t="shared" si="141"/>
        <v>1.6738460592829483</v>
      </c>
      <c r="AC349" s="246">
        <f t="shared" si="142"/>
        <v>-124.19843211926204</v>
      </c>
      <c r="AD349" s="248">
        <f t="shared" si="143"/>
        <v>-9.9448280950124861</v>
      </c>
      <c r="AE349" s="248">
        <f t="shared" si="144"/>
        <v>162.18934150084658</v>
      </c>
      <c r="AF349" s="246">
        <f t="shared" si="133"/>
        <v>-8.2709820357295385</v>
      </c>
      <c r="AG349" s="246">
        <f t="shared" si="134"/>
        <v>37.990909381584544</v>
      </c>
      <c r="AH349" s="249" t="str">
        <f t="shared" si="135"/>
        <v>0.302990226929922-0.0973416973931233i</v>
      </c>
    </row>
    <row r="350" spans="9:34" x14ac:dyDescent="0.2">
      <c r="I350" s="246">
        <v>346</v>
      </c>
      <c r="J350" s="246">
        <f t="shared" si="123"/>
        <v>4.3735423942670568</v>
      </c>
      <c r="K350" s="246">
        <f t="shared" si="122"/>
        <v>23634.280972537661</v>
      </c>
      <c r="L350" s="246">
        <f t="shared" si="136"/>
        <v>148498.5669524027</v>
      </c>
      <c r="M350" s="246">
        <f t="shared" si="124"/>
        <v>15352.457554164792</v>
      </c>
      <c r="N350" s="246">
        <f>SQRT((ABS(AC350)-171.5+'Small Signal'!C$59)^2)</f>
        <v>23.403109084739413</v>
      </c>
      <c r="O350" s="246">
        <f t="shared" si="137"/>
        <v>36.991171696171932</v>
      </c>
      <c r="P350" s="246">
        <f t="shared" si="138"/>
        <v>8.4044887487374904</v>
      </c>
      <c r="Q350" s="246">
        <f t="shared" si="121"/>
        <v>23634.280972537661</v>
      </c>
      <c r="R350" s="246" t="str">
        <f t="shared" si="125"/>
        <v>0.161233333333333+0.697943264676293i</v>
      </c>
      <c r="S350" s="246" t="str">
        <f t="shared" si="126"/>
        <v>0.025-0.716390608385481i</v>
      </c>
      <c r="T350" s="246" t="str">
        <f t="shared" si="127"/>
        <v>0.0462723414545146-0.714265370672444i</v>
      </c>
      <c r="U350" s="246" t="str">
        <f t="shared" si="128"/>
        <v>-5.25024160620399+2.00957649832457i</v>
      </c>
      <c r="V350" s="246">
        <f t="shared" si="139"/>
        <v>14.997342838247192</v>
      </c>
      <c r="W350" s="246">
        <f t="shared" si="140"/>
        <v>-200.94479007322798</v>
      </c>
      <c r="X350" s="246" t="str">
        <f t="shared" si="129"/>
        <v>0.996027880980701-0.0111482640555269i</v>
      </c>
      <c r="Y350" s="246" t="str">
        <f t="shared" si="130"/>
        <v>7.31553570270149-34.2639485736018i</v>
      </c>
      <c r="Z350" s="246" t="str">
        <f t="shared" si="131"/>
        <v>4.3195210350798-21.4017477583991i</v>
      </c>
      <c r="AA350" s="246" t="str">
        <f t="shared" si="132"/>
        <v>-0.684394042205231-0.980942411685646i</v>
      </c>
      <c r="AB350" s="246">
        <f t="shared" si="141"/>
        <v>1.5553134103942556</v>
      </c>
      <c r="AC350" s="246">
        <f t="shared" si="142"/>
        <v>-124.90310908473941</v>
      </c>
      <c r="AD350" s="248">
        <f t="shared" si="143"/>
        <v>-9.9598021591317458</v>
      </c>
      <c r="AE350" s="248">
        <f t="shared" si="144"/>
        <v>161.89428078091134</v>
      </c>
      <c r="AF350" s="246">
        <f t="shared" si="133"/>
        <v>-8.4044887487374904</v>
      </c>
      <c r="AG350" s="246">
        <f t="shared" si="134"/>
        <v>36.991171696171932</v>
      </c>
      <c r="AH350" s="249" t="str">
        <f t="shared" si="135"/>
        <v>0.30196390253175-0.0987303797502422i</v>
      </c>
    </row>
    <row r="351" spans="9:34" x14ac:dyDescent="0.2">
      <c r="I351" s="246">
        <v>347</v>
      </c>
      <c r="J351" s="246">
        <f t="shared" si="123"/>
        <v>4.3832925167938397</v>
      </c>
      <c r="K351" s="246">
        <f t="shared" si="122"/>
        <v>24170.883035763603</v>
      </c>
      <c r="L351" s="246">
        <f t="shared" si="136"/>
        <v>151870.13715186619</v>
      </c>
      <c r="M351" s="246">
        <f t="shared" si="124"/>
        <v>15901.242842875525</v>
      </c>
      <c r="N351" s="246">
        <f>SQRT((ABS(AC351)-171.5+'Small Signal'!C$59)^2)</f>
        <v>24.109278062402453</v>
      </c>
      <c r="O351" s="246">
        <f t="shared" si="137"/>
        <v>35.982430965809939</v>
      </c>
      <c r="P351" s="246">
        <f t="shared" si="138"/>
        <v>8.536497262509247</v>
      </c>
      <c r="Q351" s="246">
        <f t="shared" si="121"/>
        <v>24170.883035763603</v>
      </c>
      <c r="R351" s="246" t="str">
        <f t="shared" si="125"/>
        <v>0.161233333333333+0.713789644613771i</v>
      </c>
      <c r="S351" s="246" t="str">
        <f t="shared" si="126"/>
        <v>0.025-0.700486486141935i</v>
      </c>
      <c r="T351" s="246" t="str">
        <f t="shared" si="127"/>
        <v>0.0453379708643826-0.698435672487276i</v>
      </c>
      <c r="U351" s="246" t="str">
        <f t="shared" si="128"/>
        <v>-5.02824149241883+2.02019934322806i</v>
      </c>
      <c r="V351" s="246">
        <f t="shared" si="139"/>
        <v>14.678213959980591</v>
      </c>
      <c r="W351" s="246">
        <f t="shared" si="140"/>
        <v>-201.88880861520252</v>
      </c>
      <c r="X351" s="246" t="str">
        <f t="shared" si="129"/>
        <v>0.995845464272152-0.0114013786520968i</v>
      </c>
      <c r="Y351" s="246" t="str">
        <f t="shared" si="130"/>
        <v>6.98065516328247-33.514125892143i</v>
      </c>
      <c r="Z351" s="246" t="str">
        <f t="shared" si="131"/>
        <v>4.10997454296858-20.9294595286205i</v>
      </c>
      <c r="AA351" s="246" t="str">
        <f t="shared" si="132"/>
        <v>-0.68715948775493-0.959485921221062i</v>
      </c>
      <c r="AB351" s="246">
        <f t="shared" si="141"/>
        <v>1.4388919297510889</v>
      </c>
      <c r="AC351" s="246">
        <f t="shared" si="142"/>
        <v>-125.60927806240245</v>
      </c>
      <c r="AD351" s="248">
        <f t="shared" si="143"/>
        <v>-9.9753891922603355</v>
      </c>
      <c r="AE351" s="248">
        <f t="shared" si="144"/>
        <v>161.59170902821239</v>
      </c>
      <c r="AF351" s="246">
        <f t="shared" si="133"/>
        <v>-8.536497262509247</v>
      </c>
      <c r="AG351" s="246">
        <f t="shared" si="134"/>
        <v>35.982430965809939</v>
      </c>
      <c r="AH351" s="249" t="str">
        <f t="shared" si="135"/>
        <v>0.300897858746698-0.100143757106959i</v>
      </c>
    </row>
    <row r="352" spans="9:34" x14ac:dyDescent="0.2">
      <c r="I352" s="246">
        <v>348</v>
      </c>
      <c r="J352" s="246">
        <f t="shared" si="123"/>
        <v>4.3930426393206234</v>
      </c>
      <c r="K352" s="246">
        <f t="shared" si="122"/>
        <v>24719.668324474336</v>
      </c>
      <c r="L352" s="246">
        <f t="shared" si="136"/>
        <v>155318.25681468978</v>
      </c>
      <c r="M352" s="246">
        <f t="shared" si="124"/>
        <v>16462.487969841139</v>
      </c>
      <c r="N352" s="246">
        <f>SQRT((ABS(AC352)-171.5+'Small Signal'!C$59)^2)</f>
        <v>24.816693286926906</v>
      </c>
      <c r="O352" s="246">
        <f t="shared" si="137"/>
        <v>34.964881646188516</v>
      </c>
      <c r="P352" s="246">
        <f t="shared" si="138"/>
        <v>8.6670070984960947</v>
      </c>
      <c r="Q352" s="246">
        <f t="shared" si="121"/>
        <v>24719.668324474336</v>
      </c>
      <c r="R352" s="246" t="str">
        <f t="shared" si="125"/>
        <v>0.161233333333333+0.729995807029042i</v>
      </c>
      <c r="S352" s="246" t="str">
        <f t="shared" si="126"/>
        <v>0.025-0.684935440978649i</v>
      </c>
      <c r="T352" s="246" t="str">
        <f t="shared" si="127"/>
        <v>0.044444558306373-0.682955626653275i</v>
      </c>
      <c r="U352" s="246" t="str">
        <f t="shared" si="128"/>
        <v>-4.81565501977393+2.02683736651213i</v>
      </c>
      <c r="V352" s="246">
        <f t="shared" si="139"/>
        <v>14.361404223629526</v>
      </c>
      <c r="W352" s="246">
        <f t="shared" si="140"/>
        <v>-202.82549952236369</v>
      </c>
      <c r="X352" s="246" t="str">
        <f t="shared" si="129"/>
        <v>0.995654670207488-0.0116602400625812i</v>
      </c>
      <c r="Y352" s="246" t="str">
        <f t="shared" si="130"/>
        <v>6.66161916913069-32.7798956761198i</v>
      </c>
      <c r="Z352" s="246" t="str">
        <f t="shared" si="131"/>
        <v>3.91034501976709-20.4669165585058i</v>
      </c>
      <c r="AA352" s="246" t="str">
        <f t="shared" si="132"/>
        <v>-0.689817019184741-0.938498861021171i</v>
      </c>
      <c r="AB352" s="246">
        <f t="shared" si="141"/>
        <v>1.3246065862620828</v>
      </c>
      <c r="AC352" s="246">
        <f t="shared" si="142"/>
        <v>-126.31669328692691</v>
      </c>
      <c r="AD352" s="248">
        <f t="shared" si="143"/>
        <v>-9.9916136847581782</v>
      </c>
      <c r="AE352" s="248">
        <f t="shared" si="144"/>
        <v>161.28157493311542</v>
      </c>
      <c r="AF352" s="246">
        <f t="shared" si="133"/>
        <v>-8.6670070984960947</v>
      </c>
      <c r="AG352" s="246">
        <f t="shared" si="134"/>
        <v>34.964881646188516</v>
      </c>
      <c r="AH352" s="249" t="str">
        <f t="shared" si="135"/>
        <v>0.299790882315075-0.101581078392693i</v>
      </c>
    </row>
    <row r="353" spans="9:34" x14ac:dyDescent="0.2">
      <c r="I353" s="246">
        <v>349</v>
      </c>
      <c r="J353" s="246">
        <f t="shared" si="123"/>
        <v>4.4027927618474063</v>
      </c>
      <c r="K353" s="246">
        <f t="shared" si="122"/>
        <v>25280.913451439948</v>
      </c>
      <c r="L353" s="246">
        <f t="shared" si="136"/>
        <v>158844.66395016626</v>
      </c>
      <c r="M353" s="246">
        <f t="shared" si="124"/>
        <v>17036.47582815776</v>
      </c>
      <c r="N353" s="246">
        <f>SQRT((ABS(AC353)-171.5+'Small Signal'!C$59)^2)</f>
        <v>25.52510140304598</v>
      </c>
      <c r="O353" s="246">
        <f t="shared" si="137"/>
        <v>33.938727880340778</v>
      </c>
      <c r="P353" s="246">
        <f t="shared" si="138"/>
        <v>8.7960202389962916</v>
      </c>
      <c r="Q353" s="246">
        <f t="shared" si="121"/>
        <v>25280.913451439948</v>
      </c>
      <c r="R353" s="246" t="str">
        <f t="shared" si="125"/>
        <v>0.161233333333333+0.746569920565781i</v>
      </c>
      <c r="S353" s="246" t="str">
        <f t="shared" si="126"/>
        <v>0.025-0.669729634460869i</v>
      </c>
      <c r="T353" s="246" t="str">
        <f t="shared" si="127"/>
        <v>0.0435903112492682-0.667817586007987i</v>
      </c>
      <c r="U353" s="246" t="str">
        <f t="shared" si="128"/>
        <v>-4.61210439409679+2.02983843442494i</v>
      </c>
      <c r="V353" s="246">
        <f t="shared" si="139"/>
        <v>14.046926507985614</v>
      </c>
      <c r="W353" s="246">
        <f t="shared" si="140"/>
        <v>-203.75482835318911</v>
      </c>
      <c r="X353" s="246" t="str">
        <f t="shared" si="129"/>
        <v>0.995455114062655-0.0119249787649162i</v>
      </c>
      <c r="Y353" s="246" t="str">
        <f t="shared" si="130"/>
        <v>6.35763870793857-32.0610181869557i</v>
      </c>
      <c r="Z353" s="246" t="str">
        <f t="shared" si="131"/>
        <v>3.72013842213503-20.013966680369i</v>
      </c>
      <c r="AA353" s="246" t="str">
        <f t="shared" si="132"/>
        <v>-0.692371894412281-0.917971516112444i</v>
      </c>
      <c r="AB353" s="246">
        <f t="shared" si="141"/>
        <v>1.2124805939047294</v>
      </c>
      <c r="AC353" s="246">
        <f t="shared" si="142"/>
        <v>-127.02510140304598</v>
      </c>
      <c r="AD353" s="248">
        <f t="shared" si="143"/>
        <v>-10.008500832901021</v>
      </c>
      <c r="AE353" s="248">
        <f t="shared" si="144"/>
        <v>160.96382928338676</v>
      </c>
      <c r="AF353" s="246">
        <f t="shared" si="133"/>
        <v>-8.7960202389962916</v>
      </c>
      <c r="AG353" s="246">
        <f t="shared" si="134"/>
        <v>33.938727880340778</v>
      </c>
      <c r="AH353" s="249" t="str">
        <f t="shared" si="135"/>
        <v>0.298641750715397-0.103041531734344i</v>
      </c>
    </row>
    <row r="354" spans="9:34" x14ac:dyDescent="0.2">
      <c r="I354" s="246">
        <v>350</v>
      </c>
      <c r="J354" s="246">
        <f t="shared" si="123"/>
        <v>4.4125428843741901</v>
      </c>
      <c r="K354" s="246">
        <f t="shared" si="122"/>
        <v>25854.901309756573</v>
      </c>
      <c r="L354" s="246">
        <f t="shared" si="136"/>
        <v>162451.13602804075</v>
      </c>
      <c r="M354" s="246">
        <f t="shared" si="124"/>
        <v>17623.495733838012</v>
      </c>
      <c r="N354" s="246">
        <f>SQRT((ABS(AC354)-171.5+'Small Signal'!C$59)^2)</f>
        <v>26.234242125871035</v>
      </c>
      <c r="O354" s="246">
        <f t="shared" si="137"/>
        <v>32.904183103654233</v>
      </c>
      <c r="P354" s="246">
        <f t="shared" si="138"/>
        <v>8.9235411935828388</v>
      </c>
      <c r="Q354" s="246">
        <f t="shared" si="121"/>
        <v>25854.901309756573</v>
      </c>
      <c r="R354" s="246" t="str">
        <f t="shared" si="125"/>
        <v>0.161233333333333+0.763520339331792i</v>
      </c>
      <c r="S354" s="246" t="str">
        <f t="shared" si="126"/>
        <v>0.025-0.654861402169829i</v>
      </c>
      <c r="T354" s="246" t="str">
        <f t="shared" si="127"/>
        <v>0.042773515366666-0.653014065674387i</v>
      </c>
      <c r="U354" s="246" t="str">
        <f t="shared" si="128"/>
        <v>-4.41722447767659+2.02952431191773i</v>
      </c>
      <c r="V354" s="246">
        <f t="shared" si="139"/>
        <v>13.734791783969145</v>
      </c>
      <c r="W354" s="246">
        <f t="shared" si="140"/>
        <v>-204.67674258660463</v>
      </c>
      <c r="X354" s="246" t="str">
        <f t="shared" si="129"/>
        <v>0.995246393445424-0.0121957281994607i</v>
      </c>
      <c r="Y354" s="246" t="str">
        <f t="shared" si="130"/>
        <v>6.06796676735008-31.3572479444534i</v>
      </c>
      <c r="Z354" s="246" t="str">
        <f t="shared" si="131"/>
        <v>3.53888702214521-19.5704541618147i</v>
      </c>
      <c r="AA354" s="246" t="str">
        <f t="shared" si="132"/>
        <v>-0.694829173947151-0.897894343730089i</v>
      </c>
      <c r="AB354" s="246">
        <f t="shared" si="141"/>
        <v>1.1025353509241316</v>
      </c>
      <c r="AC354" s="246">
        <f t="shared" si="142"/>
        <v>-127.73424212587103</v>
      </c>
      <c r="AD354" s="248">
        <f t="shared" si="143"/>
        <v>-10.026076544506971</v>
      </c>
      <c r="AE354" s="248">
        <f t="shared" si="144"/>
        <v>160.63842522952527</v>
      </c>
      <c r="AF354" s="246">
        <f t="shared" si="133"/>
        <v>-8.9235411935828388</v>
      </c>
      <c r="AG354" s="246">
        <f t="shared" si="134"/>
        <v>32.904183103654233</v>
      </c>
      <c r="AH354" s="249" t="str">
        <f t="shared" si="135"/>
        <v>0.297449234771904-0.104524241749498i</v>
      </c>
    </row>
    <row r="355" spans="9:34" x14ac:dyDescent="0.2">
      <c r="I355" s="246">
        <v>351</v>
      </c>
      <c r="J355" s="246">
        <f t="shared" si="123"/>
        <v>4.4222930069009738</v>
      </c>
      <c r="K355" s="246">
        <f t="shared" si="122"/>
        <v>26441.921215436825</v>
      </c>
      <c r="L355" s="246">
        <f t="shared" si="136"/>
        <v>166139.49087443284</v>
      </c>
      <c r="M355" s="246">
        <f t="shared" si="124"/>
        <v>18223.843571639729</v>
      </c>
      <c r="N355" s="246">
        <f>SQRT((ABS(AC355)-171.5+'Small Signal'!C$59)^2)</f>
        <v>26.943848938629429</v>
      </c>
      <c r="O355" s="246">
        <f t="shared" si="137"/>
        <v>31.861469621607142</v>
      </c>
      <c r="P355" s="246">
        <f t="shared" si="138"/>
        <v>9.0495770572033383</v>
      </c>
      <c r="Q355" s="246">
        <f t="shared" si="121"/>
        <v>26441.921215436825</v>
      </c>
      <c r="R355" s="246" t="str">
        <f t="shared" si="125"/>
        <v>0.161233333333333+0.780855607109834i</v>
      </c>
      <c r="S355" s="246" t="str">
        <f t="shared" si="126"/>
        <v>0.025-0.640323249839544i</v>
      </c>
      <c r="T355" s="246" t="str">
        <f t="shared" si="127"/>
        <v>0.0419925311461253-0.638537739943252i</v>
      </c>
      <c r="U355" s="246" t="str">
        <f t="shared" si="128"/>
        <v>-4.23066268410634+2.02619257542843i</v>
      </c>
      <c r="V355" s="246">
        <f t="shared" si="139"/>
        <v>13.425009079676233</v>
      </c>
      <c r="W355" s="246">
        <f t="shared" si="140"/>
        <v>-205.59117284148476</v>
      </c>
      <c r="X355" s="246" t="str">
        <f t="shared" si="129"/>
        <v>0.995028087483994-0.0124726248362561i</v>
      </c>
      <c r="Y355" s="246" t="str">
        <f t="shared" si="130"/>
        <v>5.7918959537977-30.6683350291544i</v>
      </c>
      <c r="Z355" s="246" t="str">
        <f t="shared" si="131"/>
        <v>3.36614791395231-19.1362205177644i</v>
      </c>
      <c r="AA355" s="246" t="str">
        <f t="shared" si="132"/>
        <v>-0.697193730372458-0.878257972033445i</v>
      </c>
      <c r="AB355" s="246">
        <f t="shared" si="141"/>
        <v>0.99479038569271327</v>
      </c>
      <c r="AC355" s="246">
        <f t="shared" si="142"/>
        <v>-128.44384893862943</v>
      </c>
      <c r="AD355" s="248">
        <f t="shared" si="143"/>
        <v>-10.044367442896052</v>
      </c>
      <c r="AE355" s="248">
        <f t="shared" si="144"/>
        <v>160.30531856023657</v>
      </c>
      <c r="AF355" s="246">
        <f t="shared" si="133"/>
        <v>-9.0495770572033383</v>
      </c>
      <c r="AG355" s="246">
        <f t="shared" si="134"/>
        <v>31.861469621607142</v>
      </c>
      <c r="AH355" s="249" t="str">
        <f t="shared" si="135"/>
        <v>0.29621210151625-0.106028266881737i</v>
      </c>
    </row>
    <row r="356" spans="9:34" x14ac:dyDescent="0.2">
      <c r="I356" s="246">
        <v>352</v>
      </c>
      <c r="J356" s="246">
        <f t="shared" si="123"/>
        <v>4.4320431294277567</v>
      </c>
      <c r="K356" s="246">
        <f t="shared" si="122"/>
        <v>27042.269053238542</v>
      </c>
      <c r="L356" s="246">
        <f t="shared" si="136"/>
        <v>169911.58758810564</v>
      </c>
      <c r="M356" s="246">
        <f t="shared" si="124"/>
        <v>18837.821944205367</v>
      </c>
      <c r="N356" s="246">
        <f>SQRT((ABS(AC356)-171.5+'Small Signal'!C$59)^2)</f>
        <v>27.653649824463344</v>
      </c>
      <c r="O356" s="246">
        <f t="shared" si="137"/>
        <v>30.810818163385761</v>
      </c>
      <c r="P356" s="246">
        <f t="shared" si="138"/>
        <v>9.174137559270056</v>
      </c>
      <c r="Q356" s="246">
        <f t="shared" si="121"/>
        <v>27042.269053238542</v>
      </c>
      <c r="R356" s="246" t="str">
        <f t="shared" si="125"/>
        <v>0.161233333333333+0.798584461664096i</v>
      </c>
      <c r="S356" s="246" t="str">
        <f t="shared" si="126"/>
        <v>0.025-0.626107849579363i</v>
      </c>
      <c r="T356" s="246" t="str">
        <f t="shared" si="127"/>
        <v>0.0412457906435225-0.624381439193369i</v>
      </c>
      <c r="U356" s="246" t="str">
        <f t="shared" si="128"/>
        <v>-4.05207882455898+2.02011838530323i</v>
      </c>
      <c r="V356" s="246">
        <f t="shared" si="139"/>
        <v>13.117585448663892</v>
      </c>
      <c r="W356" s="246">
        <f t="shared" si="140"/>
        <v>-206.4980340984726</v>
      </c>
      <c r="X356" s="246" t="str">
        <f t="shared" si="129"/>
        <v>0.994799755978327-0.0127558082438138i</v>
      </c>
      <c r="Y356" s="246" t="str">
        <f t="shared" si="130"/>
        <v>5.52875624812583-29.9940262291904i</v>
      </c>
      <c r="Z356" s="246" t="str">
        <f t="shared" si="131"/>
        <v>3.20150160637069-18.7111052252502i</v>
      </c>
      <c r="AA356" s="246" t="str">
        <f t="shared" si="132"/>
        <v>-0.699470257517291-0.859053198664092i</v>
      </c>
      <c r="AB356" s="246">
        <f t="shared" si="141"/>
        <v>0.88926330976072032</v>
      </c>
      <c r="AC356" s="246">
        <f t="shared" si="142"/>
        <v>-129.15364982446334</v>
      </c>
      <c r="AD356" s="248">
        <f t="shared" si="143"/>
        <v>-10.063400869030776</v>
      </c>
      <c r="AE356" s="248">
        <f t="shared" si="144"/>
        <v>159.9644679878491</v>
      </c>
      <c r="AF356" s="246">
        <f t="shared" si="133"/>
        <v>-9.174137559270056</v>
      </c>
      <c r="AG356" s="246">
        <f t="shared" si="134"/>
        <v>30.810818163385761</v>
      </c>
      <c r="AH356" s="249" t="str">
        <f t="shared" si="135"/>
        <v>0.294929117312595-0.107552596797007i</v>
      </c>
    </row>
    <row r="357" spans="9:34" x14ac:dyDescent="0.2">
      <c r="I357" s="246">
        <v>353</v>
      </c>
      <c r="J357" s="246">
        <f t="shared" si="123"/>
        <v>4.4417932519545396</v>
      </c>
      <c r="K357" s="246">
        <f t="shared" si="122"/>
        <v>27656.24742580418</v>
      </c>
      <c r="L357" s="246">
        <f t="shared" si="136"/>
        <v>173769.32747753608</v>
      </c>
      <c r="M357" s="246">
        <f t="shared" si="124"/>
        <v>19465.740324587619</v>
      </c>
      <c r="N357" s="246">
        <f>SQRT((ABS(AC357)-171.5+'Small Signal'!C$59)^2)</f>
        <v>28.363368028590941</v>
      </c>
      <c r="O357" s="246">
        <f t="shared" si="137"/>
        <v>29.752467414814134</v>
      </c>
      <c r="P357" s="246">
        <f t="shared" si="138"/>
        <v>9.2972351030969662</v>
      </c>
      <c r="Q357" s="246">
        <f t="shared" si="121"/>
        <v>27656.24742580418</v>
      </c>
      <c r="R357" s="246" t="str">
        <f t="shared" si="125"/>
        <v>0.161233333333333+0.81671583914442i</v>
      </c>
      <c r="S357" s="246" t="str">
        <f t="shared" si="126"/>
        <v>0.025-0.61220803618036i</v>
      </c>
      <c r="T357" s="246" t="str">
        <f t="shared" si="127"/>
        <v>0.0405317943765546-0.6105381468508i</v>
      </c>
      <c r="U357" s="246" t="str">
        <f t="shared" si="128"/>
        <v>-3.88114491404985+2.01155612796471i</v>
      </c>
      <c r="V357" s="246">
        <f t="shared" si="139"/>
        <v>12.812525942350451</v>
      </c>
      <c r="W357" s="246">
        <f t="shared" si="140"/>
        <v>-207.39722692192174</v>
      </c>
      <c r="X357" s="246" t="str">
        <f t="shared" si="129"/>
        <v>0.994560938512517-0.0130454211594636i</v>
      </c>
      <c r="Y357" s="246" t="str">
        <f t="shared" si="130"/>
        <v>5.27791289129704-29.3340660488286i</v>
      </c>
      <c r="Z357" s="246" t="str">
        <f t="shared" si="131"/>
        <v>3.04455069713692-18.2949463517409i</v>
      </c>
      <c r="AA357" s="246" t="str">
        <f t="shared" si="132"/>
        <v>-0.701663279333641-0.840270989159513i</v>
      </c>
      <c r="AB357" s="246">
        <f t="shared" si="141"/>
        <v>0.78596977858163131</v>
      </c>
      <c r="AC357" s="246">
        <f t="shared" si="142"/>
        <v>-129.86336802859094</v>
      </c>
      <c r="AD357" s="248">
        <f t="shared" si="143"/>
        <v>-10.083204881678597</v>
      </c>
      <c r="AE357" s="248">
        <f t="shared" si="144"/>
        <v>159.61583544340508</v>
      </c>
      <c r="AF357" s="246">
        <f t="shared" si="133"/>
        <v>-9.2972351030969662</v>
      </c>
      <c r="AG357" s="246">
        <f t="shared" si="134"/>
        <v>29.752467414814134</v>
      </c>
      <c r="AH357" s="249" t="str">
        <f t="shared" si="135"/>
        <v>0.293599051254434-0.10909614986169i</v>
      </c>
    </row>
    <row r="358" spans="9:34" x14ac:dyDescent="0.2">
      <c r="I358" s="246">
        <v>354</v>
      </c>
      <c r="J358" s="246">
        <f t="shared" si="123"/>
        <v>4.4515433744813233</v>
      </c>
      <c r="K358" s="246">
        <f t="shared" si="122"/>
        <v>28284.165806186429</v>
      </c>
      <c r="L358" s="246">
        <f t="shared" si="136"/>
        <v>177714.65501926182</v>
      </c>
      <c r="M358" s="246">
        <f t="shared" si="124"/>
        <v>20107.915212237516</v>
      </c>
      <c r="N358" s="246">
        <f>SQRT((ABS(AC358)-171.5+'Small Signal'!C$59)^2)</f>
        <v>29.072722846818607</v>
      </c>
      <c r="O358" s="246">
        <f t="shared" si="137"/>
        <v>28.686663534243309</v>
      </c>
      <c r="P358" s="246">
        <f t="shared" si="138"/>
        <v>9.4188847950918611</v>
      </c>
      <c r="Q358" s="246">
        <f t="shared" si="121"/>
        <v>28284.165806186429</v>
      </c>
      <c r="R358" s="246" t="str">
        <f t="shared" si="125"/>
        <v>0.161233333333333+0.83525887859053i</v>
      </c>
      <c r="S358" s="246" t="str">
        <f t="shared" si="126"/>
        <v>0.025-0.598616803503762i</v>
      </c>
      <c r="T358" s="246" t="str">
        <f t="shared" si="127"/>
        <v>0.0398491083515697-0.597000996388196i</v>
      </c>
      <c r="U358" s="246" t="str">
        <f t="shared" si="128"/>
        <v>-3.71754494507593+2.0007409372819i</v>
      </c>
      <c r="V358" s="246">
        <f t="shared" si="139"/>
        <v>12.509833587309823</v>
      </c>
      <c r="W358" s="246">
        <f t="shared" si="140"/>
        <v>-208.28863867940291</v>
      </c>
      <c r="X358" s="246" t="str">
        <f t="shared" si="129"/>
        <v>0.994311153526387-0.0133416095613005i</v>
      </c>
      <c r="Y358" s="246" t="str">
        <f t="shared" si="130"/>
        <v>5.0387643935171-28.6881975940338i</v>
      </c>
      <c r="Z358" s="246" t="str">
        <f t="shared" si="131"/>
        <v>2.89491862466039-17.8875811065898i</v>
      </c>
      <c r="AA358" s="246" t="str">
        <f t="shared" si="132"/>
        <v>-0.703777158491228-0.821902475234115i</v>
      </c>
      <c r="AB358" s="246">
        <f t="shared" si="141"/>
        <v>0.68492346034257934</v>
      </c>
      <c r="AC358" s="246">
        <f t="shared" si="142"/>
        <v>-130.57272284681861</v>
      </c>
      <c r="AD358" s="248">
        <f t="shared" si="143"/>
        <v>-10.103808255434441</v>
      </c>
      <c r="AE358" s="248">
        <f t="shared" si="144"/>
        <v>159.25938638106192</v>
      </c>
      <c r="AF358" s="246">
        <f t="shared" si="133"/>
        <v>-9.4188847950918611</v>
      </c>
      <c r="AG358" s="246">
        <f t="shared" si="134"/>
        <v>28.686663534243309</v>
      </c>
      <c r="AH358" s="249" t="str">
        <f t="shared" si="135"/>
        <v>0.292220678840225-0.110657770724819i</v>
      </c>
    </row>
    <row r="359" spans="9:34" x14ac:dyDescent="0.2">
      <c r="I359" s="246">
        <v>355</v>
      </c>
      <c r="J359" s="246">
        <f t="shared" si="123"/>
        <v>4.4612934970081071</v>
      </c>
      <c r="K359" s="246">
        <f t="shared" si="122"/>
        <v>28926.340693836326</v>
      </c>
      <c r="L359" s="246">
        <f t="shared" si="136"/>
        <v>181749.55883798335</v>
      </c>
      <c r="M359" s="246">
        <f t="shared" si="124"/>
        <v>20764.670292534865</v>
      </c>
      <c r="N359" s="246">
        <f>SQRT((ABS(AC359)-171.5+'Small Signal'!C$59)^2)</f>
        <v>29.781430436113766</v>
      </c>
      <c r="O359" s="246">
        <f t="shared" si="137"/>
        <v>27.61365965524692</v>
      </c>
      <c r="P359" s="246">
        <f t="shared" si="138"/>
        <v>9.5391044631693642</v>
      </c>
      <c r="Q359" s="246">
        <f t="shared" si="121"/>
        <v>28926.340693836326</v>
      </c>
      <c r="R359" s="246" t="str">
        <f t="shared" si="125"/>
        <v>0.161233333333333+0.854222926538522i</v>
      </c>
      <c r="S359" s="246" t="str">
        <f t="shared" si="126"/>
        <v>0.025-0.585327300949529i</v>
      </c>
      <c r="T359" s="246" t="str">
        <f t="shared" si="127"/>
        <v>0.0391963612181302-0.58376326836503i</v>
      </c>
      <c r="U359" s="246" t="str">
        <f t="shared" si="128"/>
        <v>-3.56097463500957+1.98789010396855i</v>
      </c>
      <c r="V359" s="246">
        <f t="shared" si="139"/>
        <v>12.209509368141077</v>
      </c>
      <c r="W359" s="246">
        <f t="shared" si="140"/>
        <v>-209.1721447558815</v>
      </c>
      <c r="X359" s="246" t="str">
        <f t="shared" si="129"/>
        <v>0.994049897344456-0.0136445227417636i</v>
      </c>
      <c r="Y359" s="246" t="str">
        <f t="shared" si="130"/>
        <v>4.81074066022658-28.0561633487083i</v>
      </c>
      <c r="Z359" s="246" t="str">
        <f t="shared" si="131"/>
        <v>2.75224849313747-17.4888463241541i</v>
      </c>
      <c r="AA359" s="246" t="str">
        <f t="shared" si="132"/>
        <v>-0.705816104703289-0.80393895293832i</v>
      </c>
      <c r="AB359" s="246">
        <f t="shared" si="141"/>
        <v>0.58613601326741116</v>
      </c>
      <c r="AC359" s="246">
        <f t="shared" si="142"/>
        <v>-131.28143043611377</v>
      </c>
      <c r="AD359" s="248">
        <f t="shared" si="143"/>
        <v>-10.125240476436776</v>
      </c>
      <c r="AE359" s="248">
        <f t="shared" si="144"/>
        <v>158.89509009136069</v>
      </c>
      <c r="AF359" s="246">
        <f t="shared" si="133"/>
        <v>-9.5391044631693642</v>
      </c>
      <c r="AG359" s="246">
        <f t="shared" si="134"/>
        <v>27.61365965524692</v>
      </c>
      <c r="AH359" s="249" t="str">
        <f t="shared" si="135"/>
        <v>0.290792785933523-0.112236228028566i</v>
      </c>
    </row>
    <row r="360" spans="9:34" x14ac:dyDescent="0.2">
      <c r="I360" s="246">
        <v>356</v>
      </c>
      <c r="J360" s="246">
        <f t="shared" si="123"/>
        <v>4.4710436195348908</v>
      </c>
      <c r="K360" s="246">
        <f t="shared" si="122"/>
        <v>29583.095774133679</v>
      </c>
      <c r="L360" s="246">
        <f t="shared" si="136"/>
        <v>185876.07270892322</v>
      </c>
      <c r="M360" s="246">
        <f t="shared" si="124"/>
        <v>21436.336599940521</v>
      </c>
      <c r="N360" s="246">
        <f>SQRT((ABS(AC360)-171.5+'Small Signal'!C$59)^2)</f>
        <v>30.489204642727429</v>
      </c>
      <c r="O360" s="246">
        <f t="shared" si="137"/>
        <v>26.533715380080707</v>
      </c>
      <c r="P360" s="246">
        <f t="shared" si="138"/>
        <v>9.6579146639096383</v>
      </c>
      <c r="Q360" s="246">
        <f t="shared" si="121"/>
        <v>29583.095774133679</v>
      </c>
      <c r="R360" s="246" t="str">
        <f t="shared" si="125"/>
        <v>0.161233333333333+0.873617541731939i</v>
      </c>
      <c r="S360" s="246" t="str">
        <f t="shared" si="126"/>
        <v>0.025-0.572332830003337i</v>
      </c>
      <c r="T360" s="246" t="str">
        <f t="shared" si="127"/>
        <v>0.0385722415459427-0.570818387509533i</v>
      </c>
      <c r="U360" s="246" t="str">
        <f t="shared" si="128"/>
        <v>-3.41114115273902+1.9732043812348i</v>
      </c>
      <c r="V360" s="246">
        <f t="shared" si="139"/>
        <v>11.911552216493693</v>
      </c>
      <c r="W360" s="246">
        <f t="shared" si="140"/>
        <v>-210.04760975939266</v>
      </c>
      <c r="X360" s="246" t="str">
        <f t="shared" si="129"/>
        <v>0.993776643160309-0.0139543133828866i</v>
      </c>
      <c r="Y360" s="246" t="str">
        <f t="shared" si="130"/>
        <v>4.59330122856399-27.4377058537707i</v>
      </c>
      <c r="Z360" s="246" t="str">
        <f t="shared" si="131"/>
        <v>2.61620196700559-17.098578886193i</v>
      </c>
      <c r="AA360" s="246" t="str">
        <f t="shared" si="132"/>
        <v>-0.707784182796583-0.786371880705676i</v>
      </c>
      <c r="AB360" s="246">
        <f t="shared" si="141"/>
        <v>0.48961707169752455</v>
      </c>
      <c r="AC360" s="246">
        <f t="shared" si="142"/>
        <v>-131.98920464272743</v>
      </c>
      <c r="AD360" s="248">
        <f t="shared" si="143"/>
        <v>-10.147531735607163</v>
      </c>
      <c r="AE360" s="248">
        <f t="shared" si="144"/>
        <v>158.52292002280814</v>
      </c>
      <c r="AF360" s="246">
        <f t="shared" si="133"/>
        <v>-9.6579146639096383</v>
      </c>
      <c r="AG360" s="246">
        <f t="shared" si="134"/>
        <v>26.533715380080707</v>
      </c>
      <c r="AH360" s="249" t="str">
        <f t="shared" si="135"/>
        <v>0.289314173011667-0.113830212272921i</v>
      </c>
    </row>
    <row r="361" spans="9:34" x14ac:dyDescent="0.2">
      <c r="I361" s="246">
        <v>357</v>
      </c>
      <c r="J361" s="246">
        <f t="shared" si="123"/>
        <v>4.4807937420616746</v>
      </c>
      <c r="K361" s="246">
        <f t="shared" si="122"/>
        <v>30254.762081539331</v>
      </c>
      <c r="L361" s="246">
        <f t="shared" si="136"/>
        <v>190096.276582942</v>
      </c>
      <c r="M361" s="246">
        <f t="shared" si="124"/>
        <v>22123.25268485245</v>
      </c>
      <c r="N361" s="246">
        <f>SQRT((ABS(AC361)-171.5+'Small Signal'!C$59)^2)</f>
        <v>31.195757843172316</v>
      </c>
      <c r="O361" s="246">
        <f t="shared" si="137"/>
        <v>25.447096267951309</v>
      </c>
      <c r="P361" s="246">
        <f t="shared" si="138"/>
        <v>9.775338678056011</v>
      </c>
      <c r="Q361" s="246">
        <f t="shared" si="121"/>
        <v>30254.762081539331</v>
      </c>
      <c r="R361" s="246" t="str">
        <f t="shared" si="125"/>
        <v>0.161233333333333+0.893452499939827i</v>
      </c>
      <c r="S361" s="246" t="str">
        <f t="shared" si="126"/>
        <v>0.025-0.559626840860231i</v>
      </c>
      <c r="T361" s="246" t="str">
        <f t="shared" si="127"/>
        <v>0.0379754952190006-0.558159919842913i</v>
      </c>
      <c r="U361" s="246" t="str">
        <f t="shared" si="128"/>
        <v>-3.26776282927761+1.95686919434537i</v>
      </c>
      <c r="V361" s="246">
        <f t="shared" si="139"/>
        <v>11.615959006729291</v>
      </c>
      <c r="W361" s="246">
        <f t="shared" si="140"/>
        <v>-210.91488871478941</v>
      </c>
      <c r="X361" s="246" t="str">
        <f t="shared" si="129"/>
        <v>0.993490839974325-0.0142711376332566i</v>
      </c>
      <c r="Y361" s="246" t="str">
        <f t="shared" si="130"/>
        <v>4.38593360810564-26.832568299901i</v>
      </c>
      <c r="Z361" s="246" t="str">
        <f t="shared" si="131"/>
        <v>2.48645823084074-16.71661609032i</v>
      </c>
      <c r="AA361" s="246" t="str">
        <f t="shared" si="132"/>
        <v>-0.709685320538649-0.769192877297096i</v>
      </c>
      <c r="AB361" s="246">
        <f t="shared" si="141"/>
        <v>0.39537424118637093</v>
      </c>
      <c r="AC361" s="246">
        <f t="shared" si="142"/>
        <v>-132.69575784317232</v>
      </c>
      <c r="AD361" s="248">
        <f t="shared" si="143"/>
        <v>-10.170712919242382</v>
      </c>
      <c r="AE361" s="248">
        <f t="shared" si="144"/>
        <v>158.14285411112363</v>
      </c>
      <c r="AF361" s="246">
        <f t="shared" si="133"/>
        <v>-9.775338678056011</v>
      </c>
      <c r="AG361" s="246">
        <f t="shared" si="134"/>
        <v>25.447096267951309</v>
      </c>
      <c r="AH361" s="249" t="str">
        <f t="shared" si="135"/>
        <v>0.287783659705151-0.115438333862085i</v>
      </c>
    </row>
    <row r="362" spans="9:34" x14ac:dyDescent="0.2">
      <c r="I362" s="246">
        <v>358</v>
      </c>
      <c r="J362" s="246">
        <f t="shared" si="123"/>
        <v>4.4905438645884574</v>
      </c>
      <c r="K362" s="246">
        <f t="shared" si="122"/>
        <v>30941.67816645126</v>
      </c>
      <c r="L362" s="246">
        <f t="shared" si="136"/>
        <v>194412.29763492596</v>
      </c>
      <c r="M362" s="246">
        <f t="shared" si="124"/>
        <v>22825.764784250867</v>
      </c>
      <c r="N362" s="246">
        <f>SQRT((ABS(AC362)-171.5+'Small Signal'!C$59)^2)</f>
        <v>31.900801793243602</v>
      </c>
      <c r="O362" s="246">
        <f t="shared" si="137"/>
        <v>24.354073322139641</v>
      </c>
      <c r="P362" s="246">
        <f t="shared" si="138"/>
        <v>9.8914024940177026</v>
      </c>
      <c r="Q362" s="246">
        <f t="shared" si="121"/>
        <v>30941.67816645126</v>
      </c>
      <c r="R362" s="246" t="str">
        <f t="shared" si="125"/>
        <v>0.161233333333333+0.913737798884152i</v>
      </c>
      <c r="S362" s="246" t="str">
        <f t="shared" si="126"/>
        <v>0.025-0.547202929123208i</v>
      </c>
      <c r="T362" s="246" t="str">
        <f t="shared" si="127"/>
        <v>0.0374049229419941-0.54578156984639i</v>
      </c>
      <c r="U362" s="246" t="str">
        <f t="shared" si="128"/>
        <v>-3.13056885639077+1.93905576119689i</v>
      </c>
      <c r="V362" s="246">
        <f t="shared" si="139"/>
        <v>11.32272455859982</v>
      </c>
      <c r="W362" s="246">
        <f t="shared" si="140"/>
        <v>-211.77382824195999</v>
      </c>
      <c r="X362" s="246" t="str">
        <f t="shared" si="129"/>
        <v>0.993191911482622-0.01459515518672i</v>
      </c>
      <c r="Y362" s="246" t="str">
        <f t="shared" si="130"/>
        <v>4.18815171991478-26.2404950436045i</v>
      </c>
      <c r="Z362" s="246" t="str">
        <f t="shared" si="131"/>
        <v>2.36271301094619-16.3427959705461i</v>
      </c>
      <c r="AA362" s="246" t="str">
        <f t="shared" si="132"/>
        <v>-0.711523316235125-0.752393719650223i</v>
      </c>
      <c r="AB362" s="246">
        <f t="shared" si="141"/>
        <v>0.30341310276922823</v>
      </c>
      <c r="AC362" s="246">
        <f t="shared" si="142"/>
        <v>-133.4008017932436</v>
      </c>
      <c r="AD362" s="248">
        <f t="shared" si="143"/>
        <v>-10.194815596786931</v>
      </c>
      <c r="AE362" s="248">
        <f t="shared" si="144"/>
        <v>157.75487511538324</v>
      </c>
      <c r="AF362" s="246">
        <f t="shared" si="133"/>
        <v>-9.8914024940177026</v>
      </c>
      <c r="AG362" s="246">
        <f t="shared" si="134"/>
        <v>24.354073322139641</v>
      </c>
      <c r="AH362" s="249" t="str">
        <f t="shared" si="135"/>
        <v>0.286200089627642-0.117059121361734i</v>
      </c>
    </row>
    <row r="363" spans="9:34" x14ac:dyDescent="0.2">
      <c r="I363" s="246">
        <v>359</v>
      </c>
      <c r="J363" s="246">
        <f t="shared" si="123"/>
        <v>4.5002939871152403</v>
      </c>
      <c r="K363" s="246">
        <f t="shared" si="122"/>
        <v>31644.190265849677</v>
      </c>
      <c r="L363" s="246">
        <f t="shared" si="136"/>
        <v>198826.31133598197</v>
      </c>
      <c r="M363" s="246">
        <f t="shared" si="124"/>
        <v>23544.226996217512</v>
      </c>
      <c r="N363" s="246">
        <f>SQRT((ABS(AC363)-171.5+'Small Signal'!C$59)^2)</f>
        <v>32.604048480196724</v>
      </c>
      <c r="O363" s="246">
        <f t="shared" si="137"/>
        <v>23.254922479986192</v>
      </c>
      <c r="P363" s="246">
        <f t="shared" si="138"/>
        <v>10.006134779114586</v>
      </c>
      <c r="Q363" s="246">
        <f t="shared" si="121"/>
        <v>31644.190265849677</v>
      </c>
      <c r="R363" s="246" t="str">
        <f t="shared" si="125"/>
        <v>0.161233333333333+0.934483663279115i</v>
      </c>
      <c r="S363" s="246" t="str">
        <f t="shared" si="126"/>
        <v>0.025-0.535054832575129i</v>
      </c>
      <c r="T363" s="246" t="str">
        <f t="shared" si="127"/>
        <v>0.0368593778542419-0.533677177671445i</v>
      </c>
      <c r="U363" s="246" t="str">
        <f t="shared" si="128"/>
        <v>-2.99929897670558+1.91992213051705i</v>
      </c>
      <c r="V363" s="246">
        <f t="shared" si="139"/>
        <v>11.031841647223592</v>
      </c>
      <c r="W363" s="246">
        <f t="shared" si="140"/>
        <v>-212.62426771476385</v>
      </c>
      <c r="X363" s="246" t="str">
        <f t="shared" si="129"/>
        <v>0.992879254914977-0.0149265293628752i</v>
      </c>
      <c r="Y363" s="246" t="str">
        <f t="shared" si="130"/>
        <v>3.99949442817497-25.6612320551773i</v>
      </c>
      <c r="Z363" s="246" t="str">
        <f t="shared" si="131"/>
        <v>2.24467765503353-15.976957575282i</v>
      </c>
      <c r="AA363" s="246" t="str">
        <f t="shared" si="132"/>
        <v>-0.713301846110079-0.735966340641523i</v>
      </c>
      <c r="AB363" s="246">
        <f t="shared" si="141"/>
        <v>0.21373722649965843</v>
      </c>
      <c r="AC363" s="246">
        <f t="shared" si="142"/>
        <v>-134.10404848019672</v>
      </c>
      <c r="AD363" s="248">
        <f t="shared" si="143"/>
        <v>-10.219872005614244</v>
      </c>
      <c r="AE363" s="248">
        <f t="shared" si="144"/>
        <v>157.35897096018292</v>
      </c>
      <c r="AF363" s="246">
        <f t="shared" si="133"/>
        <v>-10.006134779114586</v>
      </c>
      <c r="AG363" s="246">
        <f t="shared" si="134"/>
        <v>23.254922479986192</v>
      </c>
      <c r="AH363" s="249" t="str">
        <f t="shared" si="135"/>
        <v>0.284562335494186-0.118691019997751i</v>
      </c>
    </row>
    <row r="364" spans="9:34" x14ac:dyDescent="0.2">
      <c r="I364" s="246">
        <v>360</v>
      </c>
      <c r="J364" s="246">
        <f t="shared" si="123"/>
        <v>4.5100441096420241</v>
      </c>
      <c r="K364" s="246">
        <f t="shared" si="122"/>
        <v>32362.652477816322</v>
      </c>
      <c r="L364" s="246">
        <f t="shared" si="136"/>
        <v>203340.54254997455</v>
      </c>
      <c r="M364" s="246">
        <f t="shared" si="124"/>
        <v>24279.001458416737</v>
      </c>
      <c r="N364" s="246">
        <f>SQRT((ABS(AC364)-171.5+'Small Signal'!C$59)^2)</f>
        <v>33.305210973191322</v>
      </c>
      <c r="O364" s="246">
        <f t="shared" si="137"/>
        <v>22.149924109618524</v>
      </c>
      <c r="P364" s="246">
        <f t="shared" si="138"/>
        <v>10.119566838381473</v>
      </c>
      <c r="Q364" s="246">
        <f t="shared" si="121"/>
        <v>32362.652477816322</v>
      </c>
      <c r="R364" s="246" t="str">
        <f t="shared" si="125"/>
        <v>0.161233333333333+0.95570054998488i</v>
      </c>
      <c r="S364" s="246" t="str">
        <f t="shared" si="126"/>
        <v>0.025-0.523176428022261i</v>
      </c>
      <c r="T364" s="246" t="str">
        <f t="shared" si="127"/>
        <v>0.0363377632465927-0.521840716393616i</v>
      </c>
      <c r="U364" s="246" t="str">
        <f t="shared" si="128"/>
        <v>-2.87370316825708+1.89961414380982i</v>
      </c>
      <c r="V364" s="246">
        <f t="shared" si="139"/>
        <v>10.743301020540862</v>
      </c>
      <c r="W364" s="246">
        <f t="shared" si="140"/>
        <v>-213.46604039687142</v>
      </c>
      <c r="X364" s="246" t="str">
        <f t="shared" si="129"/>
        <v>0.992552239819378-0.0152654271893938i</v>
      </c>
      <c r="Y364" s="246" t="str">
        <f t="shared" si="130"/>
        <v>3.81952415893889-25.0945273062156i</v>
      </c>
      <c r="Z364" s="246" t="str">
        <f t="shared" si="131"/>
        <v>2.13207826655904-15.6189412075802i</v>
      </c>
      <c r="AA364" s="246" t="str">
        <f t="shared" si="132"/>
        <v>-0.715024471482043-0.719902826767574i</v>
      </c>
      <c r="AB364" s="246">
        <f t="shared" si="141"/>
        <v>0.12634819426630331</v>
      </c>
      <c r="AC364" s="246">
        <f t="shared" si="142"/>
        <v>-134.80521097319132</v>
      </c>
      <c r="AD364" s="248">
        <f t="shared" si="143"/>
        <v>-10.245915032647776</v>
      </c>
      <c r="AE364" s="248">
        <f t="shared" si="144"/>
        <v>156.95513508280985</v>
      </c>
      <c r="AF364" s="246">
        <f t="shared" si="133"/>
        <v>-10.119566838381473</v>
      </c>
      <c r="AG364" s="246">
        <f t="shared" si="134"/>
        <v>22.149924109618524</v>
      </c>
      <c r="AH364" s="249" t="str">
        <f t="shared" si="135"/>
        <v>0.282869304522383-0.120332390428385i</v>
      </c>
    </row>
    <row r="365" spans="9:34" x14ac:dyDescent="0.2">
      <c r="I365" s="246">
        <v>361</v>
      </c>
      <c r="J365" s="246">
        <f t="shared" si="123"/>
        <v>4.5197942321688078</v>
      </c>
      <c r="K365" s="246">
        <f t="shared" si="122"/>
        <v>33097.426940015546</v>
      </c>
      <c r="L365" s="246">
        <f t="shared" si="136"/>
        <v>207957.26665495549</v>
      </c>
      <c r="M365" s="246">
        <f t="shared" si="124"/>
        <v>25030.458530629723</v>
      </c>
      <c r="N365" s="246">
        <f>SQRT((ABS(AC365)-171.5+'Small Signal'!C$59)^2)</f>
        <v>34.004004267147877</v>
      </c>
      <c r="O365" s="246">
        <f t="shared" si="137"/>
        <v>21.039362517148447</v>
      </c>
      <c r="P365" s="246">
        <f t="shared" si="138"/>
        <v>10.231732560825774</v>
      </c>
      <c r="Q365" s="246">
        <f t="shared" si="121"/>
        <v>33097.426940015546</v>
      </c>
      <c r="R365" s="246" t="str">
        <f t="shared" si="125"/>
        <v>0.161233333333333+0.977399153278291i</v>
      </c>
      <c r="S365" s="246" t="str">
        <f t="shared" si="126"/>
        <v>0.025-0.51156172820792i</v>
      </c>
      <c r="T365" s="246" t="str">
        <f t="shared" si="127"/>
        <v>0.0358390303769272-0.510266289310018i</v>
      </c>
      <c r="U365" s="246" t="str">
        <f t="shared" si="128"/>
        <v>-2.75354132598378+1.87826632672232i</v>
      </c>
      <c r="V365" s="246">
        <f t="shared" si="139"/>
        <v>10.457091424336681</v>
      </c>
      <c r="W365" s="246">
        <f t="shared" si="140"/>
        <v>-214.29897455065711</v>
      </c>
      <c r="X365" s="246" t="str">
        <f t="shared" si="129"/>
        <v>0.992210206790758-0.0156120194862093i</v>
      </c>
      <c r="Y365" s="246" t="str">
        <f t="shared" si="130"/>
        <v>3.64782560078824-24.5401311034801i</v>
      </c>
      <c r="Z365" s="246" t="str">
        <f t="shared" si="131"/>
        <v>2.02465489044521-15.268588631874i</v>
      </c>
      <c r="AA365" s="246" t="str">
        <f t="shared" si="132"/>
        <v>-0.716694645748338-0.704195415751556i</v>
      </c>
      <c r="AB365" s="246">
        <f t="shared" si="141"/>
        <v>4.1245631830571533E-2</v>
      </c>
      <c r="AC365" s="246">
        <f t="shared" si="142"/>
        <v>-135.50400426714788</v>
      </c>
      <c r="AD365" s="248">
        <f t="shared" si="143"/>
        <v>-10.272978192656346</v>
      </c>
      <c r="AE365" s="248">
        <f t="shared" si="144"/>
        <v>156.54336678429632</v>
      </c>
      <c r="AF365" s="246">
        <f t="shared" si="133"/>
        <v>-10.231732560825774</v>
      </c>
      <c r="AG365" s="246">
        <f t="shared" si="134"/>
        <v>21.039362517148447</v>
      </c>
      <c r="AH365" s="249" t="str">
        <f t="shared" si="135"/>
        <v>0.28111994410836-0.121981507822878i</v>
      </c>
    </row>
    <row r="366" spans="9:34" x14ac:dyDescent="0.2">
      <c r="I366" s="246">
        <v>362</v>
      </c>
      <c r="J366" s="246">
        <f t="shared" si="123"/>
        <v>4.5295443546955907</v>
      </c>
      <c r="K366" s="246">
        <f t="shared" si="122"/>
        <v>33848.884012228533</v>
      </c>
      <c r="L366" s="246">
        <f t="shared" si="136"/>
        <v>212678.81069006032</v>
      </c>
      <c r="M366" s="246">
        <f t="shared" si="124"/>
        <v>25798.976981432665</v>
      </c>
      <c r="N366" s="246">
        <f>SQRT((ABS(AC366)-171.5+'Small Signal'!C$59)^2)</f>
        <v>34.700146115283729</v>
      </c>
      <c r="O366" s="246">
        <f t="shared" si="137"/>
        <v>19.923525467800886</v>
      </c>
      <c r="P366" s="246">
        <f t="shared" si="138"/>
        <v>10.342668353113002</v>
      </c>
      <c r="Q366" s="246">
        <f t="shared" si="121"/>
        <v>33848.884012228533</v>
      </c>
      <c r="R366" s="246" t="str">
        <f t="shared" si="125"/>
        <v>0.161233333333333+0.999590410243283i</v>
      </c>
      <c r="S366" s="246" t="str">
        <f t="shared" si="126"/>
        <v>0.025-0.500204878794613i</v>
      </c>
      <c r="T366" s="246" t="str">
        <f t="shared" si="127"/>
        <v>0.035362176380074-0.498948127280774i</v>
      </c>
      <c r="U366" s="246" t="str">
        <f t="shared" si="128"/>
        <v>-2.638582942299+1.85600271509073i</v>
      </c>
      <c r="V366" s="246">
        <f t="shared" si="139"/>
        <v>10.173199634825634</v>
      </c>
      <c r="W366" s="246">
        <f t="shared" si="140"/>
        <v>-215.1228945153467</v>
      </c>
      <c r="X366" s="246" t="str">
        <f t="shared" si="129"/>
        <v>0.991852466141345-0.0159664809516187i</v>
      </c>
      <c r="Y366" s="246" t="str">
        <f t="shared" si="130"/>
        <v>3.4840044824609-23.9977963751692i</v>
      </c>
      <c r="Z366" s="246" t="str">
        <f t="shared" si="131"/>
        <v>1.92216074708166-14.9257432509993i</v>
      </c>
      <c r="AA366" s="246" t="str">
        <f t="shared" si="132"/>
        <v>-0.718315721190344-0.688836494079889i</v>
      </c>
      <c r="AB366" s="246">
        <f t="shared" si="141"/>
        <v>-4.1572750048604536E-2</v>
      </c>
      <c r="AC366" s="246">
        <f t="shared" si="142"/>
        <v>-136.20014611528373</v>
      </c>
      <c r="AD366" s="248">
        <f t="shared" si="143"/>
        <v>-10.301095603064397</v>
      </c>
      <c r="AE366" s="248">
        <f t="shared" si="144"/>
        <v>156.12367158308462</v>
      </c>
      <c r="AF366" s="246">
        <f t="shared" si="133"/>
        <v>-10.342668353113002</v>
      </c>
      <c r="AG366" s="246">
        <f t="shared" si="134"/>
        <v>19.923525467800886</v>
      </c>
      <c r="AH366" s="249" t="str">
        <f t="shared" si="135"/>
        <v>0.279313247766053-0.123636561280563i</v>
      </c>
    </row>
    <row r="367" spans="9:34" x14ac:dyDescent="0.2">
      <c r="I367" s="246">
        <v>363</v>
      </c>
      <c r="J367" s="246">
        <f t="shared" si="123"/>
        <v>4.5392944772223736</v>
      </c>
      <c r="K367" s="246">
        <f t="shared" si="122"/>
        <v>34617.402463031474</v>
      </c>
      <c r="L367" s="246">
        <f t="shared" si="136"/>
        <v>217507.55452844177</v>
      </c>
      <c r="M367" s="246">
        <f t="shared" si="124"/>
        <v>26584.944179113503</v>
      </c>
      <c r="N367" s="246">
        <f>SQRT((ABS(AC367)-171.5+'Small Signal'!C$59)^2)</f>
        <v>35.393357845734272</v>
      </c>
      <c r="O367" s="246">
        <f t="shared" si="137"/>
        <v>18.802703724172517</v>
      </c>
      <c r="P367" s="246">
        <f t="shared" si="138"/>
        <v>10.452413060731734</v>
      </c>
      <c r="Q367" s="246">
        <f t="shared" si="121"/>
        <v>34617.402463031474</v>
      </c>
      <c r="R367" s="246" t="str">
        <f t="shared" si="125"/>
        <v>0.161233333333333+1.02228550628368i</v>
      </c>
      <c r="S367" s="246" t="str">
        <f t="shared" si="126"/>
        <v>0.025-0.489100155413193i</v>
      </c>
      <c r="T367" s="246" t="str">
        <f t="shared" si="127"/>
        <v>0.034906242268122-0.487880586114396i</v>
      </c>
      <c r="U367" s="246" t="str">
        <f t="shared" si="128"/>
        <v>-2.52860678853098+1.83293762053162i</v>
      </c>
      <c r="V367" s="246">
        <f t="shared" si="139"/>
        <v>9.8916104987052424</v>
      </c>
      <c r="W367" s="246">
        <f t="shared" si="140"/>
        <v>-215.93762175070191</v>
      </c>
      <c r="X367" s="246" t="str">
        <f t="shared" si="129"/>
        <v>0.991478296509956-0.0163289902503382i</v>
      </c>
      <c r="Y367" s="246" t="str">
        <f t="shared" si="130"/>
        <v>3.3276864227652-23.4672789149925i</v>
      </c>
      <c r="Z367" s="246" t="str">
        <f t="shared" si="131"/>
        <v>1.82436151166577-14.5902502568707i</v>
      </c>
      <c r="AA367" s="246" t="str">
        <f t="shared" si="132"/>
        <v>-0.719890955612177-0.673818594473701i</v>
      </c>
      <c r="AB367" s="246">
        <f t="shared" si="141"/>
        <v>-0.12211110560572039</v>
      </c>
      <c r="AC367" s="246">
        <f t="shared" si="142"/>
        <v>-136.89335784573427</v>
      </c>
      <c r="AD367" s="248">
        <f t="shared" si="143"/>
        <v>-10.330301955126014</v>
      </c>
      <c r="AE367" s="248">
        <f t="shared" si="144"/>
        <v>155.69606156990679</v>
      </c>
      <c r="AF367" s="246">
        <f t="shared" si="133"/>
        <v>-10.452413060731734</v>
      </c>
      <c r="AG367" s="246">
        <f t="shared" si="134"/>
        <v>18.802703724172517</v>
      </c>
      <c r="AH367" s="249" t="str">
        <f t="shared" si="135"/>
        <v>0.277448261314779-0.125295653625006i</v>
      </c>
    </row>
    <row r="368" spans="9:34" x14ac:dyDescent="0.2">
      <c r="I368" s="246">
        <v>364</v>
      </c>
      <c r="J368" s="246">
        <f t="shared" si="123"/>
        <v>4.5490445997491573</v>
      </c>
      <c r="K368" s="246">
        <f t="shared" si="122"/>
        <v>35403.369660712313</v>
      </c>
      <c r="L368" s="246">
        <f t="shared" si="136"/>
        <v>222445.93207683513</v>
      </c>
      <c r="M368" s="246">
        <f t="shared" si="124"/>
        <v>27388.756286922704</v>
      </c>
      <c r="N368" s="246">
        <f>SQRT((ABS(AC368)-171.5+'Small Signal'!C$59)^2)</f>
        <v>36.083365157895088</v>
      </c>
      <c r="O368" s="246">
        <f t="shared" si="137"/>
        <v>17.67719060444773</v>
      </c>
      <c r="P368" s="246">
        <f t="shared" si="138"/>
        <v>10.561007876766491</v>
      </c>
      <c r="Q368" s="246">
        <f t="shared" si="121"/>
        <v>35403.369660712313</v>
      </c>
      <c r="R368" s="246" t="str">
        <f t="shared" si="125"/>
        <v>0.161233333333333+1.04549588076112i</v>
      </c>
      <c r="S368" s="246" t="str">
        <f t="shared" si="126"/>
        <v>0.025-0.4782419607775i</v>
      </c>
      <c r="T368" s="246" t="str">
        <f t="shared" si="127"/>
        <v>0.0344703110172758-0.477058143997107i</v>
      </c>
      <c r="U368" s="246" t="str">
        <f t="shared" si="128"/>
        <v>-2.42340059873443+1.80917634008208i</v>
      </c>
      <c r="V368" s="246">
        <f t="shared" si="139"/>
        <v>9.6123069805013976</v>
      </c>
      <c r="W368" s="246">
        <f t="shared" si="140"/>
        <v>-216.74297584267927</v>
      </c>
      <c r="X368" s="246" t="str">
        <f t="shared" si="129"/>
        <v>0.991086943407409-0.0166997301035587i</v>
      </c>
      <c r="Y368" s="246" t="str">
        <f t="shared" si="130"/>
        <v>3.17851584835682-22.9483375888449i</v>
      </c>
      <c r="Z368" s="246" t="str">
        <f t="shared" si="131"/>
        <v>1.7310346361043-14.261956757809i</v>
      </c>
      <c r="AA368" s="246" t="str">
        <f t="shared" si="132"/>
        <v>-0.721423518825358-0.659134393298796i</v>
      </c>
      <c r="AB368" s="246">
        <f t="shared" si="141"/>
        <v>-0.20037539544642147</v>
      </c>
      <c r="AC368" s="246">
        <f t="shared" si="142"/>
        <v>-137.58336515789509</v>
      </c>
      <c r="AD368" s="248">
        <f t="shared" si="143"/>
        <v>-10.360632481320069</v>
      </c>
      <c r="AE368" s="248">
        <f t="shared" si="144"/>
        <v>155.26055576234282</v>
      </c>
      <c r="AF368" s="246">
        <f t="shared" si="133"/>
        <v>-10.561007876766491</v>
      </c>
      <c r="AG368" s="246">
        <f t="shared" si="134"/>
        <v>17.67719060444773</v>
      </c>
      <c r="AH368" s="249" t="str">
        <f t="shared" si="135"/>
        <v>0.275524089296319-0.126956801608115i</v>
      </c>
    </row>
    <row r="369" spans="9:34" x14ac:dyDescent="0.2">
      <c r="I369" s="246">
        <v>365</v>
      </c>
      <c r="J369" s="246">
        <f t="shared" si="123"/>
        <v>4.5587947222759411</v>
      </c>
      <c r="K369" s="246">
        <f t="shared" si="122"/>
        <v>36207.181768521514</v>
      </c>
      <c r="L369" s="246">
        <f t="shared" si="136"/>
        <v>227496.43250235496</v>
      </c>
      <c r="M369" s="246">
        <f t="shared" si="124"/>
        <v>28210.818462757932</v>
      </c>
      <c r="N369" s="246">
        <f>SQRT((ABS(AC369)-171.5+'Small Signal'!C$59)^2)</f>
        <v>36.769898894374961</v>
      </c>
      <c r="O369" s="246">
        <f t="shared" si="137"/>
        <v>16.54728156300655</v>
      </c>
      <c r="P369" s="246">
        <f t="shared" si="138"/>
        <v>10.668496238485529</v>
      </c>
      <c r="Q369" s="246">
        <f t="shared" ref="Q369:Q404" si="145">K369</f>
        <v>36207.181768521514</v>
      </c>
      <c r="R369" s="246" t="str">
        <f t="shared" si="125"/>
        <v>0.161233333333333+1.06923323276107i</v>
      </c>
      <c r="S369" s="246" t="str">
        <f t="shared" si="126"/>
        <v>0.025-0.467624821863098i</v>
      </c>
      <c r="T369" s="246" t="str">
        <f t="shared" si="127"/>
        <v>0.0340535057375663-0.466475398966079i</v>
      </c>
      <c r="U369" s="246" t="str">
        <f t="shared" si="128"/>
        <v>-2.32276075712519+1.78481581405448i</v>
      </c>
      <c r="V369" s="246">
        <f t="shared" si="139"/>
        <v>9.335270216952896</v>
      </c>
      <c r="W369" s="246">
        <f t="shared" si="140"/>
        <v>-217.53877546769647</v>
      </c>
      <c r="X369" s="246" t="str">
        <f t="shared" si="129"/>
        <v>0.990677617695155-0.0170788873810447i</v>
      </c>
      <c r="Y369" s="246" t="str">
        <f t="shared" si="130"/>
        <v>3.03615497520501-22.4407345083528i</v>
      </c>
      <c r="Z369" s="246" t="str">
        <f t="shared" si="131"/>
        <v>1.64196871085561-13.9407118851938i</v>
      </c>
      <c r="AA369" s="246" t="str">
        <f t="shared" si="132"/>
        <v>-0.722916498991809-0.644776707917108i</v>
      </c>
      <c r="AB369" s="246">
        <f t="shared" si="141"/>
        <v>-0.27637331964746115</v>
      </c>
      <c r="AC369" s="246">
        <f t="shared" si="142"/>
        <v>-138.26989889437496</v>
      </c>
      <c r="AD369" s="248">
        <f t="shared" si="143"/>
        <v>-10.392122918838067</v>
      </c>
      <c r="AE369" s="248">
        <f t="shared" si="144"/>
        <v>154.81718045738151</v>
      </c>
      <c r="AF369" s="246">
        <f t="shared" si="133"/>
        <v>-10.668496238485529</v>
      </c>
      <c r="AG369" s="246">
        <f t="shared" si="134"/>
        <v>16.54728156300655</v>
      </c>
      <c r="AH369" s="249" t="str">
        <f t="shared" si="135"/>
        <v>0.273539901598655-0.128617936559052i</v>
      </c>
    </row>
    <row r="370" spans="9:34" x14ac:dyDescent="0.2">
      <c r="I370" s="246">
        <v>366</v>
      </c>
      <c r="J370" s="246">
        <f t="shared" si="123"/>
        <v>4.5685448448027248</v>
      </c>
      <c r="K370" s="246">
        <f t="shared" si="122"/>
        <v>37029.243944356742</v>
      </c>
      <c r="L370" s="246">
        <f t="shared" si="136"/>
        <v>232661.60148715094</v>
      </c>
      <c r="M370" s="246">
        <f t="shared" si="124"/>
        <v>29051.545063382189</v>
      </c>
      <c r="N370" s="246">
        <f>SQRT((ABS(AC370)-171.5+'Small Signal'!C$59)^2)</f>
        <v>37.452695784749011</v>
      </c>
      <c r="O370" s="246">
        <f t="shared" si="137"/>
        <v>15.41327379542571</v>
      </c>
      <c r="P370" s="246">
        <f t="shared" si="138"/>
        <v>10.774923712018406</v>
      </c>
      <c r="Q370" s="246">
        <f t="shared" si="145"/>
        <v>37029.243944356742</v>
      </c>
      <c r="R370" s="246" t="str">
        <f t="shared" si="125"/>
        <v>0.161233333333333+1.09350952698961i</v>
      </c>
      <c r="S370" s="246" t="str">
        <f t="shared" si="126"/>
        <v>0.025-0.457243387148607i</v>
      </c>
      <c r="T370" s="246" t="str">
        <f t="shared" si="127"/>
        <v>0.033654987921872-0.456127066426421i</v>
      </c>
      <c r="U370" s="246" t="str">
        <f t="shared" si="128"/>
        <v>-2.22649199017228+1.75994523595795i</v>
      </c>
      <c r="V370" s="246">
        <f t="shared" si="139"/>
        <v>9.0604795781110159</v>
      </c>
      <c r="W370" s="246">
        <f t="shared" si="140"/>
        <v>-218.32483931237525</v>
      </c>
      <c r="X370" s="246" t="str">
        <f t="shared" si="129"/>
        <v>0.990249493994022-0.0174666531953261i</v>
      </c>
      <c r="Y370" s="246" t="str">
        <f t="shared" si="130"/>
        <v>2.90028284981742-21.9442351750952i</v>
      </c>
      <c r="Z370" s="246" t="str">
        <f t="shared" si="131"/>
        <v>1.55696286424437-13.6263668818135i</v>
      </c>
      <c r="AA370" s="246" t="str">
        <f t="shared" si="132"/>
        <v>-0.724372908837747-0.630738493982342i</v>
      </c>
      <c r="AB370" s="246">
        <f t="shared" si="141"/>
        <v>-0.35011424296827431</v>
      </c>
      <c r="AC370" s="246">
        <f t="shared" si="142"/>
        <v>-138.95269578474901</v>
      </c>
      <c r="AD370" s="248">
        <f t="shared" si="143"/>
        <v>-10.424809469050132</v>
      </c>
      <c r="AE370" s="248">
        <f t="shared" si="144"/>
        <v>154.36596958017472</v>
      </c>
      <c r="AF370" s="246">
        <f t="shared" si="133"/>
        <v>-10.774923712018406</v>
      </c>
      <c r="AG370" s="246">
        <f t="shared" si="134"/>
        <v>15.41327379542571</v>
      </c>
      <c r="AH370" s="249" t="str">
        <f t="shared" si="135"/>
        <v>0.271494940259304-0.130276905512309i</v>
      </c>
    </row>
    <row r="371" spans="9:34" x14ac:dyDescent="0.2">
      <c r="I371" s="246">
        <v>367</v>
      </c>
      <c r="J371" s="246">
        <f t="shared" si="123"/>
        <v>4.5782949673295086</v>
      </c>
      <c r="K371" s="246">
        <f t="shared" si="122"/>
        <v>37869.970544980999</v>
      </c>
      <c r="L371" s="246">
        <f t="shared" si="136"/>
        <v>237944.04251154832</v>
      </c>
      <c r="M371" s="246">
        <f t="shared" si="124"/>
        <v>29911.35985327806</v>
      </c>
      <c r="N371" s="246">
        <f>SQRT((ABS(AC371)-171.5+'Small Signal'!C$59)^2)</f>
        <v>38.131499157669623</v>
      </c>
      <c r="O371" s="246">
        <f t="shared" si="137"/>
        <v>14.275465869373505</v>
      </c>
      <c r="P371" s="246">
        <f t="shared" si="138"/>
        <v>10.880337865471526</v>
      </c>
      <c r="Q371" s="246">
        <f t="shared" si="145"/>
        <v>37869.970544980999</v>
      </c>
      <c r="R371" s="246" t="str">
        <f t="shared" si="125"/>
        <v>0.161233333333333+1.11833699980428i</v>
      </c>
      <c r="S371" s="246" t="str">
        <f t="shared" si="126"/>
        <v>0.025-0.447092423918289i</v>
      </c>
      <c r="T371" s="246" t="str">
        <f t="shared" si="127"/>
        <v>0.0332739557708617-0.446007976711757i</v>
      </c>
      <c r="U371" s="246" t="str">
        <f t="shared" si="128"/>
        <v>-2.1344070641925+1.7346466180485i</v>
      </c>
      <c r="V371" s="246">
        <f t="shared" si="139"/>
        <v>8.7879127347644932</v>
      </c>
      <c r="W371" s="246">
        <f t="shared" si="140"/>
        <v>-219.10098694593171</v>
      </c>
      <c r="X371" s="246" t="str">
        <f t="shared" si="129"/>
        <v>0.989801709019892-0.0178632229980273i</v>
      </c>
      <c r="Y371" s="246" t="str">
        <f t="shared" si="130"/>
        <v>2.77059444652331-21.4586085988798i</v>
      </c>
      <c r="Z371" s="246" t="str">
        <f t="shared" si="131"/>
        <v>1.4758261969262-13.3187751740268i</v>
      </c>
      <c r="AA371" s="246" t="str">
        <f t="shared" si="132"/>
        <v>-0.725795691750933-0.617012842681215i</v>
      </c>
      <c r="AB371" s="246">
        <f t="shared" si="141"/>
        <v>-0.42160911261974376</v>
      </c>
      <c r="AC371" s="246">
        <f t="shared" si="142"/>
        <v>-139.63149915766962</v>
      </c>
      <c r="AD371" s="248">
        <f t="shared" si="143"/>
        <v>-10.458728752851783</v>
      </c>
      <c r="AE371" s="248">
        <f t="shared" si="144"/>
        <v>153.90696502704313</v>
      </c>
      <c r="AF371" s="246">
        <f t="shared" si="133"/>
        <v>-10.880337865471526</v>
      </c>
      <c r="AG371" s="246">
        <f t="shared" si="134"/>
        <v>14.275465869373505</v>
      </c>
      <c r="AH371" s="249" t="str">
        <f t="shared" si="135"/>
        <v>0.269388526416818-0.131931472848366i</v>
      </c>
    </row>
    <row r="372" spans="9:34" x14ac:dyDescent="0.2">
      <c r="I372" s="246">
        <v>368</v>
      </c>
      <c r="J372" s="246">
        <f t="shared" si="123"/>
        <v>4.5880450898562914</v>
      </c>
      <c r="K372" s="246">
        <f t="shared" si="122"/>
        <v>38729.785334876869</v>
      </c>
      <c r="L372" s="246">
        <f t="shared" si="136"/>
        <v>243346.41816631774</v>
      </c>
      <c r="M372" s="246">
        <f t="shared" si="124"/>
        <v>30790.696218244688</v>
      </c>
      <c r="N372" s="246">
        <f>SQRT((ABS(AC372)-171.5+'Small Signal'!C$59)^2)</f>
        <v>38.806059618241733</v>
      </c>
      <c r="O372" s="246">
        <f t="shared" si="137"/>
        <v>13.134157382415452</v>
      </c>
      <c r="P372" s="246">
        <f t="shared" si="138"/>
        <v>10.984788130891131</v>
      </c>
      <c r="Q372" s="246">
        <f t="shared" si="145"/>
        <v>38729.785334876869</v>
      </c>
      <c r="R372" s="246" t="str">
        <f t="shared" si="125"/>
        <v>0.161233333333333+1.14372816538169i</v>
      </c>
      <c r="S372" s="246" t="str">
        <f t="shared" si="126"/>
        <v>0.025-0.437166815624529i</v>
      </c>
      <c r="T372" s="246" t="str">
        <f t="shared" si="127"/>
        <v>0.0329096425906069-0.436113072688201i</v>
      </c>
      <c r="U372" s="246" t="str">
        <f t="shared" si="128"/>
        <v>-2.04632648913235+1.70899531580074i</v>
      </c>
      <c r="V372" s="246">
        <f t="shared" si="139"/>
        <v>8.5175457317493315</v>
      </c>
      <c r="W372" s="246">
        <f t="shared" si="140"/>
        <v>-219.86703964268236</v>
      </c>
      <c r="X372" s="246" t="str">
        <f t="shared" si="129"/>
        <v>0.989333359842946-0.0182687966783836i</v>
      </c>
      <c r="Y372" s="246" t="str">
        <f t="shared" si="130"/>
        <v>2.64679981734178-20.9836273930913i</v>
      </c>
      <c r="Z372" s="246" t="str">
        <f t="shared" si="131"/>
        <v>1.39837724932175-13.0177924296199i</v>
      </c>
      <c r="AA372" s="246" t="str">
        <f t="shared" si="132"/>
        <v>-0.727187727773791-0.603592977921788i</v>
      </c>
      <c r="AB372" s="246">
        <f t="shared" si="141"/>
        <v>-0.49087036907634285</v>
      </c>
      <c r="AC372" s="246">
        <f t="shared" si="142"/>
        <v>-140.30605961824173</v>
      </c>
      <c r="AD372" s="248">
        <f t="shared" si="143"/>
        <v>-10.493917761814789</v>
      </c>
      <c r="AE372" s="248">
        <f t="shared" si="144"/>
        <v>153.44021700065719</v>
      </c>
      <c r="AF372" s="246">
        <f t="shared" si="133"/>
        <v>-10.984788130891131</v>
      </c>
      <c r="AG372" s="246">
        <f t="shared" si="134"/>
        <v>13.134157382415452</v>
      </c>
      <c r="AH372" s="249" t="str">
        <f t="shared" si="135"/>
        <v>0.267220067374469-0.133579322478913i</v>
      </c>
    </row>
    <row r="373" spans="9:34" x14ac:dyDescent="0.2">
      <c r="I373" s="246">
        <v>369</v>
      </c>
      <c r="J373" s="246">
        <f t="shared" si="123"/>
        <v>4.5977952123830743</v>
      </c>
      <c r="K373" s="246">
        <f t="shared" si="122"/>
        <v>39609.121699843497</v>
      </c>
      <c r="L373" s="246">
        <f t="shared" si="136"/>
        <v>248871.45149474478</v>
      </c>
      <c r="M373" s="246">
        <f t="shared" si="124"/>
        <v>31689.997383844013</v>
      </c>
      <c r="N373" s="246">
        <f>SQRT((ABS(AC373)-171.5+'Small Signal'!C$59)^2)</f>
        <v>39.476135688013613</v>
      </c>
      <c r="O373" s="246">
        <f t="shared" si="137"/>
        <v>11.989648647189682</v>
      </c>
      <c r="P373" s="246">
        <f t="shared" si="138"/>
        <v>11.088325655545823</v>
      </c>
      <c r="Q373" s="246">
        <f t="shared" si="145"/>
        <v>39609.121699843497</v>
      </c>
      <c r="R373" s="246" t="str">
        <f t="shared" si="125"/>
        <v>0.161233333333333+1.1696958220253i</v>
      </c>
      <c r="S373" s="246" t="str">
        <f t="shared" si="126"/>
        <v>0.025-0.427461559308866i</v>
      </c>
      <c r="T373" s="246" t="str">
        <f t="shared" si="127"/>
        <v>0.0325613152597475-0.426437407401404i</v>
      </c>
      <c r="U373" s="246" t="str">
        <f t="shared" si="128"/>
        <v>-1.96207822907973+1.68306051434453i</v>
      </c>
      <c r="V373" s="246">
        <f t="shared" si="139"/>
        <v>8.2493530666481423</v>
      </c>
      <c r="W373" s="246">
        <f t="shared" si="140"/>
        <v>-220.62282115250196</v>
      </c>
      <c r="X373" s="246" t="str">
        <f t="shared" si="129"/>
        <v>0.988843502066965-0.0186835786639945i</v>
      </c>
      <c r="Y373" s="246" t="str">
        <f t="shared" si="130"/>
        <v>2.52862329117073-20.5190678497834i</v>
      </c>
      <c r="Z373" s="246" t="str">
        <f t="shared" si="131"/>
        <v>1.32444349997169-12.7232766030266i</v>
      </c>
      <c r="AA373" s="246" t="str">
        <f t="shared" si="132"/>
        <v>-0.728551839505171-0.590472253469083i</v>
      </c>
      <c r="AB373" s="246">
        <f t="shared" si="141"/>
        <v>-0.55791185045812508</v>
      </c>
      <c r="AC373" s="246">
        <f t="shared" si="142"/>
        <v>-140.97613568801361</v>
      </c>
      <c r="AD373" s="248">
        <f t="shared" si="143"/>
        <v>-10.530413805087697</v>
      </c>
      <c r="AE373" s="248">
        <f t="shared" si="144"/>
        <v>152.9657843352033</v>
      </c>
      <c r="AF373" s="246">
        <f t="shared" si="133"/>
        <v>-11.088325655545823</v>
      </c>
      <c r="AG373" s="246">
        <f t="shared" si="134"/>
        <v>11.989648647189682</v>
      </c>
      <c r="AH373" s="249" t="str">
        <f t="shared" si="135"/>
        <v>0.264989063735599-0.13521806060659i</v>
      </c>
    </row>
    <row r="374" spans="9:34" x14ac:dyDescent="0.2">
      <c r="I374" s="246">
        <v>370</v>
      </c>
      <c r="J374" s="246">
        <f t="shared" si="123"/>
        <v>4.6075453349098581</v>
      </c>
      <c r="K374" s="246">
        <f t="shared" si="122"/>
        <v>40508.422865442823</v>
      </c>
      <c r="L374" s="246">
        <f t="shared" si="136"/>
        <v>254521.92736516794</v>
      </c>
      <c r="M374" s="246">
        <f t="shared" si="124"/>
        <v>32609.716638806116</v>
      </c>
      <c r="N374" s="246">
        <f>SQRT((ABS(AC374)-171.5+'Small Signal'!C$59)^2)</f>
        <v>40.141494405334555</v>
      </c>
      <c r="O374" s="246">
        <f t="shared" si="137"/>
        <v>10.842240403891054</v>
      </c>
      <c r="P374" s="246">
        <f t="shared" si="138"/>
        <v>11.191003143057833</v>
      </c>
      <c r="Q374" s="246">
        <f t="shared" si="145"/>
        <v>40508.422865442823</v>
      </c>
      <c r="R374" s="246" t="str">
        <f t="shared" si="125"/>
        <v>0.161233333333333+1.19625305861629i</v>
      </c>
      <c r="S374" s="246" t="str">
        <f t="shared" si="126"/>
        <v>0.025-0.417971763080256i</v>
      </c>
      <c r="T374" s="246" t="str">
        <f t="shared" si="127"/>
        <v>0.0322282727632264-0.416976141766419i</v>
      </c>
      <c r="U374" s="246" t="str">
        <f t="shared" si="128"/>
        <v>-1.88149741992938+1.65690567968046i</v>
      </c>
      <c r="V374" s="246">
        <f t="shared" si="139"/>
        <v>7.9833077733503082</v>
      </c>
      <c r="W374" s="246">
        <f t="shared" si="140"/>
        <v>-221.36815841743086</v>
      </c>
      <c r="X374" s="246" t="str">
        <f t="shared" si="129"/>
        <v>0.98833114792501-0.0191077780238648i</v>
      </c>
      <c r="Y374" s="246" t="str">
        <f t="shared" si="130"/>
        <v>2.41580271923786-20.0647099969108i</v>
      </c>
      <c r="Z374" s="246" t="str">
        <f t="shared" si="131"/>
        <v>1.25386089289291-12.4350879694092i</v>
      </c>
      <c r="AA374" s="246" t="str">
        <f t="shared" si="132"/>
        <v>-0.729890797923217-0.577644150027844i</v>
      </c>
      <c r="AB374" s="246">
        <f t="shared" si="141"/>
        <v>-0.62274869104038355</v>
      </c>
      <c r="AC374" s="246">
        <f t="shared" si="142"/>
        <v>-141.64149440533456</v>
      </c>
      <c r="AD374" s="248">
        <f t="shared" si="143"/>
        <v>-10.568254452017449</v>
      </c>
      <c r="AE374" s="248">
        <f t="shared" si="144"/>
        <v>152.48373480922561</v>
      </c>
      <c r="AF374" s="246">
        <f t="shared" si="133"/>
        <v>-11.191003143057833</v>
      </c>
      <c r="AG374" s="246">
        <f t="shared" si="134"/>
        <v>10.842240403891054</v>
      </c>
      <c r="AH374" s="249" t="str">
        <f t="shared" si="135"/>
        <v>0.262695116565503-0.136845219086637i</v>
      </c>
    </row>
    <row r="375" spans="9:34" x14ac:dyDescent="0.2">
      <c r="I375" s="246">
        <v>371</v>
      </c>
      <c r="J375" s="246">
        <f t="shared" si="123"/>
        <v>4.6172954574366418</v>
      </c>
      <c r="K375" s="246">
        <f t="shared" si="122"/>
        <v>41428.142120404926</v>
      </c>
      <c r="L375" s="246">
        <f t="shared" si="136"/>
        <v>260300.69387467598</v>
      </c>
      <c r="M375" s="246">
        <f t="shared" si="124"/>
        <v>33550.317563507735</v>
      </c>
      <c r="N375" s="246">
        <f>SQRT((ABS(AC375)-171.5+'Small Signal'!C$59)^2)</f>
        <v>40.801911884300836</v>
      </c>
      <c r="O375" s="246">
        <f t="shared" si="137"/>
        <v>9.6922335594329923</v>
      </c>
      <c r="P375" s="246">
        <f t="shared" si="138"/>
        <v>11.29287468495821</v>
      </c>
      <c r="Q375" s="246">
        <f t="shared" si="145"/>
        <v>41428.142120404926</v>
      </c>
      <c r="R375" s="246" t="str">
        <f t="shared" si="125"/>
        <v>0.161233333333333+1.22341326121098i</v>
      </c>
      <c r="S375" s="246" t="str">
        <f t="shared" si="126"/>
        <v>0.025-0.408692643649361i</v>
      </c>
      <c r="T375" s="246" t="str">
        <f t="shared" si="127"/>
        <v>0.0319098447897332-0.407724542300067i</v>
      </c>
      <c r="U375" s="246" t="str">
        <f t="shared" si="128"/>
        <v>-1.80442609452146+1.63058897727461i</v>
      </c>
      <c r="V375" s="246">
        <f t="shared" si="139"/>
        <v>7.7193815099095184</v>
      </c>
      <c r="W375" s="246">
        <f t="shared" si="140"/>
        <v>-222.10288223302354</v>
      </c>
      <c r="X375" s="246" t="str">
        <f t="shared" si="129"/>
        <v>0.987795264287655-0.0195416085737843i</v>
      </c>
      <c r="Y375" s="246" t="str">
        <f t="shared" si="130"/>
        <v>2.30808876394344-19.6203376398141i</v>
      </c>
      <c r="Z375" s="246" t="str">
        <f t="shared" si="131"/>
        <v>1.18647339213504-12.1530891489181i</v>
      </c>
      <c r="AA375" s="246" t="str">
        <f t="shared" si="132"/>
        <v>-0.731207328142569-0.565102272271636i</v>
      </c>
      <c r="AB375" s="246">
        <f t="shared" si="141"/>
        <v>-0.68539721446690638</v>
      </c>
      <c r="AC375" s="246">
        <f t="shared" si="142"/>
        <v>-142.30191188430084</v>
      </c>
      <c r="AD375" s="248">
        <f t="shared" si="143"/>
        <v>-10.607477470491304</v>
      </c>
      <c r="AE375" s="248">
        <f t="shared" si="144"/>
        <v>151.99414544373383</v>
      </c>
      <c r="AF375" s="246">
        <f t="shared" si="133"/>
        <v>-11.29287468495821</v>
      </c>
      <c r="AG375" s="246">
        <f t="shared" si="134"/>
        <v>9.6922335594329923</v>
      </c>
      <c r="AH375" s="249" t="str">
        <f t="shared" si="135"/>
        <v>0.260337934530213-0.138458259414637i</v>
      </c>
    </row>
    <row r="376" spans="9:34" x14ac:dyDescent="0.2">
      <c r="I376" s="246">
        <v>372</v>
      </c>
      <c r="J376" s="246">
        <f t="shared" si="123"/>
        <v>4.6270455799634247</v>
      </c>
      <c r="K376" s="246">
        <f t="shared" si="122"/>
        <v>42368.743045106545</v>
      </c>
      <c r="L376" s="246">
        <f t="shared" si="136"/>
        <v>266210.66378468071</v>
      </c>
      <c r="M376" s="246">
        <f t="shared" si="124"/>
        <v>34512.274263638006</v>
      </c>
      <c r="N376" s="246">
        <f>SQRT((ABS(AC376)-171.5+'Small Signal'!C$59)^2)</f>
        <v>41.457173830954702</v>
      </c>
      <c r="O376" s="246">
        <f t="shared" si="137"/>
        <v>8.5399289521272408</v>
      </c>
      <c r="P376" s="246">
        <f t="shared" si="138"/>
        <v>11.393995583292273</v>
      </c>
      <c r="Q376" s="246">
        <f t="shared" si="145"/>
        <v>42368.743045106545</v>
      </c>
      <c r="R376" s="246" t="str">
        <f t="shared" si="125"/>
        <v>0.161233333333333+1.251190119788i</v>
      </c>
      <c r="S376" s="246" t="str">
        <f t="shared" si="126"/>
        <v>0.025-0.399619523917532i</v>
      </c>
      <c r="T376" s="246" t="str">
        <f t="shared" si="127"/>
        <v>0.0316053903901165-0.398677978895311i</v>
      </c>
      <c r="U376" s="246" t="str">
        <f t="shared" si="128"/>
        <v>-1.73071291548425+1.60416366043607i</v>
      </c>
      <c r="V376" s="246">
        <f t="shared" si="139"/>
        <v>7.4575446501118039</v>
      </c>
      <c r="W376" s="246">
        <f t="shared" si="140"/>
        <v>-222.82682785341987</v>
      </c>
      <c r="X376" s="246" t="str">
        <f t="shared" si="129"/>
        <v>0.987234770579753-0.0199852889841015i</v>
      </c>
      <c r="Y376" s="246" t="str">
        <f t="shared" si="130"/>
        <v>2.2052442284088-19.1857383888492i</v>
      </c>
      <c r="Z376" s="246" t="str">
        <f t="shared" si="131"/>
        <v>1.12213256185183-11.877145122311i</v>
      </c>
      <c r="AA376" s="246" t="str">
        <f t="shared" si="132"/>
        <v>-0.732504115118733-0.552840345816602i</v>
      </c>
      <c r="AB376" s="246">
        <f t="shared" si="141"/>
        <v>-0.74587482226266943</v>
      </c>
      <c r="AC376" s="246">
        <f t="shared" si="142"/>
        <v>-142.9571738309547</v>
      </c>
      <c r="AD376" s="248">
        <f t="shared" si="143"/>
        <v>-10.648120761029604</v>
      </c>
      <c r="AE376" s="248">
        <f t="shared" si="144"/>
        <v>151.49710278308194</v>
      </c>
      <c r="AF376" s="246">
        <f t="shared" si="133"/>
        <v>-11.393995583292273</v>
      </c>
      <c r="AG376" s="246">
        <f t="shared" si="134"/>
        <v>8.5399289521272408</v>
      </c>
      <c r="AH376" s="249" t="str">
        <f t="shared" si="135"/>
        <v>0.257917340958171-0.140054577360679i</v>
      </c>
    </row>
    <row r="377" spans="9:34" x14ac:dyDescent="0.2">
      <c r="I377" s="246">
        <v>373</v>
      </c>
      <c r="J377" s="246">
        <f t="shared" si="123"/>
        <v>4.6367957024902084</v>
      </c>
      <c r="K377" s="246">
        <f t="shared" si="122"/>
        <v>43330.699745236816</v>
      </c>
      <c r="L377" s="246">
        <f t="shared" si="136"/>
        <v>272254.81598908221</v>
      </c>
      <c r="M377" s="246">
        <f t="shared" si="124"/>
        <v>35496.07160916907</v>
      </c>
      <c r="N377" s="246">
        <f>SQRT((ABS(AC377)-171.5+'Small Signal'!C$59)^2)</f>
        <v>42.107076015865431</v>
      </c>
      <c r="O377" s="246">
        <f t="shared" si="137"/>
        <v>7.3856271401823221</v>
      </c>
      <c r="P377" s="246">
        <f t="shared" si="138"/>
        <v>11.494422164939673</v>
      </c>
      <c r="Q377" s="246">
        <f t="shared" si="145"/>
        <v>43330.699745236816</v>
      </c>
      <c r="R377" s="246" t="str">
        <f t="shared" si="125"/>
        <v>0.161233333333333+1.27959763514869i</v>
      </c>
      <c r="S377" s="246" t="str">
        <f t="shared" si="126"/>
        <v>0.025-0.390747830619351i</v>
      </c>
      <c r="T377" s="246" t="str">
        <f t="shared" si="127"/>
        <v>0.0313142966941411-0.389831922637412i</v>
      </c>
      <c r="U377" s="246" t="str">
        <f t="shared" si="128"/>
        <v>-1.66021291593648+1.57767843069992i</v>
      </c>
      <c r="V377" s="246">
        <f t="shared" si="139"/>
        <v>7.1977663781553405</v>
      </c>
      <c r="W377" s="246">
        <f t="shared" si="140"/>
        <v>-223.53983553953697</v>
      </c>
      <c r="X377" s="246" t="str">
        <f t="shared" si="129"/>
        <v>0.986648536601516-0.0204390428899426i</v>
      </c>
      <c r="Y377" s="246" t="str">
        <f t="shared" si="130"/>
        <v>2.10704342421277-18.7607036748444i</v>
      </c>
      <c r="Z377" s="246" t="str">
        <f t="shared" si="131"/>
        <v>1.06069717030775-11.6071232389826i</v>
      </c>
      <c r="AA377" s="246" t="str">
        <f t="shared" si="132"/>
        <v>-0.733783809312947-0.540852214137579i</v>
      </c>
      <c r="AB377" s="246">
        <f t="shared" si="141"/>
        <v>-0.80419987824646211</v>
      </c>
      <c r="AC377" s="246">
        <f t="shared" si="142"/>
        <v>-143.60707601586543</v>
      </c>
      <c r="AD377" s="248">
        <f t="shared" si="143"/>
        <v>-10.69022228669321</v>
      </c>
      <c r="AE377" s="248">
        <f t="shared" si="144"/>
        <v>150.99270315604775</v>
      </c>
      <c r="AF377" s="246">
        <f t="shared" si="133"/>
        <v>-11.494422164939673</v>
      </c>
      <c r="AG377" s="246">
        <f t="shared" si="134"/>
        <v>7.3856271401823221</v>
      </c>
      <c r="AH377" s="249" t="str">
        <f t="shared" si="135"/>
        <v>0.255433280766627-0.141631508265777i</v>
      </c>
    </row>
    <row r="378" spans="9:34" x14ac:dyDescent="0.2">
      <c r="I378" s="246">
        <v>374</v>
      </c>
      <c r="J378" s="246">
        <f t="shared" si="123"/>
        <v>4.6465458250169913</v>
      </c>
      <c r="K378" s="246">
        <f t="shared" si="122"/>
        <v>44314.49709076788</v>
      </c>
      <c r="L378" s="246">
        <f t="shared" si="136"/>
        <v>278436.19701576524</v>
      </c>
      <c r="M378" s="246">
        <f t="shared" si="124"/>
        <v>36502.205478752781</v>
      </c>
      <c r="N378" s="246">
        <f>SQRT((ABS(AC378)-171.5+'Small Signal'!C$59)^2)</f>
        <v>42.751424702679543</v>
      </c>
      <c r="O378" s="246">
        <f t="shared" si="137"/>
        <v>6.2296282118163901</v>
      </c>
      <c r="P378" s="246">
        <f t="shared" si="138"/>
        <v>11.594211588347145</v>
      </c>
      <c r="Q378" s="246">
        <f t="shared" si="145"/>
        <v>44314.49709076788</v>
      </c>
      <c r="R378" s="246" t="str">
        <f t="shared" si="125"/>
        <v>0.161233333333333+1.3086501259741i</v>
      </c>
      <c r="S378" s="246" t="str">
        <f t="shared" si="126"/>
        <v>0.025-0.38207309201749i</v>
      </c>
      <c r="T378" s="246" t="str">
        <f t="shared" si="127"/>
        <v>0.0310359776830763-0.381181943661295i</v>
      </c>
      <c r="U378" s="246" t="str">
        <f t="shared" si="128"/>
        <v>-1.59278724814015+1.55117777226949i</v>
      </c>
      <c r="V378" s="246">
        <f t="shared" si="139"/>
        <v>6.9400147858336814</v>
      </c>
      <c r="W378" s="246">
        <f t="shared" si="140"/>
        <v>-224.24175105015789</v>
      </c>
      <c r="X378" s="246" t="str">
        <f t="shared" si="129"/>
        <v>0.986035380249545-0.0209030990039345i</v>
      </c>
      <c r="Y378" s="246" t="str">
        <f t="shared" si="130"/>
        <v>2.01327157496188-18.3450287538769i</v>
      </c>
      <c r="Z378" s="246" t="str">
        <f t="shared" si="131"/>
        <v>1.00203281634309-11.3428932183336i</v>
      </c>
      <c r="AA378" s="246" t="str">
        <f t="shared" si="132"/>
        <v>-0.735049032331217-0.529131835423585i</v>
      </c>
      <c r="AB378" s="246">
        <f t="shared" si="141"/>
        <v>-0.86039158944247052</v>
      </c>
      <c r="AC378" s="246">
        <f t="shared" si="142"/>
        <v>-144.25142470267954</v>
      </c>
      <c r="AD378" s="248">
        <f t="shared" si="143"/>
        <v>-10.733819998904675</v>
      </c>
      <c r="AE378" s="248">
        <f t="shared" si="144"/>
        <v>150.48105291449593</v>
      </c>
      <c r="AF378" s="246">
        <f t="shared" si="133"/>
        <v>-11.594211588347145</v>
      </c>
      <c r="AG378" s="246">
        <f t="shared" si="134"/>
        <v>6.2296282118163901</v>
      </c>
      <c r="AH378" s="249" t="str">
        <f t="shared" si="135"/>
        <v>0.252885827190807-0.143186333011211i</v>
      </c>
    </row>
    <row r="379" spans="9:34" x14ac:dyDescent="0.2">
      <c r="I379" s="246">
        <v>375</v>
      </c>
      <c r="J379" s="246">
        <f t="shared" si="123"/>
        <v>4.6562959475437751</v>
      </c>
      <c r="K379" s="246">
        <f t="shared" si="122"/>
        <v>45320.630960351591</v>
      </c>
      <c r="L379" s="246">
        <f t="shared" si="136"/>
        <v>284757.9225621894</v>
      </c>
      <c r="M379" s="246">
        <f t="shared" si="124"/>
        <v>37531.183009665794</v>
      </c>
      <c r="N379" s="246">
        <f>SQRT((ABS(AC379)-171.5+'Small Signal'!C$59)^2)</f>
        <v>43.390037032670364</v>
      </c>
      <c r="O379" s="246">
        <f t="shared" si="137"/>
        <v>5.0722316142980617</v>
      </c>
      <c r="P379" s="246">
        <f t="shared" si="138"/>
        <v>11.693421643406559</v>
      </c>
      <c r="Q379" s="246">
        <f t="shared" si="145"/>
        <v>45320.630960351591</v>
      </c>
      <c r="R379" s="246" t="str">
        <f t="shared" si="125"/>
        <v>0.161233333333333+1.33836223604229i</v>
      </c>
      <c r="S379" s="246" t="str">
        <f t="shared" si="126"/>
        <v>0.025-0.373590935648756i</v>
      </c>
      <c r="T379" s="246" t="str">
        <f t="shared" si="127"/>
        <v>0.0307698730157075-0.372723709049757i</v>
      </c>
      <c r="U379" s="246" t="str">
        <f t="shared" si="128"/>
        <v>-1.52830294013984+1.52470226241756i</v>
      </c>
      <c r="V379" s="246">
        <f t="shared" si="139"/>
        <v>6.6842569716161924</v>
      </c>
      <c r="W379" s="246">
        <f t="shared" si="140"/>
        <v>-224.93242607610114</v>
      </c>
      <c r="X379" s="246" t="str">
        <f t="shared" si="129"/>
        <v>0.985394065133195-0.0213776912314857i</v>
      </c>
      <c r="Y379" s="246" t="str">
        <f t="shared" si="130"/>
        <v>1.92372425348897-17.9385127026997i</v>
      </c>
      <c r="Z379" s="246" t="str">
        <f t="shared" si="131"/>
        <v>0.946011576914052-11.0843271453119i</v>
      </c>
      <c r="AA379" s="246" t="str">
        <f t="shared" si="132"/>
        <v>-0.736302382551193-0.517673279368764i</v>
      </c>
      <c r="AB379" s="246">
        <f t="shared" si="141"/>
        <v>-0.91446988408548469</v>
      </c>
      <c r="AC379" s="246">
        <f t="shared" si="142"/>
        <v>-144.89003703267036</v>
      </c>
      <c r="AD379" s="248">
        <f t="shared" si="143"/>
        <v>-10.778951759321075</v>
      </c>
      <c r="AE379" s="248">
        <f t="shared" si="144"/>
        <v>149.96226864696843</v>
      </c>
      <c r="AF379" s="246">
        <f t="shared" si="133"/>
        <v>-11.693421643406559</v>
      </c>
      <c r="AG379" s="246">
        <f t="shared" si="134"/>
        <v>5.0722316142980617</v>
      </c>
      <c r="AH379" s="249" t="str">
        <f t="shared" si="135"/>
        <v>0.250275188250449-0.144716284665668i</v>
      </c>
    </row>
    <row r="380" spans="9:34" x14ac:dyDescent="0.2">
      <c r="I380" s="246">
        <v>376</v>
      </c>
      <c r="J380" s="246">
        <f t="shared" si="123"/>
        <v>4.6660460700705588</v>
      </c>
      <c r="K380" s="246">
        <f t="shared" si="122"/>
        <v>46349.608491264604</v>
      </c>
      <c r="L380" s="246">
        <f t="shared" si="136"/>
        <v>291223.17906583997</v>
      </c>
      <c r="M380" s="246">
        <f t="shared" si="124"/>
        <v>38583.522853430324</v>
      </c>
      <c r="N380" s="246">
        <f>SQRT((ABS(AC380)-171.5+'Small Signal'!C$59)^2)</f>
        <v>44.02274136576392</v>
      </c>
      <c r="O380" s="246">
        <f t="shared" si="137"/>
        <v>3.9137359987839488</v>
      </c>
      <c r="P380" s="246">
        <f t="shared" si="138"/>
        <v>11.792110545231328</v>
      </c>
      <c r="Q380" s="246">
        <f t="shared" si="145"/>
        <v>46349.608491264604</v>
      </c>
      <c r="R380" s="246" t="str">
        <f t="shared" si="125"/>
        <v>0.161233333333333+1.36874894160945i</v>
      </c>
      <c r="S380" s="246" t="str">
        <f t="shared" si="126"/>
        <v>0.025-0.365297086120171i</v>
      </c>
      <c r="T380" s="246" t="str">
        <f t="shared" si="127"/>
        <v>0.0305154469054664-0.364452980772024i</v>
      </c>
      <c r="U380" s="246" t="str">
        <f t="shared" si="128"/>
        <v>-1.46663266037837+1.49828885960302i</v>
      </c>
      <c r="V380" s="246">
        <f t="shared" si="139"/>
        <v>6.4304591410274634</v>
      </c>
      <c r="W380" s="246">
        <f t="shared" si="140"/>
        <v>-225.61171861802541</v>
      </c>
      <c r="X380" s="246" t="str">
        <f t="shared" si="129"/>
        <v>0.984723298081468-0.0218630587886858i</v>
      </c>
      <c r="Y380" s="246" t="str">
        <f t="shared" si="130"/>
        <v>1.83820685061883-17.5409584060021i</v>
      </c>
      <c r="Z380" s="246" t="str">
        <f t="shared" si="131"/>
        <v>0.892511674414935-10.8312994608607i</v>
      </c>
      <c r="AA380" s="246" t="str">
        <f t="shared" si="132"/>
        <v>-0.737546440751393-0.506470723894168i</v>
      </c>
      <c r="AB380" s="246">
        <f t="shared" si="141"/>
        <v>-0.96645528729558183</v>
      </c>
      <c r="AC380" s="246">
        <f t="shared" si="142"/>
        <v>-145.52274136576392</v>
      </c>
      <c r="AD380" s="248">
        <f t="shared" si="143"/>
        <v>-10.825655257935745</v>
      </c>
      <c r="AE380" s="248">
        <f t="shared" si="144"/>
        <v>149.43647736454787</v>
      </c>
      <c r="AF380" s="246">
        <f t="shared" si="133"/>
        <v>-11.792110545231328</v>
      </c>
      <c r="AG380" s="246">
        <f t="shared" si="134"/>
        <v>3.9137359987839488</v>
      </c>
      <c r="AH380" s="249" t="str">
        <f t="shared" si="135"/>
        <v>0.24760171288546-0.14621855580859i</v>
      </c>
    </row>
    <row r="381" spans="9:34" x14ac:dyDescent="0.2">
      <c r="I381" s="246">
        <v>377</v>
      </c>
      <c r="J381" s="246">
        <f t="shared" si="123"/>
        <v>4.6757961925973417</v>
      </c>
      <c r="K381" s="246">
        <f t="shared" si="122"/>
        <v>47401.948335029134</v>
      </c>
      <c r="L381" s="246">
        <f t="shared" si="136"/>
        <v>297835.22531034093</v>
      </c>
      <c r="M381" s="246">
        <f t="shared" si="124"/>
        <v>39659.755437237807</v>
      </c>
      <c r="N381" s="246">
        <f>SQRT((ABS(AC381)-171.5+'Small Signal'!C$59)^2)</f>
        <v>44.649377578918489</v>
      </c>
      <c r="O381" s="246">
        <f t="shared" si="137"/>
        <v>2.7544390774355065</v>
      </c>
      <c r="P381" s="246">
        <f t="shared" si="138"/>
        <v>11.890336722609852</v>
      </c>
      <c r="Q381" s="246">
        <f t="shared" si="145"/>
        <v>47401.948335029134</v>
      </c>
      <c r="R381" s="246" t="str">
        <f t="shared" si="125"/>
        <v>0.161233333333333+1.3998255589586i</v>
      </c>
      <c r="S381" s="246" t="str">
        <f t="shared" si="126"/>
        <v>0.025-0.357187362953978i</v>
      </c>
      <c r="T381" s="246" t="str">
        <f t="shared" si="127"/>
        <v>0.0302721870464709-0.356365613662164i</v>
      </c>
      <c r="U381" s="246" t="str">
        <f t="shared" si="128"/>
        <v>-1.40765449023975+1.47197117092696i</v>
      </c>
      <c r="V381" s="246">
        <f t="shared" si="139"/>
        <v>6.1785867077402559</v>
      </c>
      <c r="W381" s="246">
        <f t="shared" si="140"/>
        <v>-226.27949330877195</v>
      </c>
      <c r="X381" s="246" t="str">
        <f t="shared" si="129"/>
        <v>0.984021726535418-0.0223594463228812i</v>
      </c>
      <c r="Y381" s="246" t="str">
        <f t="shared" si="130"/>
        <v>1.7565340735718-17.1521725365552i</v>
      </c>
      <c r="Z381" s="246" t="str">
        <f t="shared" si="131"/>
        <v>0.841417162572518-10.5836869479312i</v>
      </c>
      <c r="AA381" s="246" t="str">
        <f t="shared" si="132"/>
        <v>-0.738783775757089-0.495518451794796i</v>
      </c>
      <c r="AB381" s="246">
        <f t="shared" si="141"/>
        <v>-1.0163687949826476</v>
      </c>
      <c r="AC381" s="246">
        <f t="shared" si="142"/>
        <v>-146.14937757891849</v>
      </c>
      <c r="AD381" s="248">
        <f t="shared" si="143"/>
        <v>-10.873967927627204</v>
      </c>
      <c r="AE381" s="248">
        <f t="shared" si="144"/>
        <v>148.903816656354</v>
      </c>
      <c r="AF381" s="246">
        <f t="shared" si="133"/>
        <v>-11.890336722609852</v>
      </c>
      <c r="AG381" s="246">
        <f t="shared" si="134"/>
        <v>2.7544390774355065</v>
      </c>
      <c r="AH381" s="249" t="str">
        <f t="shared" si="135"/>
        <v>0.244865896690185-0.147690306521153i</v>
      </c>
    </row>
    <row r="382" spans="9:34" x14ac:dyDescent="0.2">
      <c r="I382" s="246">
        <v>378</v>
      </c>
      <c r="J382" s="246">
        <f t="shared" si="123"/>
        <v>4.6855463151241246</v>
      </c>
      <c r="K382" s="246">
        <f t="shared" si="122"/>
        <v>48478.180918836617</v>
      </c>
      <c r="L382" s="246">
        <f t="shared" si="136"/>
        <v>304597.39406802802</v>
      </c>
      <c r="M382" s="246">
        <f t="shared" si="124"/>
        <v>40760.423231308421</v>
      </c>
      <c r="N382" s="246">
        <f>SQRT((ABS(AC382)-171.5+'Small Signal'!C$59)^2)</f>
        <v>45.269797323148282</v>
      </c>
      <c r="O382" s="246">
        <f t="shared" si="137"/>
        <v>1.5946374889357458</v>
      </c>
      <c r="P382" s="246">
        <f t="shared" si="138"/>
        <v>11.98815860192666</v>
      </c>
      <c r="Q382" s="246">
        <f t="shared" si="145"/>
        <v>48478.180918836617</v>
      </c>
      <c r="R382" s="246" t="str">
        <f t="shared" si="125"/>
        <v>0.161233333333333+1.43160775211973i</v>
      </c>
      <c r="S382" s="246" t="str">
        <f t="shared" si="126"/>
        <v>0.025-0.349257678480483i</v>
      </c>
      <c r="T382" s="246" t="str">
        <f t="shared" si="127"/>
        <v>0.030039603586362-0.348457553436859i</v>
      </c>
      <c r="U382" s="246" t="str">
        <f t="shared" si="128"/>
        <v>-1.35125170443784+1.44577970043119i</v>
      </c>
      <c r="V382" s="246">
        <f t="shared" si="139"/>
        <v>5.9286043948190894</v>
      </c>
      <c r="W382" s="246">
        <f t="shared" si="140"/>
        <v>-226.9356216814985</v>
      </c>
      <c r="X382" s="246" t="str">
        <f t="shared" si="129"/>
        <v>0.983287935820804-0.0228671040359883i</v>
      </c>
      <c r="Y382" s="246" t="str">
        <f t="shared" si="130"/>
        <v>1.6785294722012-16.7719655291783i</v>
      </c>
      <c r="Z382" s="246" t="str">
        <f t="shared" si="131"/>
        <v>0.792617629781185-10.3413687136416i</v>
      </c>
      <c r="AA382" s="246" t="str">
        <f t="shared" si="132"/>
        <v>-0.740016950118224-0.484810847305442i</v>
      </c>
      <c r="AB382" s="246">
        <f t="shared" si="141"/>
        <v>-1.0642317465097235</v>
      </c>
      <c r="AC382" s="246">
        <f t="shared" si="142"/>
        <v>-146.76979732314828</v>
      </c>
      <c r="AD382" s="248">
        <f t="shared" si="143"/>
        <v>-10.923926855416937</v>
      </c>
      <c r="AE382" s="248">
        <f t="shared" si="144"/>
        <v>148.36443481208403</v>
      </c>
      <c r="AF382" s="246">
        <f t="shared" si="133"/>
        <v>-11.98815860192666</v>
      </c>
      <c r="AG382" s="246">
        <f t="shared" si="134"/>
        <v>1.5946374889357458</v>
      </c>
      <c r="AH382" s="249" t="str">
        <f t="shared" si="135"/>
        <v>0.242068387174233-0.149128673028707i</v>
      </c>
    </row>
    <row r="383" spans="9:34" x14ac:dyDescent="0.2">
      <c r="I383" s="246">
        <v>379</v>
      </c>
      <c r="J383" s="246">
        <f t="shared" si="123"/>
        <v>4.6952964376509083</v>
      </c>
      <c r="K383" s="246">
        <f t="shared" ref="K383:K404" si="146">10^(J383)</f>
        <v>49578.848712907231</v>
      </c>
      <c r="L383" s="246">
        <f t="shared" si="136"/>
        <v>311513.09377981827</v>
      </c>
      <c r="M383" s="246">
        <f t="shared" si="124"/>
        <v>41886.081022320905</v>
      </c>
      <c r="N383" s="246">
        <f>SQRT((ABS(AC383)-171.5+'Small Signal'!C$59)^2)</f>
        <v>45.8838642408449</v>
      </c>
      <c r="O383" s="246">
        <f t="shared" si="137"/>
        <v>0.43462666823890572</v>
      </c>
      <c r="P383" s="246">
        <f t="shared" si="138"/>
        <v>12.085634387355935</v>
      </c>
      <c r="Q383" s="246">
        <f t="shared" si="145"/>
        <v>49578.848712907231</v>
      </c>
      <c r="R383" s="246" t="str">
        <f t="shared" si="125"/>
        <v>0.161233333333333+1.46411154076515i</v>
      </c>
      <c r="S383" s="246" t="str">
        <f t="shared" si="126"/>
        <v>0.025-0.341504035777698i</v>
      </c>
      <c r="T383" s="246" t="str">
        <f t="shared" si="127"/>
        <v>0.0298172281439131-0.340724834752046i</v>
      </c>
      <c r="U383" s="246" t="str">
        <f t="shared" si="128"/>
        <v>-1.29731255914221+1.41974207962914i</v>
      </c>
      <c r="V383" s="246">
        <f t="shared" si="139"/>
        <v>5.6804763355757695</v>
      </c>
      <c r="W383" s="246">
        <f t="shared" si="140"/>
        <v>-227.57998238515407</v>
      </c>
      <c r="X383" s="246" t="str">
        <f t="shared" si="129"/>
        <v>0.982520446295486-0.0233862878106066i</v>
      </c>
      <c r="Y383" s="246" t="str">
        <f t="shared" si="130"/>
        <v>1.6040249913778-16.4001515493573i</v>
      </c>
      <c r="Z383" s="246" t="str">
        <f t="shared" si="131"/>
        <v>0.746007918821004-10.1042261681008i</v>
      </c>
      <c r="AA383" s="246" t="str">
        <f t="shared" si="132"/>
        <v>-0.741248525834912-0.474342392577819i</v>
      </c>
      <c r="AB383" s="246">
        <f t="shared" si="141"/>
        <v>-1.1100656966158491</v>
      </c>
      <c r="AC383" s="246">
        <f t="shared" si="142"/>
        <v>-147.3838642408449</v>
      </c>
      <c r="AD383" s="248">
        <f t="shared" si="143"/>
        <v>-10.975568690740085</v>
      </c>
      <c r="AE383" s="248">
        <f t="shared" si="144"/>
        <v>147.81849090908381</v>
      </c>
      <c r="AF383" s="246">
        <f t="shared" si="133"/>
        <v>-12.085634387355935</v>
      </c>
      <c r="AG383" s="246">
        <f t="shared" si="134"/>
        <v>0.43462666823890572</v>
      </c>
      <c r="AH383" s="249" t="str">
        <f t="shared" si="135"/>
        <v>0.239209988477115-0.150530776970533i</v>
      </c>
    </row>
    <row r="384" spans="9:34" x14ac:dyDescent="0.2">
      <c r="I384" s="246">
        <v>380</v>
      </c>
      <c r="J384" s="246">
        <f t="shared" si="123"/>
        <v>4.7050465601776921</v>
      </c>
      <c r="K384" s="246">
        <f t="shared" si="146"/>
        <v>50704.506503919714</v>
      </c>
      <c r="L384" s="246">
        <f t="shared" si="136"/>
        <v>318585.81027322012</v>
      </c>
      <c r="M384" s="246">
        <f t="shared" si="124"/>
        <v>43037.296193049973</v>
      </c>
      <c r="N384" s="246">
        <f>SQRT((ABS(AC384)-171.5+'Small Signal'!C$59)^2)</f>
        <v>46.491454145394158</v>
      </c>
      <c r="O384" s="246">
        <f t="shared" si="137"/>
        <v>0.72529928384264508</v>
      </c>
      <c r="P384" s="246">
        <f t="shared" si="138"/>
        <v>12.182821838137889</v>
      </c>
      <c r="Q384" s="246">
        <f t="shared" si="145"/>
        <v>50704.506503919714</v>
      </c>
      <c r="R384" s="246" t="str">
        <f t="shared" si="125"/>
        <v>0.161233333333333+1.49735330828413i</v>
      </c>
      <c r="S384" s="246" t="str">
        <f t="shared" si="126"/>
        <v>0.025-0.333922526656695i</v>
      </c>
      <c r="T384" s="246" t="str">
        <f t="shared" si="127"/>
        <v>0.0296046128694744-0.33316357929784i</v>
      </c>
      <c r="U384" s="246" t="str">
        <f t="shared" si="128"/>
        <v>-1.24573008771033+1.39388328155534i</v>
      </c>
      <c r="V384" s="246">
        <f t="shared" si="139"/>
        <v>5.4341661735275268</v>
      </c>
      <c r="W384" s="246">
        <f t="shared" si="140"/>
        <v>-228.21246134912943</v>
      </c>
      <c r="X384" s="246" t="str">
        <f t="shared" si="129"/>
        <v>0.981717710365824-0.0239172593389958i</v>
      </c>
      <c r="Y384" s="246" t="str">
        <f t="shared" si="130"/>
        <v>1.53286054794281-16.0365484572529i</v>
      </c>
      <c r="Z384" s="246" t="str">
        <f t="shared" si="131"/>
        <v>0.701487861968967-9.87214300035567i</v>
      </c>
      <c r="AA384" s="246" t="str">
        <f t="shared" si="132"/>
        <v>-0.742481070146783-0.464107664060437i</v>
      </c>
      <c r="AB384" s="246">
        <f t="shared" si="141"/>
        <v>-1.1538922870617487</v>
      </c>
      <c r="AC384" s="246">
        <f t="shared" si="142"/>
        <v>-147.99145414539416</v>
      </c>
      <c r="AD384" s="248">
        <f t="shared" si="143"/>
        <v>-11.028929551076139</v>
      </c>
      <c r="AE384" s="248">
        <f t="shared" si="144"/>
        <v>147.26615486155151</v>
      </c>
      <c r="AF384" s="246">
        <f t="shared" si="133"/>
        <v>-12.182821838137889</v>
      </c>
      <c r="AG384" s="246">
        <f t="shared" si="134"/>
        <v>-0.72529928384264508</v>
      </c>
      <c r="AH384" s="249" t="str">
        <f t="shared" si="135"/>
        <v>0.236291665464177-0.151893735264368i</v>
      </c>
    </row>
    <row r="385" spans="2:34" x14ac:dyDescent="0.2">
      <c r="I385" s="246">
        <v>381</v>
      </c>
      <c r="J385" s="246">
        <f t="shared" si="123"/>
        <v>4.7147966827044758</v>
      </c>
      <c r="K385" s="246">
        <f t="shared" si="146"/>
        <v>51855.721674648783</v>
      </c>
      <c r="L385" s="246">
        <f t="shared" si="136"/>
        <v>325819.10851934727</v>
      </c>
      <c r="M385" s="246">
        <f t="shared" si="124"/>
        <v>44214.649008353379</v>
      </c>
      <c r="N385" s="246">
        <f>SQRT((ABS(AC385)-171.5+'Small Signal'!C$59)^2)</f>
        <v>47.092455165406733</v>
      </c>
      <c r="O385" s="246">
        <f t="shared" si="137"/>
        <v>1.8848477357857973</v>
      </c>
      <c r="P385" s="246">
        <f t="shared" si="138"/>
        <v>12.279778043753714</v>
      </c>
      <c r="Q385" s="246">
        <f t="shared" si="145"/>
        <v>51855.721674648783</v>
      </c>
      <c r="R385" s="246" t="str">
        <f t="shared" si="125"/>
        <v>0.161233333333333+1.53134981004093i</v>
      </c>
      <c r="S385" s="246" t="str">
        <f t="shared" si="126"/>
        <v>0.025-0.326509329691716i</v>
      </c>
      <c r="T385" s="246" t="str">
        <f t="shared" si="127"/>
        <v>0.0294013295463965-0.325769993931277i</v>
      </c>
      <c r="U385" s="246" t="str">
        <f t="shared" si="128"/>
        <v>-1.19640190387758+1.36822581952424i</v>
      </c>
      <c r="V385" s="246">
        <f t="shared" si="139"/>
        <v>5.1896371609847272</v>
      </c>
      <c r="W385" s="246">
        <f t="shared" si="140"/>
        <v>-228.83295189916521</v>
      </c>
      <c r="X385" s="246" t="str">
        <f t="shared" si="129"/>
        <v>0.980878109366054-0.0244602862549798i</v>
      </c>
      <c r="Y385" s="246" t="str">
        <f t="shared" si="130"/>
        <v>1.46488363075384-15.680977767756i</v>
      </c>
      <c r="Z385" s="246" t="str">
        <f t="shared" si="131"/>
        <v>0.658962030578192-9.64500515187169i</v>
      </c>
      <c r="AA385" s="246" t="str">
        <f t="shared" si="132"/>
        <v>-0.743717161403137-0.454101328771468i</v>
      </c>
      <c r="AB385" s="246">
        <f t="shared" si="141"/>
        <v>-1.1957331184221882</v>
      </c>
      <c r="AC385" s="246">
        <f t="shared" si="142"/>
        <v>-148.59245516540673</v>
      </c>
      <c r="AD385" s="248">
        <f t="shared" si="143"/>
        <v>-11.084044925331526</v>
      </c>
      <c r="AE385" s="248">
        <f t="shared" si="144"/>
        <v>146.70760742962094</v>
      </c>
      <c r="AF385" s="246">
        <f t="shared" si="133"/>
        <v>-12.279778043753714</v>
      </c>
      <c r="AG385" s="246">
        <f t="shared" si="134"/>
        <v>-1.8848477357857973</v>
      </c>
      <c r="AH385" s="249" t="str">
        <f t="shared" si="135"/>
        <v>0.23331454713248-0.153214670524472i</v>
      </c>
    </row>
    <row r="386" spans="2:34" x14ac:dyDescent="0.2">
      <c r="I386" s="246">
        <v>382</v>
      </c>
      <c r="J386" s="246">
        <f t="shared" si="123"/>
        <v>4.7245468052312596</v>
      </c>
      <c r="K386" s="246">
        <f t="shared" si="146"/>
        <v>53033.074489952189</v>
      </c>
      <c r="L386" s="246">
        <f t="shared" si="136"/>
        <v>333216.63442982815</v>
      </c>
      <c r="M386" s="246">
        <f t="shared" si="124"/>
        <v>45418.732907651531</v>
      </c>
      <c r="N386" s="246">
        <f>SQRT((ABS(AC386)-171.5+'Small Signal'!C$59)^2)</f>
        <v>47.686767856164806</v>
      </c>
      <c r="O386" s="246">
        <f t="shared" si="137"/>
        <v>3.0437276699215658</v>
      </c>
      <c r="P386" s="246">
        <f t="shared" si="138"/>
        <v>12.376559197812769</v>
      </c>
      <c r="Q386" s="246">
        <f t="shared" si="145"/>
        <v>53033.074489952189</v>
      </c>
      <c r="R386" s="246" t="str">
        <f t="shared" si="125"/>
        <v>0.161233333333333+1.56611818182019i</v>
      </c>
      <c r="S386" s="246" t="str">
        <f t="shared" si="126"/>
        <v>0.025-0.319260708293984i</v>
      </c>
      <c r="T386" s="246" t="str">
        <f t="shared" si="127"/>
        <v>0.0292069687316579-0.318540368846253i</v>
      </c>
      <c r="U386" s="246" t="str">
        <f t="shared" si="128"/>
        <v>-1.14923001224167+1.3427899317001i</v>
      </c>
      <c r="V386" s="246">
        <f t="shared" si="139"/>
        <v>4.9468522558287988</v>
      </c>
      <c r="W386" s="246">
        <f t="shared" si="140"/>
        <v>-229.44135482681492</v>
      </c>
      <c r="X386" s="246" t="str">
        <f t="shared" si="129"/>
        <v>0.979999950294351-0.0250156422688468i</v>
      </c>
      <c r="Y386" s="246" t="str">
        <f t="shared" si="130"/>
        <v>1.39994892244401-15.3332646071739i</v>
      </c>
      <c r="Z386" s="246" t="str">
        <f t="shared" si="131"/>
        <v>0.618339498259922-9.42270078790926i</v>
      </c>
      <c r="AA386" s="246" t="str">
        <f t="shared" si="132"/>
        <v>-0.744959395031471-0.444318140453506i</v>
      </c>
      <c r="AB386" s="246">
        <f t="shared" si="141"/>
        <v>-1.2356096224075959</v>
      </c>
      <c r="AC386" s="246">
        <f t="shared" si="142"/>
        <v>-149.18676785616481</v>
      </c>
      <c r="AD386" s="248">
        <f t="shared" si="143"/>
        <v>-11.140949575405173</v>
      </c>
      <c r="AE386" s="248">
        <f t="shared" si="144"/>
        <v>146.14304018624324</v>
      </c>
      <c r="AF386" s="246">
        <f t="shared" si="133"/>
        <v>-12.376559197812769</v>
      </c>
      <c r="AG386" s="246">
        <f t="shared" si="134"/>
        <v>-3.0437276699215658</v>
      </c>
      <c r="AH386" s="249" t="str">
        <f t="shared" si="135"/>
        <v>0.230279929257622-0.154490721983301i</v>
      </c>
    </row>
    <row r="387" spans="2:34" x14ac:dyDescent="0.2">
      <c r="I387" s="246">
        <v>383</v>
      </c>
      <c r="J387" s="246">
        <f t="shared" si="123"/>
        <v>4.7342969277580425</v>
      </c>
      <c r="K387" s="246">
        <f t="shared" si="146"/>
        <v>54237.15838925034</v>
      </c>
      <c r="L387" s="246">
        <f t="shared" si="136"/>
        <v>340782.11669450975</v>
      </c>
      <c r="M387" s="246">
        <f t="shared" si="124"/>
        <v>46650.154804048616</v>
      </c>
      <c r="N387" s="246">
        <f>SQRT((ABS(AC387)-171.5+'Small Signal'!C$59)^2)</f>
        <v>48.274305281148742</v>
      </c>
      <c r="O387" s="246">
        <f t="shared" si="137"/>
        <v>4.2016498411386181</v>
      </c>
      <c r="P387" s="246">
        <f t="shared" si="138"/>
        <v>12.473220371459304</v>
      </c>
      <c r="Q387" s="246">
        <f t="shared" si="145"/>
        <v>54237.15838925034</v>
      </c>
      <c r="R387" s="246" t="str">
        <f t="shared" si="125"/>
        <v>0.161233333333333+1.6016759484642i</v>
      </c>
      <c r="S387" s="246" t="str">
        <f t="shared" si="126"/>
        <v>0.025-0.312173008828307i</v>
      </c>
      <c r="T387" s="246" t="str">
        <f t="shared" si="127"/>
        <v>0.0290211389339974-0.311471075780176i</v>
      </c>
      <c r="U387" s="246" t="str">
        <f t="shared" si="128"/>
        <v>-1.10412062586686+1.31759375249851i</v>
      </c>
      <c r="V387" s="246">
        <f t="shared" si="139"/>
        <v>4.7057742160822134</v>
      </c>
      <c r="W387" s="246">
        <f t="shared" si="140"/>
        <v>-230.03757841494973</v>
      </c>
      <c r="X387" s="246" t="str">
        <f t="shared" si="129"/>
        <v>0.979081462399-0.0255836073053115i</v>
      </c>
      <c r="Y387" s="246" t="str">
        <f t="shared" si="130"/>
        <v>1.33791794160147-14.9932376670603i</v>
      </c>
      <c r="Z387" s="246" t="str">
        <f t="shared" si="131"/>
        <v>0.579533616857969-9.20512026711511i</v>
      </c>
      <c r="AA387" s="246" t="str">
        <f t="shared" si="132"/>
        <v>-0.746210389623098-0.434752935597864i</v>
      </c>
      <c r="AB387" s="246">
        <f t="shared" si="141"/>
        <v>-1.2735429350491245</v>
      </c>
      <c r="AC387" s="246">
        <f t="shared" si="142"/>
        <v>-149.77430528114874</v>
      </c>
      <c r="AD387" s="248">
        <f t="shared" si="143"/>
        <v>-11.199677436410179</v>
      </c>
      <c r="AE387" s="248">
        <f t="shared" si="144"/>
        <v>145.57265544001012</v>
      </c>
      <c r="AF387" s="246">
        <f t="shared" si="133"/>
        <v>-12.473220371459304</v>
      </c>
      <c r="AG387" s="246">
        <f t="shared" si="134"/>
        <v>-4.2016498411386181</v>
      </c>
      <c r="AH387" s="249" t="str">
        <f t="shared" si="135"/>
        <v>0.227189276215892-0.155719056857985i</v>
      </c>
    </row>
    <row r="388" spans="2:34" x14ac:dyDescent="0.2">
      <c r="I388" s="246">
        <v>384</v>
      </c>
      <c r="J388" s="246">
        <f t="shared" ref="J388:J451" si="147">1+I388*(LOG(fsw)-1)/500</f>
        <v>4.7440470502848253</v>
      </c>
      <c r="K388" s="246">
        <f t="shared" si="146"/>
        <v>55468.580285647426</v>
      </c>
      <c r="L388" s="246">
        <f t="shared" si="136"/>
        <v>348519.36866089114</v>
      </c>
      <c r="M388" s="246">
        <f t="shared" ref="M388:M451" si="148">SQRT((Fco_target-K389)^2)</f>
        <v>47909.535390243735</v>
      </c>
      <c r="N388" s="246">
        <f>SQRT((ABS(AC388)-171.5+'Small Signal'!C$59)^2)</f>
        <v>48.854993066727644</v>
      </c>
      <c r="O388" s="246">
        <f t="shared" si="137"/>
        <v>5.3583269544267011</v>
      </c>
      <c r="P388" s="246">
        <f t="shared" si="138"/>
        <v>12.56981528709963</v>
      </c>
      <c r="Q388" s="246">
        <f t="shared" si="145"/>
        <v>55468.580285647426</v>
      </c>
      <c r="R388" s="246" t="str">
        <f t="shared" ref="R388:R451" si="149">IMSUM(COMPLEX(DCRss,Lss*L388),COMPLEX(Rdsonss,0),COMPLEX(40/3*Risense,0))</f>
        <v>0.161233333333333+1.63804103270619i</v>
      </c>
      <c r="S388" s="246" t="str">
        <f t="shared" ref="S388:S451" si="150">IMSUM(COMPLEX(ESRss,0),IMDIV(COMPLEX(1,0),COMPLEX(0,L388*Cbulkss)))</f>
        <v>0.025-0.305242658771469i</v>
      </c>
      <c r="T388" s="246" t="str">
        <f t="shared" ref="T388:T451" si="151">IMDIV(IMPRODUCT(S388,COMPLEX(Ross,0)),IMSUM(S388,COMPLEX(Ross,0)))</f>
        <v>0.0288434658279221-0.304558566256723i</v>
      </c>
      <c r="U388" s="246" t="str">
        <f t="shared" ref="U388:U451" si="152">IMPRODUCT(COMPLEX(Vinss,0),COMPLEX(M^2,0),IMDIV(IMSUB(COMPLEX(1,0),IMDIV(IMPRODUCT(R388,COMPLEX(M^2,0)),COMPLEX(Ross,0))),IMSUM(COMPLEX(1,0),IMDIV(IMPRODUCT(R388,COMPLEX(M^2,0)),T388))))</f>
        <v>-1.0609839908251+1.29265347176455i</v>
      </c>
      <c r="V388" s="246">
        <f t="shared" si="139"/>
        <v>4.4663656919143273</v>
      </c>
      <c r="W388" s="246">
        <f t="shared" si="140"/>
        <v>-230.6215384219295</v>
      </c>
      <c r="X388" s="246" t="str">
        <f t="shared" ref="X388:X451" si="153">IMSUM(COMPLEX(1,L388/(wn*q0)),IMPOWER(COMPLEX(0,L388/wn),2))</f>
        <v>0.978120793607784-0.0261644676446103i</v>
      </c>
      <c r="Y388" s="246" t="str">
        <f t="shared" ref="Y388:Y451" si="154">IMPRODUCT(COMPLEX(2*Ioutss*M^2,0),IMDIV(IMSUM(COMPLEX(1,0),IMDIV(COMPLEX(Ross,0),IMPRODUCT(COMPLEX(2,0),S388))),IMSUM(COMPLEX(1,0),IMDIV(IMPRODUCT(R388,COMPLEX(M^2,0)),T388))))</f>
        <v>1.27865870416288-14.6607291556545i</v>
      </c>
      <c r="Z388" s="246" t="str">
        <f t="shared" ref="Z388:Z451" si="155">IMPRODUCT(COMPLEX(Fm*40/3*Risense,0),Y388,X388)</f>
        <v>0.542461804459131-8.99215610961775i</v>
      </c>
      <c r="AA388" s="246" t="str">
        <f t="shared" ref="AA388:AA451" si="156">IMDIV(IMPRODUCT(COMPLEX(Fm,0),U388),IMSUM(COMPLEX(1,0),Z388))</f>
        <v>-0.747472793155138-0.425400629324427i</v>
      </c>
      <c r="AB388" s="246">
        <f t="shared" si="141"/>
        <v>-1.3095537710380567</v>
      </c>
      <c r="AC388" s="246">
        <f t="shared" si="142"/>
        <v>-150.35499306672764</v>
      </c>
      <c r="AD388" s="248">
        <f t="shared" si="143"/>
        <v>-11.260261516061574</v>
      </c>
      <c r="AE388" s="248">
        <f t="shared" si="144"/>
        <v>144.99666611230094</v>
      </c>
      <c r="AF388" s="246">
        <f t="shared" ref="AF388:AF451" si="157">AD388+AB388</f>
        <v>-12.56981528709963</v>
      </c>
      <c r="AG388" s="246">
        <f t="shared" ref="AG388:AG451" si="158">AE388+AC388</f>
        <v>-5.3583269544267011</v>
      </c>
      <c r="AH388" s="249" t="str">
        <f t="shared" ref="AH388:AH451" si="159">IMDIV(IMPRODUCT(COMPLEX(gea*Rea*Rslss/(Rslss+Rshss),0),COMPLEX(1,L388*Ccompss*Rcompss),COMPLEX(1,k_3*L388*Cffss*Rshss)),IMPRODUCT(COMPLEX(1,L388*Rea*Ccompss),COMPLEX(1,L388*Rcompss*Chfss),COMPLEX(1,k_3*L388*Rffss*Cffss)))</f>
        <v>0.224044221920739-0.156896882094227i</v>
      </c>
    </row>
    <row r="389" spans="2:34" x14ac:dyDescent="0.2">
      <c r="I389" s="246">
        <v>385</v>
      </c>
      <c r="J389" s="246">
        <f t="shared" si="147"/>
        <v>4.7537971728116091</v>
      </c>
      <c r="K389" s="246">
        <f t="shared" si="146"/>
        <v>56727.960871842544</v>
      </c>
      <c r="L389" s="246">
        <f t="shared" ref="L389:L452" si="160">2*PI()*K389</f>
        <v>356432.29025621957</v>
      </c>
      <c r="M389" s="246">
        <f t="shared" si="148"/>
        <v>49197.509451388411</v>
      </c>
      <c r="N389" s="246">
        <f>SQRT((ABS(AC389)-171.5+'Small Signal'!C$59)^2)</f>
        <v>49.428769433311288</v>
      </c>
      <c r="O389" s="246">
        <f t="shared" ref="O389:O452" si="161">ABS(AG389)</f>
        <v>6.513473865887903</v>
      </c>
      <c r="P389" s="246">
        <f t="shared" ref="P389:P452" si="162">ABS(AF389)</f>
        <v>12.666396093235551</v>
      </c>
      <c r="Q389" s="246">
        <f t="shared" si="145"/>
        <v>56727.960871842544</v>
      </c>
      <c r="R389" s="246" t="str">
        <f t="shared" si="149"/>
        <v>0.161233333333333+1.67523176420423i</v>
      </c>
      <c r="S389" s="246" t="str">
        <f t="shared" si="150"/>
        <v>0.025-0.298466164911522i</v>
      </c>
      <c r="T389" s="246" t="str">
        <f t="shared" si="151"/>
        <v>0.0286735915020365-0.29779936986417i</v>
      </c>
      <c r="U389" s="246" t="str">
        <f t="shared" si="152"/>
        <v>-1.01973421748394+1.26798348260271i</v>
      </c>
      <c r="V389" s="246">
        <f t="shared" ref="V389:V452" si="163">20*LOG(IMABS(U389))</f>
        <v>4.2285893147651326</v>
      </c>
      <c r="W389" s="246">
        <f t="shared" ref="W389:W452" si="164">IF(DEGREES(IMARGUMENT(U389))&gt;0,DEGREES(IMARGUMENT(U389))-360, DEGREES(IMARGUMENT(U389)))</f>
        <v>-231.19315802719677</v>
      </c>
      <c r="X389" s="246" t="str">
        <f t="shared" si="153"/>
        <v>0.977116006793406-0.0267585160667993i</v>
      </c>
      <c r="Y389" s="246" t="str">
        <f t="shared" si="154"/>
        <v>1.22204540288865-14.3355747473293i</v>
      </c>
      <c r="Z389" s="246" t="str">
        <f t="shared" si="155"/>
        <v>0.507045344730008-8.78370296387539i</v>
      </c>
      <c r="AA389" s="246" t="str">
        <f t="shared" si="156"/>
        <v>-0.748749289369524-0.416256211101344i</v>
      </c>
      <c r="AB389" s="246">
        <f t="shared" ref="AB389:AB452" si="165">20*LOG(IMABS(AA389))</f>
        <v>-1.3436622994600467</v>
      </c>
      <c r="AC389" s="246">
        <f t="shared" ref="AC389:AC452" si="166">IF(DEGREES(IMARGUMENT(AA389))&gt;0,DEGREES(IMARGUMENT(AA389))-360, DEGREES(IMARGUMENT(AA389)))</f>
        <v>-150.92876943331129</v>
      </c>
      <c r="AD389" s="248">
        <f t="shared" ref="AD389:AD452" si="167">20*LOG(IMABS(AH389))</f>
        <v>-11.322733793775505</v>
      </c>
      <c r="AE389" s="248">
        <f t="shared" ref="AE389:AE452" si="168">180+DEGREES(IMARGUMENT(AH389))</f>
        <v>144.41529556742339</v>
      </c>
      <c r="AF389" s="246">
        <f t="shared" si="157"/>
        <v>-12.666396093235551</v>
      </c>
      <c r="AG389" s="246">
        <f t="shared" si="158"/>
        <v>-6.513473865887903</v>
      </c>
      <c r="AH389" s="249" t="str">
        <f t="shared" si="159"/>
        <v>0.220846569818306-0.158021456411883i</v>
      </c>
    </row>
    <row r="390" spans="2:34" x14ac:dyDescent="0.2">
      <c r="I390" s="246">
        <v>386</v>
      </c>
      <c r="J390" s="246">
        <f t="shared" si="147"/>
        <v>4.7635472953383928</v>
      </c>
      <c r="K390" s="246">
        <f t="shared" si="146"/>
        <v>58015.93493298722</v>
      </c>
      <c r="L390" s="246">
        <f t="shared" si="160"/>
        <v>364524.86995323218</v>
      </c>
      <c r="M390" s="246">
        <f t="shared" si="148"/>
        <v>50514.72618504722</v>
      </c>
      <c r="N390" s="246">
        <f>SQRT((ABS(AC390)-171.5+'Small Signal'!C$59)^2)</f>
        <v>49.995585206420628</v>
      </c>
      <c r="O390" s="246">
        <f t="shared" si="161"/>
        <v>7.6668078116937863</v>
      </c>
      <c r="P390" s="246">
        <f t="shared" si="162"/>
        <v>12.763013141174765</v>
      </c>
      <c r="Q390" s="246">
        <f t="shared" si="145"/>
        <v>58015.93493298722</v>
      </c>
      <c r="R390" s="246" t="str">
        <f t="shared" si="149"/>
        <v>0.161233333333333+1.71326688878019i</v>
      </c>
      <c r="S390" s="246" t="str">
        <f t="shared" si="150"/>
        <v>0.025-0.291840111587045i</v>
      </c>
      <c r="T390" s="246" t="str">
        <f t="shared" si="151"/>
        <v>0.0285111737401996-0.29119009256871i</v>
      </c>
      <c r="U390" s="246" t="str">
        <f t="shared" si="152"/>
        <v>-0.980289118347385+1.24359651866963i</v>
      </c>
      <c r="V390" s="246">
        <f t="shared" si="163"/>
        <v>3.9924077833145439</v>
      </c>
      <c r="W390" s="246">
        <f t="shared" si="164"/>
        <v>-231.75236774112355</v>
      </c>
      <c r="X390" s="246" t="str">
        <f t="shared" si="153"/>
        <v>0.976065075867388-0.0273660519993286i</v>
      </c>
      <c r="Y390" s="246" t="str">
        <f t="shared" si="154"/>
        <v>1.167958103863-14.0176135304144i</v>
      </c>
      <c r="Z390" s="246" t="str">
        <f t="shared" si="155"/>
        <v>0.473209196917558-8.57965757250345i</v>
      </c>
      <c r="AA390" s="246" t="str">
        <f t="shared" si="156"/>
        <v>-0.750042604330492-0.40731474028706i</v>
      </c>
      <c r="AB390" s="246">
        <f t="shared" si="165"/>
        <v>-1.3758880211185427</v>
      </c>
      <c r="AC390" s="246">
        <f t="shared" si="166"/>
        <v>-151.49558520642063</v>
      </c>
      <c r="AD390" s="248">
        <f t="shared" si="167"/>
        <v>-11.387125120056222</v>
      </c>
      <c r="AE390" s="248">
        <f t="shared" si="168"/>
        <v>143.82877739472684</v>
      </c>
      <c r="AF390" s="246">
        <f t="shared" si="157"/>
        <v>-12.763013141174765</v>
      </c>
      <c r="AG390" s="246">
        <f t="shared" si="158"/>
        <v>-7.6668078116937863</v>
      </c>
      <c r="AH390" s="249" t="str">
        <f t="shared" si="159"/>
        <v>0.217598291893717-0.159090102568658i</v>
      </c>
    </row>
    <row r="391" spans="2:34" x14ac:dyDescent="0.2">
      <c r="I391" s="246">
        <v>387</v>
      </c>
      <c r="J391" s="246">
        <f t="shared" si="147"/>
        <v>4.7732974178651757</v>
      </c>
      <c r="K391" s="246">
        <f t="shared" si="146"/>
        <v>59333.15166664603</v>
      </c>
      <c r="L391" s="246">
        <f t="shared" si="160"/>
        <v>372801.18678052834</v>
      </c>
      <c r="M391" s="246">
        <f t="shared" si="148"/>
        <v>51861.849528423525</v>
      </c>
      <c r="N391" s="246">
        <f>SQRT((ABS(AC391)-171.5+'Small Signal'!C$59)^2)</f>
        <v>50.555403811295264</v>
      </c>
      <c r="O391" s="246">
        <f t="shared" si="161"/>
        <v>8.8180486692850479</v>
      </c>
      <c r="P391" s="246">
        <f t="shared" si="162"/>
        <v>12.859714764362373</v>
      </c>
      <c r="Q391" s="246">
        <f t="shared" si="145"/>
        <v>59333.15166664603</v>
      </c>
      <c r="R391" s="246" t="str">
        <f t="shared" si="149"/>
        <v>0.161233333333333+1.75216557786848i</v>
      </c>
      <c r="S391" s="246" t="str">
        <f t="shared" si="150"/>
        <v>0.025-0.285361158965497i</v>
      </c>
      <c r="T391" s="246" t="str">
        <f t="shared" si="151"/>
        <v>0.0283558853340854-0.284727415062206i</v>
      </c>
      <c r="U391" s="246" t="str">
        <f t="shared" si="152"/>
        <v>-0.942570052252682+1.21950378168116i</v>
      </c>
      <c r="V391" s="246">
        <f t="shared" si="163"/>
        <v>3.757783946065377</v>
      </c>
      <c r="W391" s="246">
        <f t="shared" si="164"/>
        <v>-232.29910528200179</v>
      </c>
      <c r="X391" s="246" t="str">
        <f t="shared" si="153"/>
        <v>0.974965881694598-0.0279873816679676i</v>
      </c>
      <c r="Y391" s="246" t="str">
        <f t="shared" si="154"/>
        <v>1.11628245902747-13.7066879537102i</v>
      </c>
      <c r="Z391" s="246" t="str">
        <f t="shared" si="155"/>
        <v>0.440881815892098-8.37991873727745i</v>
      </c>
      <c r="AA391" s="246" t="str">
        <f t="shared" si="156"/>
        <v>-0.751355513183566-0.398571341475068i</v>
      </c>
      <c r="AB391" s="246">
        <f t="shared" si="165"/>
        <v>-1.4062496475912711</v>
      </c>
      <c r="AC391" s="246">
        <f t="shared" si="166"/>
        <v>-152.05540381129526</v>
      </c>
      <c r="AD391" s="248">
        <f t="shared" si="167"/>
        <v>-11.453465116771103</v>
      </c>
      <c r="AE391" s="248">
        <f t="shared" si="168"/>
        <v>143.23735514201022</v>
      </c>
      <c r="AF391" s="246">
        <f t="shared" si="157"/>
        <v>-12.859714764362373</v>
      </c>
      <c r="AG391" s="246">
        <f t="shared" si="158"/>
        <v>-8.8180486692850479</v>
      </c>
      <c r="AH391" s="249" t="str">
        <f t="shared" si="159"/>
        <v>0.214301526647958-0.160100219751229i</v>
      </c>
    </row>
    <row r="392" spans="2:34" x14ac:dyDescent="0.2">
      <c r="I392" s="246">
        <v>388</v>
      </c>
      <c r="J392" s="246">
        <f t="shared" si="147"/>
        <v>4.7830475403919586</v>
      </c>
      <c r="K392" s="246">
        <f t="shared" si="146"/>
        <v>60680.275010022335</v>
      </c>
      <c r="L392" s="246">
        <f t="shared" si="160"/>
        <v>381265.41237858898</v>
      </c>
      <c r="M392" s="246">
        <f t="shared" si="148"/>
        <v>53239.558493013174</v>
      </c>
      <c r="N392" s="246">
        <f>SQRT((ABS(AC392)-171.5+'Small Signal'!C$59)^2)</f>
        <v>51.10820125478017</v>
      </c>
      <c r="O392" s="246">
        <f t="shared" si="161"/>
        <v>9.9669192548602723</v>
      </c>
      <c r="P392" s="246">
        <f t="shared" si="162"/>
        <v>12.956547061057515</v>
      </c>
      <c r="Q392" s="246">
        <f t="shared" si="145"/>
        <v>60680.275010022335</v>
      </c>
      <c r="R392" s="246" t="str">
        <f t="shared" si="149"/>
        <v>0.161233333333333+1.79194743817937i</v>
      </c>
      <c r="S392" s="246" t="str">
        <f t="shared" si="150"/>
        <v>0.025-0.279026041359786i</v>
      </c>
      <c r="T392" s="246" t="str">
        <f t="shared" si="151"/>
        <v>0.028207413425781-0.278408091143795i</v>
      </c>
      <c r="U392" s="246" t="str">
        <f t="shared" si="152"/>
        <v>-0.906501774724626+1.19571505983027i</v>
      </c>
      <c r="V392" s="246">
        <f t="shared" si="163"/>
        <v>3.5246808803489009</v>
      </c>
      <c r="W392" s="246">
        <f t="shared" si="164"/>
        <v>-232.833315423096</v>
      </c>
      <c r="X392" s="246" t="str">
        <f t="shared" si="153"/>
        <v>0.973816207820146-0.0286228182511568i</v>
      </c>
      <c r="Y392" s="246" t="str">
        <f t="shared" si="154"/>
        <v>1.06690943382018-13.402643771975i</v>
      </c>
      <c r="Z392" s="246" t="str">
        <f t="shared" si="155"/>
        <v>0.409994981651298-8.18438728348619i</v>
      </c>
      <c r="AA392" s="246" t="str">
        <f t="shared" si="156"/>
        <v>-0.752690847140308-0.390021199619459i</v>
      </c>
      <c r="AB392" s="246">
        <f t="shared" si="165"/>
        <v>-1.4347649821169255</v>
      </c>
      <c r="AC392" s="246">
        <f t="shared" si="166"/>
        <v>-152.60820125478017</v>
      </c>
      <c r="AD392" s="248">
        <f t="shared" si="167"/>
        <v>-11.521782078940589</v>
      </c>
      <c r="AE392" s="248">
        <f t="shared" si="168"/>
        <v>142.6412819999199</v>
      </c>
      <c r="AF392" s="246">
        <f t="shared" si="157"/>
        <v>-12.956547061057515</v>
      </c>
      <c r="AG392" s="246">
        <f t="shared" si="158"/>
        <v>-9.9669192548602723</v>
      </c>
      <c r="AH392" s="249" t="str">
        <f t="shared" si="159"/>
        <v>0.210958576014243-0.161049295996647i</v>
      </c>
    </row>
    <row r="393" spans="2:34" x14ac:dyDescent="0.2">
      <c r="I393" s="246">
        <v>389</v>
      </c>
      <c r="J393" s="246">
        <f t="shared" si="147"/>
        <v>4.7927976629187423</v>
      </c>
      <c r="K393" s="246">
        <f t="shared" si="146"/>
        <v>62057.983974611983</v>
      </c>
      <c r="L393" s="246">
        <f t="shared" si="160"/>
        <v>389921.81310246821</v>
      </c>
      <c r="M393" s="246">
        <f t="shared" si="148"/>
        <v>54648.547506857765</v>
      </c>
      <c r="N393" s="246">
        <f>SQRT((ABS(AC393)-171.5+'Small Signal'!C$59)^2)</f>
        <v>51.653966098337605</v>
      </c>
      <c r="O393" s="246">
        <f t="shared" si="161"/>
        <v>11.113145660917155</v>
      </c>
      <c r="P393" s="246">
        <f t="shared" si="162"/>
        <v>13.053553681042384</v>
      </c>
      <c r="Q393" s="246">
        <f t="shared" si="145"/>
        <v>62057.983974611983</v>
      </c>
      <c r="R393" s="246" t="str">
        <f t="shared" si="149"/>
        <v>0.161233333333333+1.8326325215816i</v>
      </c>
      <c r="S393" s="246" t="str">
        <f t="shared" si="150"/>
        <v>0.025-0.27283156558222i</v>
      </c>
      <c r="T393" s="246" t="str">
        <f t="shared" si="151"/>
        <v>0.0280654588791157-0.272228946134797i</v>
      </c>
      <c r="U393" s="246" t="str">
        <f t="shared" si="152"/>
        <v>-0.872012294289192+1.17223883776166i</v>
      </c>
      <c r="V393" s="246">
        <f t="shared" si="163"/>
        <v>3.2930619676038333</v>
      </c>
      <c r="W393" s="246">
        <f t="shared" si="164"/>
        <v>-233.35494981266692</v>
      </c>
      <c r="X393" s="246" t="str">
        <f t="shared" si="153"/>
        <v>0.972613736000048-0.0292726820378639i</v>
      </c>
      <c r="Y393" s="246" t="str">
        <f t="shared" si="154"/>
        <v>1.01973504905247-13.1053299906377i</v>
      </c>
      <c r="Z393" s="246" t="str">
        <f t="shared" si="155"/>
        <v>0.38048363774087-7.99296602379162i</v>
      </c>
      <c r="AA393" s="246" t="str">
        <f t="shared" si="156"/>
        <v>-0.754051500714472-0.381659554916814i</v>
      </c>
      <c r="AB393" s="246">
        <f t="shared" si="165"/>
        <v>-1.4614508023636883</v>
      </c>
      <c r="AC393" s="246">
        <f t="shared" si="166"/>
        <v>-153.15396609833761</v>
      </c>
      <c r="AD393" s="248">
        <f t="shared" si="167"/>
        <v>-11.592102878678697</v>
      </c>
      <c r="AE393" s="248">
        <f t="shared" si="168"/>
        <v>142.04082043742045</v>
      </c>
      <c r="AF393" s="246">
        <f t="shared" si="157"/>
        <v>-13.053553681042384</v>
      </c>
      <c r="AG393" s="246">
        <f t="shared" si="158"/>
        <v>-11.113145660917155</v>
      </c>
      <c r="AH393" s="249" t="str">
        <f t="shared" si="159"/>
        <v>0.207571901193074-0.161934920541685i</v>
      </c>
    </row>
    <row r="394" spans="2:34" x14ac:dyDescent="0.2">
      <c r="I394" s="246">
        <v>390</v>
      </c>
      <c r="J394" s="246">
        <f t="shared" si="147"/>
        <v>4.8025477854455261</v>
      </c>
      <c r="K394" s="246">
        <f t="shared" si="146"/>
        <v>63466.972988456575</v>
      </c>
      <c r="L394" s="246">
        <f t="shared" si="160"/>
        <v>398774.752172234</v>
      </c>
      <c r="M394" s="246">
        <f t="shared" si="148"/>
        <v>56089.526764567629</v>
      </c>
      <c r="N394" s="246">
        <f>SQRT((ABS(AC394)-171.5+'Small Signal'!C$59)^2)</f>
        <v>52.192699426141331</v>
      </c>
      <c r="O394" s="246">
        <f t="shared" si="161"/>
        <v>12.256457637306283</v>
      </c>
      <c r="P394" s="246">
        <f t="shared" si="162"/>
        <v>13.150775617016688</v>
      </c>
      <c r="Q394" s="246">
        <f t="shared" si="145"/>
        <v>63466.972988456575</v>
      </c>
      <c r="R394" s="246" t="str">
        <f t="shared" si="149"/>
        <v>0.161233333333333+1.8742413352095i</v>
      </c>
      <c r="S394" s="246" t="str">
        <f t="shared" si="150"/>
        <v>0.025-0.266774609334988i</v>
      </c>
      <c r="T394" s="246" t="str">
        <f t="shared" si="151"/>
        <v>0.0279297356784718-0.266186875326337i</v>
      </c>
      <c r="U394" s="246" t="str">
        <f t="shared" si="152"/>
        <v>-0.839032734548496+1.14908239870186i</v>
      </c>
      <c r="V394" s="246">
        <f t="shared" si="163"/>
        <v>3.0628909648152631</v>
      </c>
      <c r="W394" s="246">
        <f t="shared" si="164"/>
        <v>-233.86396676986578</v>
      </c>
      <c r="X394" s="246" t="str">
        <f t="shared" si="153"/>
        <v>0.971356041526631-0.0299373005890239i</v>
      </c>
      <c r="Y394" s="246" t="str">
        <f t="shared" si="154"/>
        <v>0.974660136207773-12.8145988099508i</v>
      </c>
      <c r="Z394" s="246" t="str">
        <f t="shared" si="155"/>
        <v>0.35228573808123-7.80555972172785i</v>
      </c>
      <c r="AA394" s="246" t="str">
        <f t="shared" si="156"/>
        <v>-0.755440439237308-0.373481697417063i</v>
      </c>
      <c r="AB394" s="246">
        <f t="shared" si="165"/>
        <v>-1.4863227450820826</v>
      </c>
      <c r="AC394" s="246">
        <f t="shared" si="166"/>
        <v>-153.69269942614133</v>
      </c>
      <c r="AD394" s="248">
        <f t="shared" si="167"/>
        <v>-11.664452871934605</v>
      </c>
      <c r="AE394" s="248">
        <f t="shared" si="168"/>
        <v>141.43624178883505</v>
      </c>
      <c r="AF394" s="246">
        <f t="shared" si="157"/>
        <v>-13.150775617016688</v>
      </c>
      <c r="AG394" s="246">
        <f t="shared" si="158"/>
        <v>-12.256457637306283</v>
      </c>
      <c r="AH394" s="249" t="str">
        <f t="shared" si="159"/>
        <v>0.204144117396108-0.162754795993511i</v>
      </c>
    </row>
    <row r="395" spans="2:34" x14ac:dyDescent="0.2">
      <c r="I395" s="246">
        <v>391</v>
      </c>
      <c r="J395" s="246">
        <f t="shared" si="147"/>
        <v>4.8122979079723098</v>
      </c>
      <c r="K395" s="246">
        <f t="shared" si="146"/>
        <v>64907.952246166438</v>
      </c>
      <c r="L395" s="246">
        <f t="shared" si="160"/>
        <v>407828.69187222718</v>
      </c>
      <c r="M395" s="246">
        <f t="shared" si="148"/>
        <v>57563.222585292402</v>
      </c>
      <c r="N395" s="246">
        <f>SQRT((ABS(AC395)-171.5+'Small Signal'!C$59)^2)</f>
        <v>52.724414812267753</v>
      </c>
      <c r="O395" s="246">
        <f t="shared" si="161"/>
        <v>13.396589018891831</v>
      </c>
      <c r="P395" s="246">
        <f t="shared" si="162"/>
        <v>13.24825100129172</v>
      </c>
      <c r="Q395" s="246">
        <f t="shared" si="145"/>
        <v>64907.952246166438</v>
      </c>
      <c r="R395" s="246" t="str">
        <f t="shared" si="149"/>
        <v>0.161233333333333+1.91679485179947i</v>
      </c>
      <c r="S395" s="246" t="str">
        <f t="shared" si="150"/>
        <v>0.025-0.260852119636384i</v>
      </c>
      <c r="T395" s="246" t="str">
        <f t="shared" si="151"/>
        <v>0.0277999703538801-0.260278842459129i</v>
      </c>
      <c r="U395" s="246" t="str">
        <f t="shared" si="152"/>
        <v>-0.807497201821557+1.12625191930021i</v>
      </c>
      <c r="V395" s="246">
        <f t="shared" si="163"/>
        <v>2.8341320720392549</v>
      </c>
      <c r="W395" s="246">
        <f t="shared" si="164"/>
        <v>-234.36033105932952</v>
      </c>
      <c r="X395" s="246" t="str">
        <f t="shared" si="153"/>
        <v>0.970040588339267-0.0306170089026448i</v>
      </c>
      <c r="Y395" s="246" t="str">
        <f t="shared" si="154"/>
        <v>0.931590105400669-12.5303055687836i</v>
      </c>
      <c r="Z395" s="246" t="str">
        <f t="shared" si="155"/>
        <v>0.325342101722448-7.62207505496303i</v>
      </c>
      <c r="AA395" s="246" t="str">
        <f t="shared" si="156"/>
        <v>-0.756860706680957-0.365482961332817i</v>
      </c>
      <c r="AB395" s="246">
        <f t="shared" si="165"/>
        <v>-1.5093951926061804</v>
      </c>
      <c r="AC395" s="246">
        <f t="shared" si="166"/>
        <v>-154.22441481226775</v>
      </c>
      <c r="AD395" s="248">
        <f t="shared" si="167"/>
        <v>-11.738855808685539</v>
      </c>
      <c r="AE395" s="248">
        <f t="shared" si="168"/>
        <v>140.82782579337592</v>
      </c>
      <c r="AF395" s="246">
        <f t="shared" si="157"/>
        <v>-13.24825100129172</v>
      </c>
      <c r="AG395" s="246">
        <f t="shared" si="158"/>
        <v>-13.396589018891831</v>
      </c>
      <c r="AH395" s="249" t="str">
        <f t="shared" si="159"/>
        <v>0.200677987500775-0.163506750212271i</v>
      </c>
    </row>
    <row r="396" spans="2:34" x14ac:dyDescent="0.2">
      <c r="B396" s="237"/>
      <c r="I396" s="246">
        <v>392</v>
      </c>
      <c r="J396" s="246">
        <f t="shared" si="147"/>
        <v>4.8220480304990927</v>
      </c>
      <c r="K396" s="246">
        <f t="shared" si="146"/>
        <v>66381.648066891212</v>
      </c>
      <c r="L396" s="246">
        <f t="shared" si="160"/>
        <v>417088.19580025703</v>
      </c>
      <c r="M396" s="246">
        <f t="shared" si="148"/>
        <v>59070.377778819107</v>
      </c>
      <c r="N396" s="246">
        <f>SQRT((ABS(AC396)-171.5+'Small Signal'!C$59)^2)</f>
        <v>53.24913829109974</v>
      </c>
      <c r="O396" s="246">
        <f t="shared" si="161"/>
        <v>14.533278202581755</v>
      </c>
      <c r="P396" s="246">
        <f t="shared" si="162"/>
        <v>13.346014908345575</v>
      </c>
      <c r="Q396" s="246">
        <f t="shared" si="145"/>
        <v>66381.648066891212</v>
      </c>
      <c r="R396" s="246" t="str">
        <f t="shared" si="149"/>
        <v>0.161233333333333+1.96031452026121i</v>
      </c>
      <c r="S396" s="246" t="str">
        <f t="shared" si="150"/>
        <v>0.025-0.255061111281967i</v>
      </c>
      <c r="T396" s="246" t="str">
        <f t="shared" si="151"/>
        <v>0.0276759014312562-0.254501878234856i</v>
      </c>
      <c r="U396" s="246" t="str">
        <f t="shared" si="152"/>
        <v>-0.777342658157078+1.1037525576961i</v>
      </c>
      <c r="V396" s="246">
        <f t="shared" si="163"/>
        <v>2.6067499959716023</v>
      </c>
      <c r="W396" s="246">
        <f t="shared" si="164"/>
        <v>-234.84401364726494</v>
      </c>
      <c r="X396" s="246" t="str">
        <f t="shared" si="153"/>
        <v>0.968664723910566-0.0313121495826619i</v>
      </c>
      <c r="Y396" s="246" t="str">
        <f t="shared" si="154"/>
        <v>0.890434725279856-12.2523086882216i</v>
      </c>
      <c r="Z396" s="246" t="str">
        <f t="shared" si="155"/>
        <v>0.299596275078765-7.44242057842631i</v>
      </c>
      <c r="AA396" s="246" t="str">
        <f t="shared" si="156"/>
        <v>-0.75831543382152-0.357658719012999i</v>
      </c>
      <c r="AB396" s="246">
        <f t="shared" si="165"/>
        <v>-1.5306811611198903</v>
      </c>
      <c r="AC396" s="246">
        <f t="shared" si="166"/>
        <v>-154.74913829109974</v>
      </c>
      <c r="AD396" s="248">
        <f t="shared" si="167"/>
        <v>-11.815333747225685</v>
      </c>
      <c r="AE396" s="248">
        <f t="shared" si="168"/>
        <v>140.21586008851799</v>
      </c>
      <c r="AF396" s="246">
        <f t="shared" si="157"/>
        <v>-13.346014908345575</v>
      </c>
      <c r="AG396" s="246">
        <f t="shared" si="158"/>
        <v>-14.533278202581755</v>
      </c>
      <c r="AH396" s="249" t="str">
        <f t="shared" si="159"/>
        <v>0.197176414629926-0.164188747794764i</v>
      </c>
    </row>
    <row r="397" spans="2:34" x14ac:dyDescent="0.2">
      <c r="B397" s="237"/>
      <c r="I397" s="246">
        <v>393</v>
      </c>
      <c r="J397" s="246">
        <f t="shared" si="147"/>
        <v>4.8317981530258756</v>
      </c>
      <c r="K397" s="246">
        <f t="shared" si="146"/>
        <v>67888.803260417917</v>
      </c>
      <c r="L397" s="246">
        <f t="shared" si="160"/>
        <v>426557.93116786343</v>
      </c>
      <c r="M397" s="246">
        <f t="shared" si="148"/>
        <v>60611.752019982319</v>
      </c>
      <c r="N397" s="246">
        <f>SQRT((ABS(AC397)-171.5+'Small Signal'!C$59)^2)</f>
        <v>53.766908335105882</v>
      </c>
      <c r="O397" s="246">
        <f t="shared" si="161"/>
        <v>15.66626867609483</v>
      </c>
      <c r="P397" s="246">
        <f t="shared" si="162"/>
        <v>13.44409916375545</v>
      </c>
      <c r="Q397" s="246">
        <f t="shared" si="145"/>
        <v>67888.803260417917</v>
      </c>
      <c r="R397" s="246" t="str">
        <f t="shared" si="149"/>
        <v>0.161233333333333+2.00482227648896i</v>
      </c>
      <c r="S397" s="246" t="str">
        <f t="shared" si="150"/>
        <v>0.025-0.249398665339877i</v>
      </c>
      <c r="T397" s="246" t="str">
        <f t="shared" si="151"/>
        <v>0.0275572789066826-0.248853078858578i</v>
      </c>
      <c r="U397" s="246" t="str">
        <f t="shared" si="152"/>
        <v>-0.748508799527919+1.0815885352904i</v>
      </c>
      <c r="V397" s="246">
        <f t="shared" si="163"/>
        <v>2.3807100095513811</v>
      </c>
      <c r="W397" s="246">
        <f t="shared" si="164"/>
        <v>-235.31499144170323</v>
      </c>
      <c r="X397" s="246" t="str">
        <f t="shared" si="153"/>
        <v>0.96722567389773-0.0320230730116259i</v>
      </c>
      <c r="Y397" s="246" t="str">
        <f t="shared" si="154"/>
        <v>0.851107914204448-11.9804696151249i</v>
      </c>
      <c r="Z397" s="246" t="str">
        <f t="shared" si="155"/>
        <v>0.274994401222426-7.26650668739405i</v>
      </c>
      <c r="AA397" s="246" t="str">
        <f t="shared" si="156"/>
        <v>-0.75980784677505-0.350004374542688i</v>
      </c>
      <c r="AB397" s="246">
        <f t="shared" si="165"/>
        <v>-1.5501921905694449</v>
      </c>
      <c r="AC397" s="246">
        <f t="shared" si="166"/>
        <v>-155.26690833510588</v>
      </c>
      <c r="AD397" s="248">
        <f t="shared" si="167"/>
        <v>-11.893906973186004</v>
      </c>
      <c r="AE397" s="248">
        <f t="shared" si="168"/>
        <v>139.60063965901105</v>
      </c>
      <c r="AF397" s="246">
        <f t="shared" si="157"/>
        <v>-13.44409916375545</v>
      </c>
      <c r="AG397" s="246">
        <f t="shared" si="158"/>
        <v>-15.66626867609483</v>
      </c>
      <c r="AH397" s="249" t="str">
        <f t="shared" si="159"/>
        <v>0.193642433683442-0.164798901048451i</v>
      </c>
    </row>
    <row r="398" spans="2:34" x14ac:dyDescent="0.2">
      <c r="B398" s="237"/>
      <c r="I398" s="246">
        <v>394</v>
      </c>
      <c r="J398" s="246">
        <f t="shared" si="147"/>
        <v>4.8415482755526593</v>
      </c>
      <c r="K398" s="246">
        <f t="shared" si="146"/>
        <v>69430.177501581129</v>
      </c>
      <c r="L398" s="246">
        <f t="shared" si="160"/>
        <v>436242.67115280521</v>
      </c>
      <c r="M398" s="246">
        <f t="shared" si="148"/>
        <v>62188.122231573929</v>
      </c>
      <c r="N398" s="246">
        <f>SQRT((ABS(AC398)-171.5+'Small Signal'!C$59)^2)</f>
        <v>54.277775844249248</v>
      </c>
      <c r="O398" s="246">
        <f t="shared" si="161"/>
        <v>16.795309600503685</v>
      </c>
      <c r="P398" s="246">
        <f t="shared" si="162"/>
        <v>13.542532159960695</v>
      </c>
      <c r="Q398" s="246">
        <f t="shared" si="145"/>
        <v>69430.177501581129</v>
      </c>
      <c r="R398" s="246" t="str">
        <f t="shared" si="149"/>
        <v>0.161233333333333+2.05034055441818i</v>
      </c>
      <c r="S398" s="246" t="str">
        <f t="shared" si="150"/>
        <v>0.025-0.243861927679562i</v>
      </c>
      <c r="T398" s="246" t="str">
        <f t="shared" si="151"/>
        <v>0.0274438637436876-0.243329604611612i</v>
      </c>
      <c r="U398" s="246" t="str">
        <f t="shared" si="152"/>
        <v>-0.720937939020197+1.05976321266497i</v>
      </c>
      <c r="V398" s="246">
        <f t="shared" si="163"/>
        <v>2.1559780076201482</v>
      </c>
      <c r="W398" s="246">
        <f t="shared" si="164"/>
        <v>-235.77324701952438</v>
      </c>
      <c r="X398" s="246" t="str">
        <f t="shared" si="153"/>
        <v>0.965720536548259-0.0327501375273115i</v>
      </c>
      <c r="Y398" s="246" t="str">
        <f t="shared" si="154"/>
        <v>0.813527542064033-11.7146527657757i</v>
      </c>
      <c r="Z398" s="246" t="str">
        <f t="shared" si="155"/>
        <v>0.251485095842384-7.094245580615i</v>
      </c>
      <c r="AA398" s="246" t="str">
        <f t="shared" si="156"/>
        <v>-0.76134127594246-0.342515356926441i</v>
      </c>
      <c r="AB398" s="246">
        <f t="shared" si="165"/>
        <v>-1.5679382360628562</v>
      </c>
      <c r="AC398" s="246">
        <f t="shared" si="166"/>
        <v>-155.77777584424925</v>
      </c>
      <c r="AD398" s="248">
        <f t="shared" si="167"/>
        <v>-11.974593923897839</v>
      </c>
      <c r="AE398" s="248">
        <f t="shared" si="168"/>
        <v>138.98246624374556</v>
      </c>
      <c r="AF398" s="246">
        <f t="shared" si="157"/>
        <v>-13.542532159960695</v>
      </c>
      <c r="AG398" s="246">
        <f t="shared" si="158"/>
        <v>-16.795309600503685</v>
      </c>
      <c r="AH398" s="249" t="str">
        <f t="shared" si="159"/>
        <v>0.190079201861587-0.16533548034687i</v>
      </c>
    </row>
    <row r="399" spans="2:34" x14ac:dyDescent="0.2">
      <c r="B399" s="237"/>
      <c r="I399" s="246">
        <v>395</v>
      </c>
      <c r="J399" s="246">
        <f t="shared" si="147"/>
        <v>4.8512983980794431</v>
      </c>
      <c r="K399" s="246">
        <f t="shared" si="146"/>
        <v>71006.547713172738</v>
      </c>
      <c r="L399" s="246">
        <f t="shared" si="160"/>
        <v>446147.29730495322</v>
      </c>
      <c r="M399" s="246">
        <f t="shared" si="148"/>
        <v>63800.282975948445</v>
      </c>
      <c r="N399" s="246">
        <f>SQRT((ABS(AC399)-171.5+'Small Signal'!C$59)^2)</f>
        <v>54.7818041513369</v>
      </c>
      <c r="O399" s="246">
        <f t="shared" si="161"/>
        <v>17.920156448214385</v>
      </c>
      <c r="P399" s="246">
        <f t="shared" si="162"/>
        <v>13.641338679250318</v>
      </c>
      <c r="Q399" s="246">
        <f t="shared" si="145"/>
        <v>71006.547713172738</v>
      </c>
      <c r="R399" s="246" t="str">
        <f t="shared" si="149"/>
        <v>0.161233333333333+2.09689229733328i</v>
      </c>
      <c r="S399" s="246" t="str">
        <f t="shared" si="150"/>
        <v>0.025-0.238448107533169i</v>
      </c>
      <c r="T399" s="246" t="str">
        <f t="shared" si="151"/>
        <v>0.0273354273925206-0.237928678454348i</v>
      </c>
      <c r="U399" s="246" t="str">
        <f t="shared" si="152"/>
        <v>-0.69457489483398+1.03827916006207i</v>
      </c>
      <c r="V399" s="246">
        <f t="shared" si="163"/>
        <v>1.932520558683938</v>
      </c>
      <c r="W399" s="246">
        <f t="shared" si="164"/>
        <v>-236.21876834272945</v>
      </c>
      <c r="X399" s="246" t="str">
        <f t="shared" si="153"/>
        <v>0.96414627684876-0.0334937096033357i</v>
      </c>
      <c r="Y399" s="246" t="str">
        <f t="shared" si="154"/>
        <v>0.777615242151661-11.4547254697316i</v>
      </c>
      <c r="Z399" s="246" t="str">
        <f t="shared" si="155"/>
        <v>0.229019329497679-6.92555122354641i</v>
      </c>
      <c r="AA399" s="246" t="str">
        <f t="shared" si="156"/>
        <v>-0.762919165401647-0.335187112807399i</v>
      </c>
      <c r="AB399" s="246">
        <f t="shared" si="165"/>
        <v>-1.5839275605638581</v>
      </c>
      <c r="AC399" s="246">
        <f t="shared" si="166"/>
        <v>-156.2818041513369</v>
      </c>
      <c r="AD399" s="248">
        <f t="shared" si="167"/>
        <v>-12.05741111868646</v>
      </c>
      <c r="AE399" s="248">
        <f t="shared" si="168"/>
        <v>138.36164770312251</v>
      </c>
      <c r="AF399" s="246">
        <f t="shared" si="157"/>
        <v>-13.641338679250318</v>
      </c>
      <c r="AG399" s="246">
        <f t="shared" si="158"/>
        <v>-17.920156448214385</v>
      </c>
      <c r="AH399" s="249" t="str">
        <f t="shared" si="159"/>
        <v>0.186489988232672-0.165796923760869i</v>
      </c>
    </row>
    <row r="400" spans="2:34" x14ac:dyDescent="0.2">
      <c r="B400" s="237"/>
      <c r="I400" s="246">
        <v>396</v>
      </c>
      <c r="J400" s="246">
        <f t="shared" si="147"/>
        <v>4.8610485206062268</v>
      </c>
      <c r="K400" s="246">
        <f t="shared" si="146"/>
        <v>72618.708457547255</v>
      </c>
      <c r="L400" s="246">
        <f t="shared" si="160"/>
        <v>456276.80200681888</v>
      </c>
      <c r="M400" s="246">
        <f t="shared" si="148"/>
        <v>65449.046855518216</v>
      </c>
      <c r="N400" s="246">
        <f>SQRT((ABS(AC400)-171.5+'Small Signal'!C$59)^2)</f>
        <v>55.279069047723851</v>
      </c>
      <c r="O400" s="246">
        <f t="shared" si="161"/>
        <v>19.040571697748987</v>
      </c>
      <c r="P400" s="246">
        <f t="shared" si="162"/>
        <v>13.740539724298864</v>
      </c>
      <c r="Q400" s="246">
        <f t="shared" si="145"/>
        <v>72618.708457547255</v>
      </c>
      <c r="R400" s="246" t="str">
        <f t="shared" si="149"/>
        <v>0.161233333333333+2.14450096943205i</v>
      </c>
      <c r="S400" s="246" t="str">
        <f t="shared" si="150"/>
        <v>0.025-0.233154476088868i</v>
      </c>
      <c r="T400" s="246" t="str">
        <f t="shared" si="151"/>
        <v>0.027231751330463-0.232647584658414i</v>
      </c>
      <c r="U400" s="246" t="str">
        <f t="shared" si="152"/>
        <v>-0.669366882916523+1.01713822280602i</v>
      </c>
      <c r="V400" s="246">
        <f t="shared" si="163"/>
        <v>1.7103049528483372</v>
      </c>
      <c r="W400" s="246">
        <f t="shared" si="164"/>
        <v>-236.65154846632424</v>
      </c>
      <c r="X400" s="246" t="str">
        <f t="shared" si="153"/>
        <v>0.962499720405033-0.0342541640338778i</v>
      </c>
      <c r="Y400" s="246" t="str">
        <f t="shared" si="154"/>
        <v>0.743296232535008-11.2005579139825i</v>
      </c>
      <c r="Z400" s="246" t="str">
        <f t="shared" si="155"/>
        <v>0.207550315817971-6.76033931176041i</v>
      </c>
      <c r="AA400" s="246" t="str">
        <f t="shared" si="156"/>
        <v>-0.764545082788227-0.328015098668621i</v>
      </c>
      <c r="AB400" s="246">
        <f t="shared" si="165"/>
        <v>-1.5981666286529848</v>
      </c>
      <c r="AC400" s="246">
        <f t="shared" si="166"/>
        <v>-156.77906904772385</v>
      </c>
      <c r="AD400" s="248">
        <f t="shared" si="167"/>
        <v>-12.14237309564588</v>
      </c>
      <c r="AE400" s="248">
        <f t="shared" si="168"/>
        <v>137.73849734997486</v>
      </c>
      <c r="AF400" s="246">
        <f t="shared" si="157"/>
        <v>-13.740539724298864</v>
      </c>
      <c r="AG400" s="246">
        <f t="shared" si="158"/>
        <v>-19.040571697748987</v>
      </c>
      <c r="AH400" s="249" t="str">
        <f t="shared" si="159"/>
        <v>0.182878162410019-0.166181845865161i</v>
      </c>
    </row>
    <row r="401" spans="2:34" x14ac:dyDescent="0.2">
      <c r="B401" s="237"/>
      <c r="I401" s="246">
        <v>397</v>
      </c>
      <c r="J401" s="246">
        <f t="shared" si="147"/>
        <v>4.8707986431330106</v>
      </c>
      <c r="K401" s="246">
        <f t="shared" si="146"/>
        <v>74267.472337117026</v>
      </c>
      <c r="L401" s="246">
        <f t="shared" si="160"/>
        <v>466636.29098994005</v>
      </c>
      <c r="M401" s="246">
        <f t="shared" si="148"/>
        <v>67135.244922342405</v>
      </c>
      <c r="N401" s="246">
        <f>SQRT((ABS(AC401)-171.5+'Small Signal'!C$59)^2)</f>
        <v>55.769658833869983</v>
      </c>
      <c r="O401" s="246">
        <f t="shared" si="161"/>
        <v>20.1563255863949</v>
      </c>
      <c r="P401" s="246">
        <f t="shared" si="162"/>
        <v>13.840152356503891</v>
      </c>
      <c r="Q401" s="246">
        <f t="shared" si="145"/>
        <v>74267.472337117026</v>
      </c>
      <c r="R401" s="246" t="str">
        <f t="shared" si="149"/>
        <v>0.161233333333333+2.19319056765272i</v>
      </c>
      <c r="S401" s="246" t="str">
        <f t="shared" si="150"/>
        <v>0.025-0.227978365115408i</v>
      </c>
      <c r="T401" s="246" t="str">
        <f t="shared" si="151"/>
        <v>0.0271326266222577-0.227483667467686i</v>
      </c>
      <c r="U401" s="246" t="str">
        <f t="shared" si="152"/>
        <v>-0.645263414053653+0.996341582022325i</v>
      </c>
      <c r="V401" s="246">
        <f t="shared" si="163"/>
        <v>1.4892992460200176</v>
      </c>
      <c r="W401" s="246">
        <f t="shared" si="164"/>
        <v>-237.07158524004808</v>
      </c>
      <c r="X401" s="246" t="str">
        <f t="shared" si="153"/>
        <v>0.960777547041106-0.035031884122592i</v>
      </c>
      <c r="Y401" s="246" t="str">
        <f t="shared" si="154"/>
        <v>0.710499146404714-10.9520230875012i</v>
      </c>
      <c r="Z401" s="246" t="str">
        <f t="shared" si="155"/>
        <v>0.187033405324784-6.59852723457598i</v>
      </c>
      <c r="AA401" s="246" t="str">
        <f t="shared" si="156"/>
        <v>-0.76622272970903-0.320994772456665i</v>
      </c>
      <c r="AB401" s="246">
        <f t="shared" si="165"/>
        <v>-1.6106600011004388</v>
      </c>
      <c r="AC401" s="246">
        <f t="shared" si="166"/>
        <v>-157.26965883386998</v>
      </c>
      <c r="AD401" s="248">
        <f t="shared" si="167"/>
        <v>-12.229492355403453</v>
      </c>
      <c r="AE401" s="248">
        <f t="shared" si="168"/>
        <v>137.11333324747508</v>
      </c>
      <c r="AF401" s="246">
        <f t="shared" si="157"/>
        <v>-13.840152356503891</v>
      </c>
      <c r="AG401" s="246">
        <f t="shared" si="158"/>
        <v>-20.1563255863949</v>
      </c>
      <c r="AH401" s="249" t="str">
        <f t="shared" si="159"/>
        <v>0.179247182415139-0.166489045626403i</v>
      </c>
    </row>
    <row r="402" spans="2:34" x14ac:dyDescent="0.2">
      <c r="B402" s="237"/>
      <c r="I402" s="246">
        <v>398</v>
      </c>
      <c r="J402" s="246">
        <f t="shared" si="147"/>
        <v>4.8805487656597935</v>
      </c>
      <c r="K402" s="246">
        <f t="shared" si="146"/>
        <v>75953.670403941214</v>
      </c>
      <c r="L402" s="246">
        <f t="shared" si="160"/>
        <v>477230.9859084044</v>
      </c>
      <c r="M402" s="246">
        <f t="shared" si="148"/>
        <v>68859.727097014707</v>
      </c>
      <c r="N402" s="246">
        <f>SQRT((ABS(AC402)-171.5+'Small Signal'!C$59)^2)</f>
        <v>56.2536743993806</v>
      </c>
      <c r="O402" s="246">
        <f t="shared" si="161"/>
        <v>21.267196921571724</v>
      </c>
      <c r="P402" s="246">
        <f t="shared" si="162"/>
        <v>13.940189542298031</v>
      </c>
      <c r="Q402" s="246">
        <f t="shared" si="145"/>
        <v>75953.670403941214</v>
      </c>
      <c r="R402" s="246" t="str">
        <f t="shared" si="149"/>
        <v>0.161233333333333+2.2429856337695i</v>
      </c>
      <c r="S402" s="246" t="str">
        <f t="shared" si="150"/>
        <v>0.025-0.222917165617202i</v>
      </c>
      <c r="T402" s="246" t="str">
        <f t="shared" si="151"/>
        <v>0.0270378534997797-0.222434329787567i</v>
      </c>
      <c r="U402" s="246" t="str">
        <f t="shared" si="152"/>
        <v>-0.622216195249393+0.97588981098416i</v>
      </c>
      <c r="V402" s="246">
        <f t="shared" si="163"/>
        <v>1.2694723004862338</v>
      </c>
      <c r="W402" s="246">
        <f t="shared" si="164"/>
        <v>-237.47888100605081</v>
      </c>
      <c r="X402" s="246" t="str">
        <f t="shared" si="153"/>
        <v>0.958976284104316-0.0358272618758106i</v>
      </c>
      <c r="Y402" s="246" t="str">
        <f t="shared" si="154"/>
        <v>0.679155870910574-10.7089967262621i</v>
      </c>
      <c r="Z402" s="246" t="str">
        <f t="shared" si="155"/>
        <v>0.16742598456695-6.44003403896157i</v>
      </c>
      <c r="AA402" s="246" t="str">
        <f t="shared" si="156"/>
        <v>-0.767955952736131-0.314121584560032i</v>
      </c>
      <c r="AB402" s="246">
        <f t="shared" si="165"/>
        <v>-1.6214102299647037</v>
      </c>
      <c r="AC402" s="246">
        <f t="shared" si="166"/>
        <v>-157.7536743993806</v>
      </c>
      <c r="AD402" s="248">
        <f t="shared" si="167"/>
        <v>-12.318779312333326</v>
      </c>
      <c r="AE402" s="248">
        <f t="shared" si="168"/>
        <v>136.48647747780888</v>
      </c>
      <c r="AF402" s="246">
        <f t="shared" si="157"/>
        <v>-13.940189542298031</v>
      </c>
      <c r="AG402" s="246">
        <f t="shared" si="158"/>
        <v>-21.267196921571724</v>
      </c>
      <c r="AH402" s="249" t="str">
        <f t="shared" si="159"/>
        <v>0.175600581815132-0.1667175132873i</v>
      </c>
    </row>
    <row r="403" spans="2:34" x14ac:dyDescent="0.2">
      <c r="B403" s="237"/>
      <c r="I403" s="246">
        <v>399</v>
      </c>
      <c r="J403" s="246">
        <f t="shared" si="147"/>
        <v>4.8902988881865763</v>
      </c>
      <c r="K403" s="246">
        <f t="shared" si="146"/>
        <v>77678.152578613517</v>
      </c>
      <c r="L403" s="246">
        <f t="shared" si="160"/>
        <v>488066.22697079857</v>
      </c>
      <c r="M403" s="246">
        <f t="shared" si="148"/>
        <v>70623.362597062165</v>
      </c>
      <c r="N403" s="246">
        <f>SQRT((ABS(AC403)-171.5+'Small Signal'!C$59)^2)</f>
        <v>56.731229337287459</v>
      </c>
      <c r="O403" s="246">
        <f t="shared" si="161"/>
        <v>22.372973951559374</v>
      </c>
      <c r="P403" s="246">
        <f t="shared" si="162"/>
        <v>14.040660007531073</v>
      </c>
      <c r="Q403" s="246">
        <f t="shared" si="145"/>
        <v>77678.152578613517</v>
      </c>
      <c r="R403" s="246" t="str">
        <f t="shared" si="149"/>
        <v>0.161233333333333+2.29391126676275i</v>
      </c>
      <c r="S403" s="246" t="str">
        <f t="shared" si="150"/>
        <v>0.025-0.21796832651928i</v>
      </c>
      <c r="T403" s="246" t="str">
        <f t="shared" si="151"/>
        <v>0.0269472409601081-0.217497031902033i</v>
      </c>
      <c r="U403" s="246" t="str">
        <f t="shared" si="152"/>
        <v>-0.600179035228686+0.955782927392422i</v>
      </c>
      <c r="V403" s="246">
        <f t="shared" si="163"/>
        <v>1.0507938219983077</v>
      </c>
      <c r="W403" s="246">
        <f t="shared" si="164"/>
        <v>-237.87344229447783</v>
      </c>
      <c r="X403" s="246" t="str">
        <f t="shared" si="153"/>
        <v>0.957092299462924-0.0366406982001327i</v>
      </c>
      <c r="Y403" s="246" t="str">
        <f t="shared" si="154"/>
        <v>0.649201394025248-10.4713572587928i</v>
      </c>
      <c r="Z403" s="246" t="str">
        <f t="shared" si="155"/>
        <v>0.148687380281888-6.28478039374752i</v>
      </c>
      <c r="AA403" s="246" t="str">
        <f t="shared" si="156"/>
        <v>-0.769748755032507-0.307390968066883i</v>
      </c>
      <c r="AB403" s="246">
        <f t="shared" si="165"/>
        <v>-1.6304177539071683</v>
      </c>
      <c r="AC403" s="246">
        <f t="shared" si="166"/>
        <v>-158.23122933728746</v>
      </c>
      <c r="AD403" s="248">
        <f t="shared" si="167"/>
        <v>-12.410242253623906</v>
      </c>
      <c r="AE403" s="248">
        <f t="shared" si="168"/>
        <v>135.85825538572809</v>
      </c>
      <c r="AF403" s="246">
        <f t="shared" si="157"/>
        <v>-14.040660007531073</v>
      </c>
      <c r="AG403" s="246">
        <f t="shared" si="158"/>
        <v>-22.372973951559374</v>
      </c>
      <c r="AH403" s="249" t="str">
        <f t="shared" si="159"/>
        <v>0.171941956232423-0.166866436170887i</v>
      </c>
    </row>
    <row r="404" spans="2:34" x14ac:dyDescent="0.2">
      <c r="B404" s="237"/>
      <c r="I404" s="246">
        <v>400</v>
      </c>
      <c r="J404" s="246">
        <f t="shared" si="147"/>
        <v>4.9000490107133601</v>
      </c>
      <c r="K404" s="246">
        <f t="shared" si="146"/>
        <v>79441.788078660975</v>
      </c>
      <c r="L404" s="246">
        <f t="shared" si="160"/>
        <v>499147.47563191707</v>
      </c>
      <c r="M404" s="246">
        <f t="shared" si="148"/>
        <v>72427.040375070472</v>
      </c>
      <c r="N404" s="246">
        <f>SQRT((ABS(AC404)-171.5+'Small Signal'!C$59)^2)</f>
        <v>57.202450097517158</v>
      </c>
      <c r="O404" s="246">
        <f t="shared" si="161"/>
        <v>23.47345529616598</v>
      </c>
      <c r="P404" s="246">
        <f t="shared" si="162"/>
        <v>14.14156809992949</v>
      </c>
      <c r="Q404" s="246">
        <f t="shared" si="145"/>
        <v>79441.788078660975</v>
      </c>
      <c r="R404" s="246" t="str">
        <f t="shared" si="149"/>
        <v>0.161233333333333+2.34599313547001i</v>
      </c>
      <c r="S404" s="246" t="str">
        <f t="shared" si="150"/>
        <v>0.025-0.213129353381431i</v>
      </c>
      <c r="T404" s="246" t="str">
        <f t="shared" si="151"/>
        <v>0.0268606063811957-0.212669290217893i</v>
      </c>
      <c r="U404" s="246" t="str">
        <f t="shared" si="152"/>
        <v>-0.579107753902917+0.936020441874272i</v>
      </c>
      <c r="V404" s="246">
        <f t="shared" si="163"/>
        <v>0.83323439350126272</v>
      </c>
      <c r="W404" s="246">
        <f t="shared" si="164"/>
        <v>-238.25527951879729</v>
      </c>
      <c r="X404" s="246" t="str">
        <f t="shared" si="153"/>
        <v>0.955121794182152-0.0374726031044992i</v>
      </c>
      <c r="Y404" s="246" t="str">
        <f t="shared" si="154"/>
        <v>0.620573659003059-10.2389857523165i</v>
      </c>
      <c r="Z404" s="246" t="str">
        <f t="shared" si="155"/>
        <v>0.130778768311833-6.1326885541833i</v>
      </c>
      <c r="AA404" s="246" t="str">
        <f t="shared" si="156"/>
        <v>-0.771605308664434-0.300798328216795i</v>
      </c>
      <c r="AB404" s="246">
        <f t="shared" si="165"/>
        <v>-1.6376807933889626</v>
      </c>
      <c r="AC404" s="246">
        <f t="shared" si="166"/>
        <v>-158.70245009751716</v>
      </c>
      <c r="AD404" s="248">
        <f t="shared" si="167"/>
        <v>-12.503887306540527</v>
      </c>
      <c r="AE404" s="248">
        <f t="shared" si="168"/>
        <v>135.22899480135118</v>
      </c>
      <c r="AF404" s="246">
        <f t="shared" si="157"/>
        <v>-14.14156809992949</v>
      </c>
      <c r="AG404" s="246">
        <f t="shared" si="158"/>
        <v>-23.47345529616598</v>
      </c>
      <c r="AH404" s="249" t="str">
        <f t="shared" si="159"/>
        <v>0.16827494933381-0.166935203340318i</v>
      </c>
    </row>
    <row r="405" spans="2:34" x14ac:dyDescent="0.2">
      <c r="B405" s="237"/>
      <c r="I405" s="246">
        <v>401</v>
      </c>
      <c r="J405" s="246">
        <f t="shared" si="147"/>
        <v>4.9097991332401438</v>
      </c>
      <c r="K405" s="246">
        <f t="shared" ref="K405:K468" si="169">10^(J405)</f>
        <v>81245.465856669281</v>
      </c>
      <c r="L405" s="246">
        <f t="shared" si="160"/>
        <v>510480.31734558515</v>
      </c>
      <c r="M405" s="246">
        <f t="shared" si="148"/>
        <v>74271.669566756042</v>
      </c>
      <c r="N405" s="246">
        <f>SQRT((ABS(AC405)-171.5+'Small Signal'!C$59)^2)</f>
        <v>57.667476184683551</v>
      </c>
      <c r="O405" s="246">
        <f t="shared" si="161"/>
        <v>24.568450937854493</v>
      </c>
      <c r="P405" s="246">
        <f t="shared" si="162"/>
        <v>14.242913659557042</v>
      </c>
      <c r="Q405" s="246">
        <f t="shared" ref="Q405:Q468" si="170">K405</f>
        <v>81245.465856669281</v>
      </c>
      <c r="R405" s="246" t="str">
        <f t="shared" si="149"/>
        <v>0.161233333333333+2.39925749152425i</v>
      </c>
      <c r="S405" s="246" t="str">
        <f t="shared" si="150"/>
        <v>0.025-0.208397807140887i</v>
      </c>
      <c r="T405" s="246" t="str">
        <f t="shared" si="151"/>
        <v>0.0267777751543684-0.207948676035755i</v>
      </c>
      <c r="U405" s="246" t="str">
        <f t="shared" si="152"/>
        <v>-0.55896009564284+0.916601402964615i</v>
      </c>
      <c r="V405" s="246">
        <f t="shared" si="163"/>
        <v>0.61676550566087074</v>
      </c>
      <c r="W405" s="246">
        <f t="shared" si="164"/>
        <v>-238.62440667255447</v>
      </c>
      <c r="X405" s="246" t="str">
        <f t="shared" si="153"/>
        <v>0.953060794863878-0.0383233959068564i</v>
      </c>
      <c r="Y405" s="246" t="str">
        <f t="shared" si="154"/>
        <v>0.593213426026813-10.0117658595321i</v>
      </c>
      <c r="Z405" s="246" t="str">
        <f t="shared" si="155"/>
        <v>0.113663087020025-5.98368232686752i</v>
      </c>
      <c r="AA405" s="246" t="str">
        <f t="shared" si="156"/>
        <v>-0.773529967659791-0.294339030950796i</v>
      </c>
      <c r="AB405" s="246">
        <f t="shared" si="165"/>
        <v>-1.6431952453952796</v>
      </c>
      <c r="AC405" s="246">
        <f t="shared" si="166"/>
        <v>-159.16747618468355</v>
      </c>
      <c r="AD405" s="248">
        <f t="shared" si="167"/>
        <v>-12.599718414161762</v>
      </c>
      <c r="AE405" s="248">
        <f t="shared" si="168"/>
        <v>134.59902524682906</v>
      </c>
      <c r="AF405" s="246">
        <f t="shared" si="157"/>
        <v>-14.242913659557042</v>
      </c>
      <c r="AG405" s="246">
        <f t="shared" si="158"/>
        <v>-24.568450937854493</v>
      </c>
      <c r="AH405" s="249" t="str">
        <f t="shared" si="159"/>
        <v>0.164603238413235-0.166923409061567i</v>
      </c>
    </row>
    <row r="406" spans="2:34" x14ac:dyDescent="0.2">
      <c r="B406" s="237"/>
      <c r="I406" s="246">
        <v>402</v>
      </c>
      <c r="J406" s="246">
        <f t="shared" si="147"/>
        <v>4.9195492557669267</v>
      </c>
      <c r="K406" s="246">
        <f t="shared" si="169"/>
        <v>83090.095048354851</v>
      </c>
      <c r="L406" s="246">
        <f t="shared" si="160"/>
        <v>522070.46437997848</v>
      </c>
      <c r="M406" s="246">
        <f t="shared" si="148"/>
        <v>76158.179949212412</v>
      </c>
      <c r="N406" s="246">
        <f>SQRT((ABS(AC406)-171.5+'Small Signal'!C$59)^2)</f>
        <v>58.126460405605428</v>
      </c>
      <c r="O406" s="246">
        <f t="shared" si="161"/>
        <v>25.657783273941192</v>
      </c>
      <c r="P406" s="246">
        <f t="shared" si="162"/>
        <v>14.344691897107658</v>
      </c>
      <c r="Q406" s="246">
        <f t="shared" si="170"/>
        <v>83090.095048354851</v>
      </c>
      <c r="R406" s="246" t="str">
        <f t="shared" si="149"/>
        <v>0.161233333333333+2.4537311825859i</v>
      </c>
      <c r="S406" s="246" t="str">
        <f t="shared" si="150"/>
        <v>0.025-0.203771302882929i</v>
      </c>
      <c r="T406" s="246" t="str">
        <f t="shared" si="151"/>
        <v>0.0266985803329189-0.203332814347169i</v>
      </c>
      <c r="U406" s="246" t="str">
        <f t="shared" si="152"/>
        <v>-0.539695646208317+0.89752443881641i</v>
      </c>
      <c r="V406" s="246">
        <f t="shared" si="163"/>
        <v>0.40135958434845248</v>
      </c>
      <c r="W406" s="246">
        <f t="shared" si="164"/>
        <v>-238.98084102911213</v>
      </c>
      <c r="X406" s="246" t="str">
        <f t="shared" si="153"/>
        <v>0.950905145634527-0.0391935054455108i</v>
      </c>
      <c r="Y406" s="246" t="str">
        <f t="shared" si="154"/>
        <v>0.567064140659684-9.7895837660721i</v>
      </c>
      <c r="Z406" s="246" t="str">
        <f t="shared" si="155"/>
        <v>0.0973049549670468-5.83768703507452i</v>
      </c>
      <c r="AA406" s="246" t="str">
        <f t="shared" si="156"/>
        <v>-0.775527281876009-0.288008390451523i</v>
      </c>
      <c r="AB406" s="246">
        <f t="shared" si="165"/>
        <v>-1.6469545773131777</v>
      </c>
      <c r="AC406" s="246">
        <f t="shared" si="166"/>
        <v>-159.62646040560543</v>
      </c>
      <c r="AD406" s="248">
        <f t="shared" si="167"/>
        <v>-12.697737319794481</v>
      </c>
      <c r="AE406" s="248">
        <f t="shared" si="168"/>
        <v>133.96867713166424</v>
      </c>
      <c r="AF406" s="246">
        <f t="shared" si="157"/>
        <v>-14.344691897107658</v>
      </c>
      <c r="AG406" s="246">
        <f t="shared" si="158"/>
        <v>-25.657783273941192</v>
      </c>
      <c r="AH406" s="249" t="str">
        <f t="shared" si="159"/>
        <v>0.160930519688597-0.166830855029685i</v>
      </c>
    </row>
    <row r="407" spans="2:34" x14ac:dyDescent="0.2">
      <c r="B407" s="237"/>
      <c r="I407" s="246">
        <v>403</v>
      </c>
      <c r="J407" s="246">
        <f t="shared" si="147"/>
        <v>4.9292993782937096</v>
      </c>
      <c r="K407" s="246">
        <f t="shared" si="169"/>
        <v>84976.605430811222</v>
      </c>
      <c r="L407" s="246">
        <f t="shared" si="160"/>
        <v>533923.75869687006</v>
      </c>
      <c r="M407" s="246">
        <f t="shared" si="148"/>
        <v>78087.522409560494</v>
      </c>
      <c r="N407" s="246">
        <f>SQRT((ABS(AC407)-171.5+'Small Signal'!C$59)^2)</f>
        <v>58.579569172231487</v>
      </c>
      <c r="O407" s="246">
        <f t="shared" si="161"/>
        <v>26.741288230629351</v>
      </c>
      <c r="P407" s="246">
        <f t="shared" si="162"/>
        <v>14.446893279775752</v>
      </c>
      <c r="Q407" s="246">
        <f t="shared" si="170"/>
        <v>84976.605430811222</v>
      </c>
      <c r="R407" s="246" t="str">
        <f t="shared" si="149"/>
        <v>0.161233333333333+2.50944166587529i</v>
      </c>
      <c r="S407" s="246" t="str">
        <f t="shared" si="150"/>
        <v>0.025-0.199247508638779i</v>
      </c>
      <c r="T407" s="246" t="str">
        <f t="shared" si="151"/>
        <v>0.0266228622960915-0.198819382657456i</v>
      </c>
      <c r="U407" s="246" t="str">
        <f t="shared" si="152"/>
        <v>-0.52127575318936+0.878787795868507i</v>
      </c>
      <c r="V407" s="246">
        <f t="shared" si="163"/>
        <v>0.18699001525188846</v>
      </c>
      <c r="W407" s="246">
        <f t="shared" si="164"/>
        <v>-239.32460284579628</v>
      </c>
      <c r="X407" s="246" t="str">
        <f t="shared" si="153"/>
        <v>0.948650499765022-0.0400833702952837i</v>
      </c>
      <c r="Y407" s="246" t="str">
        <f t="shared" si="154"/>
        <v>0.542071808741731-9.57232813867375i</v>
      </c>
      <c r="Z407" s="246" t="str">
        <f t="shared" si="155"/>
        <v>0.0816705926215005-5.69462948449851i</v>
      </c>
      <c r="AA407" s="246" t="str">
        <f t="shared" si="156"/>
        <v>-0.777602011746027-0.281801655551558i</v>
      </c>
      <c r="AB407" s="246">
        <f t="shared" si="165"/>
        <v>-1.6489497195730833</v>
      </c>
      <c r="AC407" s="246">
        <f t="shared" si="166"/>
        <v>-160.07956917223149</v>
      </c>
      <c r="AD407" s="248">
        <f t="shared" si="167"/>
        <v>-12.797943560202668</v>
      </c>
      <c r="AE407" s="248">
        <f t="shared" si="168"/>
        <v>133.33828094160214</v>
      </c>
      <c r="AF407" s="246">
        <f t="shared" si="157"/>
        <v>-14.446893279775752</v>
      </c>
      <c r="AG407" s="246">
        <f t="shared" si="158"/>
        <v>-26.741288230629351</v>
      </c>
      <c r="AH407" s="249" t="str">
        <f t="shared" si="159"/>
        <v>0.157260493437033-0.166657551333047i</v>
      </c>
    </row>
    <row r="408" spans="2:34" x14ac:dyDescent="0.2">
      <c r="B408" s="237"/>
      <c r="I408" s="246">
        <v>404</v>
      </c>
      <c r="J408" s="246">
        <f t="shared" si="147"/>
        <v>4.9390495008204933</v>
      </c>
      <c r="K408" s="246">
        <f t="shared" si="169"/>
        <v>86905.947891159303</v>
      </c>
      <c r="L408" s="246">
        <f t="shared" si="160"/>
        <v>546046.17489624687</v>
      </c>
      <c r="M408" s="246">
        <f t="shared" si="148"/>
        <v>80060.669424237756</v>
      </c>
      <c r="N408" s="246">
        <f>SQRT((ABS(AC408)-171.5+'Small Signal'!C$59)^2)</f>
        <v>59.026982866015857</v>
      </c>
      <c r="O408" s="246">
        <f t="shared" si="161"/>
        <v>27.818816439926678</v>
      </c>
      <c r="P408" s="246">
        <f t="shared" si="162"/>
        <v>14.549503424358736</v>
      </c>
      <c r="Q408" s="246">
        <f t="shared" si="170"/>
        <v>86905.947891159303</v>
      </c>
      <c r="R408" s="246" t="str">
        <f t="shared" si="149"/>
        <v>0.161233333333333+2.56641702201236i</v>
      </c>
      <c r="S408" s="246" t="str">
        <f t="shared" si="150"/>
        <v>0.025-0.194824144210181i</v>
      </c>
      <c r="T408" s="246" t="str">
        <f t="shared" si="151"/>
        <v>0.0265504684277869-0.194406109833695i</v>
      </c>
      <c r="U408" s="246" t="str">
        <f t="shared" si="152"/>
        <v>-0.503663449817602+0.86038937468339i</v>
      </c>
      <c r="V408" s="246">
        <f t="shared" si="163"/>
        <v>-2.636883421662475E-2</v>
      </c>
      <c r="W408" s="246">
        <f t="shared" si="164"/>
        <v>-239.65571507374199</v>
      </c>
      <c r="X408" s="246" t="str">
        <f t="shared" si="153"/>
        <v>0.946292310905878-0.0409934389885726i</v>
      </c>
      <c r="Y408" s="246" t="str">
        <f t="shared" si="154"/>
        <v>0.518184877391539-9.35989007409188i</v>
      </c>
      <c r="Z408" s="246" t="str">
        <f t="shared" si="155"/>
        <v>0.0667277478924103-5.55443792943158i</v>
      </c>
      <c r="AA408" s="246" t="str">
        <f t="shared" si="156"/>
        <v>-0.779759143975614-0.275713994871966i</v>
      </c>
      <c r="AB408" s="246">
        <f t="shared" si="165"/>
        <v>-1.6491689566510002</v>
      </c>
      <c r="AC408" s="246">
        <f t="shared" si="166"/>
        <v>-160.52698286601586</v>
      </c>
      <c r="AD408" s="248">
        <f t="shared" si="167"/>
        <v>-12.900334467707737</v>
      </c>
      <c r="AE408" s="248">
        <f t="shared" si="168"/>
        <v>132.70816642608918</v>
      </c>
      <c r="AF408" s="246">
        <f t="shared" si="157"/>
        <v>-14.549503424358736</v>
      </c>
      <c r="AG408" s="246">
        <f t="shared" si="158"/>
        <v>-27.818816439926678</v>
      </c>
      <c r="AH408" s="249" t="str">
        <f t="shared" si="159"/>
        <v>0.153596849095515-0.166403716144373i</v>
      </c>
    </row>
    <row r="409" spans="2:34" x14ac:dyDescent="0.2">
      <c r="B409" s="237"/>
      <c r="I409" s="246">
        <v>405</v>
      </c>
      <c r="J409" s="246">
        <f t="shared" si="147"/>
        <v>4.9487996233472771</v>
      </c>
      <c r="K409" s="246">
        <f t="shared" si="169"/>
        <v>88879.094905836566</v>
      </c>
      <c r="L409" s="246">
        <f t="shared" si="160"/>
        <v>558443.82322777237</v>
      </c>
      <c r="M409" s="246">
        <f t="shared" si="148"/>
        <v>82078.615549171591</v>
      </c>
      <c r="N409" s="246">
        <f>SQRT((ABS(AC409)-171.5+'Small Signal'!C$59)^2)</f>
        <v>59.468896270196069</v>
      </c>
      <c r="O409" s="246">
        <f t="shared" si="161"/>
        <v>28.890234480898357</v>
      </c>
      <c r="P409" s="246">
        <f t="shared" si="162"/>
        <v>14.652502997157145</v>
      </c>
      <c r="Q409" s="246">
        <f t="shared" si="170"/>
        <v>88879.094905836566</v>
      </c>
      <c r="R409" s="246" t="str">
        <f t="shared" si="149"/>
        <v>0.161233333333333+2.62468596917053i</v>
      </c>
      <c r="S409" s="246" t="str">
        <f t="shared" si="150"/>
        <v>0.025-0.19049898002008i</v>
      </c>
      <c r="T409" s="246" t="str">
        <f t="shared" si="151"/>
        <v>0.0264812528093412-0.190090774977402i</v>
      </c>
      <c r="U409" s="246" t="str">
        <f t="shared" si="152"/>
        <v>-0.486823382012325+0.842326763152611i</v>
      </c>
      <c r="V409" s="246">
        <f t="shared" si="163"/>
        <v>-0.23874159553994054</v>
      </c>
      <c r="W409" s="246">
        <f t="shared" si="164"/>
        <v>-239.97420307461016</v>
      </c>
      <c r="X409" s="246" t="str">
        <f t="shared" si="153"/>
        <v>0.943825823919781-0.0419241702414318i</v>
      </c>
      <c r="Y409" s="246" t="str">
        <f t="shared" si="154"/>
        <v>0.495354121792962-9.15216304877554i</v>
      </c>
      <c r="Z409" s="246" t="str">
        <f t="shared" si="155"/>
        <v>0.0524456252829548-5.41704203938847i</v>
      </c>
      <c r="AA409" s="246" t="str">
        <f t="shared" si="156"/>
        <v>-0.782003908270997-0.269740480535022i</v>
      </c>
      <c r="AB409" s="246">
        <f t="shared" si="165"/>
        <v>-1.647597816013489</v>
      </c>
      <c r="AC409" s="246">
        <f t="shared" si="166"/>
        <v>-160.96889627019607</v>
      </c>
      <c r="AD409" s="248">
        <f t="shared" si="167"/>
        <v>-13.004905181143656</v>
      </c>
      <c r="AE409" s="248">
        <f t="shared" si="168"/>
        <v>132.07866178929771</v>
      </c>
      <c r="AF409" s="246">
        <f t="shared" si="157"/>
        <v>-14.652502997157145</v>
      </c>
      <c r="AG409" s="246">
        <f t="shared" si="158"/>
        <v>-28.890234480898357</v>
      </c>
      <c r="AH409" s="249" t="str">
        <f t="shared" si="159"/>
        <v>0.149943250454059-0.166069774141837i</v>
      </c>
    </row>
    <row r="410" spans="2:34" x14ac:dyDescent="0.2">
      <c r="B410" s="237"/>
      <c r="I410" s="246">
        <v>406</v>
      </c>
      <c r="J410" s="246">
        <f t="shared" si="147"/>
        <v>4.9585497458740608</v>
      </c>
      <c r="K410" s="246">
        <f t="shared" si="169"/>
        <v>90897.041030770401</v>
      </c>
      <c r="L410" s="246">
        <f t="shared" si="160"/>
        <v>571122.95267063659</v>
      </c>
      <c r="M410" s="246">
        <f t="shared" si="148"/>
        <v>84142.37792108045</v>
      </c>
      <c r="N410" s="246">
        <f>SQRT((ABS(AC410)-171.5+'Small Signal'!C$59)^2)</f>
        <v>59.905519076908519</v>
      </c>
      <c r="O410" s="246">
        <f t="shared" si="161"/>
        <v>29.955426187216915</v>
      </c>
      <c r="P410" s="246">
        <f t="shared" si="162"/>
        <v>14.75586762015657</v>
      </c>
      <c r="Q410" s="246">
        <f t="shared" si="170"/>
        <v>90897.041030770401</v>
      </c>
      <c r="R410" s="246" t="str">
        <f t="shared" si="149"/>
        <v>0.161233333333333+2.68427787755199i</v>
      </c>
      <c r="S410" s="246" t="str">
        <f t="shared" si="150"/>
        <v>0.025-0.18626983598881i</v>
      </c>
      <c r="T410" s="246" t="str">
        <f t="shared" si="151"/>
        <v>0.0264150759257659-0.185871206321378i</v>
      </c>
      <c r="U410" s="246" t="str">
        <f t="shared" si="152"/>
        <v>-0.47072173852979+0.824597267253569i</v>
      </c>
      <c r="V410" s="246">
        <f t="shared" si="163"/>
        <v>-0.45015188206785456</v>
      </c>
      <c r="W410" s="246">
        <f t="shared" si="164"/>
        <v>-240.28009434522622</v>
      </c>
      <c r="X410" s="246" t="str">
        <f t="shared" si="153"/>
        <v>0.941246065293159-0.0428760331847864i</v>
      </c>
      <c r="Y410" s="246" t="str">
        <f t="shared" si="154"/>
        <v>0.473532537465704-8.94904286932855i</v>
      </c>
      <c r="Z410" s="246" t="str">
        <f t="shared" si="155"/>
        <v>0.038794818476824-5.28237286618907i</v>
      </c>
      <c r="AA410" s="246" t="str">
        <f t="shared" si="156"/>
        <v>-0.784341795180952-0.263876070274211i</v>
      </c>
      <c r="AB410" s="246">
        <f t="shared" si="165"/>
        <v>-1.6442189545822983</v>
      </c>
      <c r="AC410" s="246">
        <f t="shared" si="166"/>
        <v>-161.40551907690852</v>
      </c>
      <c r="AD410" s="248">
        <f t="shared" si="167"/>
        <v>-13.111648665574272</v>
      </c>
      <c r="AE410" s="248">
        <f t="shared" si="168"/>
        <v>131.4500928896916</v>
      </c>
      <c r="AF410" s="246">
        <f t="shared" si="157"/>
        <v>-14.75586762015657</v>
      </c>
      <c r="AG410" s="246">
        <f t="shared" si="158"/>
        <v>-29.955426187216915</v>
      </c>
      <c r="AH410" s="249" t="str">
        <f t="shared" si="159"/>
        <v>0.146303321067539-0.165656353678004i</v>
      </c>
    </row>
    <row r="411" spans="2:34" x14ac:dyDescent="0.2">
      <c r="B411" s="237"/>
      <c r="I411" s="246">
        <v>407</v>
      </c>
      <c r="J411" s="246">
        <f t="shared" si="147"/>
        <v>4.9682998684008446</v>
      </c>
      <c r="K411" s="246">
        <f t="shared" si="169"/>
        <v>92960.803402679259</v>
      </c>
      <c r="L411" s="246">
        <f t="shared" si="160"/>
        <v>584089.95408332441</v>
      </c>
      <c r="M411" s="246">
        <f t="shared" si="148"/>
        <v>86252.996770157406</v>
      </c>
      <c r="N411" s="246">
        <f>SQRT((ABS(AC411)-171.5+'Small Signal'!C$59)^2)</f>
        <v>60.337076476643176</v>
      </c>
      <c r="O411" s="246">
        <f t="shared" si="161"/>
        <v>31.01429402365028</v>
      </c>
      <c r="P411" s="246">
        <f t="shared" si="162"/>
        <v>14.859567782891705</v>
      </c>
      <c r="Q411" s="246">
        <f t="shared" si="170"/>
        <v>92960.803402679259</v>
      </c>
      <c r="R411" s="246" t="str">
        <f t="shared" si="149"/>
        <v>0.161233333333333+2.74522278419162i</v>
      </c>
      <c r="S411" s="246" t="str">
        <f t="shared" si="150"/>
        <v>0.025-0.182134580435239i</v>
      </c>
      <c r="T411" s="246" t="str">
        <f t="shared" si="151"/>
        <v>0.0263518043848598-0.181745280150276i</v>
      </c>
      <c r="U411" s="246" t="str">
        <f t="shared" si="152"/>
        <v>-0.45532618408936+0.807197939528674i</v>
      </c>
      <c r="V411" s="246">
        <f t="shared" si="163"/>
        <v>-0.66062227416540009</v>
      </c>
      <c r="W411" s="246">
        <f t="shared" si="164"/>
        <v>-240.57341825108153</v>
      </c>
      <c r="X411" s="246" t="str">
        <f t="shared" si="153"/>
        <v>0.938547833107402-0.0438495076008956i</v>
      </c>
      <c r="Y411" s="246" t="str">
        <f t="shared" si="154"/>
        <v>0.452675237735334-8.75042762376803i</v>
      </c>
      <c r="Z411" s="246" t="str">
        <f t="shared" si="155"/>
        <v>0.0257472461791222-5.1503628115064i</v>
      </c>
      <c r="AA411" s="246" t="str">
        <f t="shared" si="156"/>
        <v>-0.786778575143574-0.258115587740795i</v>
      </c>
      <c r="AB411" s="246">
        <f t="shared" si="165"/>
        <v>-1.6390120422859495</v>
      </c>
      <c r="AC411" s="246">
        <f t="shared" si="166"/>
        <v>-161.83707647664318</v>
      </c>
      <c r="AD411" s="248">
        <f t="shared" si="167"/>
        <v>-13.220555740605755</v>
      </c>
      <c r="AE411" s="248">
        <f t="shared" si="168"/>
        <v>130.8227824529929</v>
      </c>
      <c r="AF411" s="246">
        <f t="shared" si="157"/>
        <v>-14.859567782891705</v>
      </c>
      <c r="AG411" s="246">
        <f t="shared" si="158"/>
        <v>-31.01429402365028</v>
      </c>
      <c r="AH411" s="249" t="str">
        <f t="shared" si="159"/>
        <v>0.142680630008867-0.165164282728522i</v>
      </c>
    </row>
    <row r="412" spans="2:34" x14ac:dyDescent="0.2">
      <c r="B412" s="237"/>
      <c r="I412" s="246">
        <v>408</v>
      </c>
      <c r="J412" s="246">
        <f t="shared" si="147"/>
        <v>4.9780499909276275</v>
      </c>
      <c r="K412" s="246">
        <f t="shared" si="169"/>
        <v>95071.422251756216</v>
      </c>
      <c r="L412" s="246">
        <f t="shared" si="160"/>
        <v>597351.36342490104</v>
      </c>
      <c r="M412" s="246">
        <f t="shared" si="148"/>
        <v>88411.535944393152</v>
      </c>
      <c r="N412" s="246">
        <f>SQRT((ABS(AC412)-171.5+'Small Signal'!C$59)^2)</f>
        <v>60.763809838190326</v>
      </c>
      <c r="O412" s="246">
        <f t="shared" si="161"/>
        <v>32.066760534923844</v>
      </c>
      <c r="P412" s="246">
        <f t="shared" si="162"/>
        <v>14.963568759319742</v>
      </c>
      <c r="Q412" s="246">
        <f t="shared" si="170"/>
        <v>95071.422251756216</v>
      </c>
      <c r="R412" s="246" t="str">
        <f t="shared" si="149"/>
        <v>0.161233333333333+2.80755140809703i</v>
      </c>
      <c r="S412" s="246" t="str">
        <f t="shared" si="150"/>
        <v>0.025-0.178091129002301i</v>
      </c>
      <c r="T412" s="246" t="str">
        <f t="shared" si="151"/>
        <v>0.0262913106486291-0.177710919744385i</v>
      </c>
      <c r="U412" s="246" t="str">
        <f t="shared" si="152"/>
        <v>-0.440605795354436+0.79012560544589i</v>
      </c>
      <c r="V412" s="246">
        <f t="shared" si="163"/>
        <v>-0.87017430636442616</v>
      </c>
      <c r="W412" s="246">
        <f t="shared" si="164"/>
        <v>-240.85420576953379</v>
      </c>
      <c r="X412" s="246" t="str">
        <f t="shared" si="153"/>
        <v>0.935725686549534-0.0448450841651847i</v>
      </c>
      <c r="Y412" s="246" t="str">
        <f t="shared" si="154"/>
        <v>0.432739356134728-8.55621763359275i</v>
      </c>
      <c r="Z412" s="246" t="str">
        <f t="shared" si="155"/>
        <v>0.0132760910439768-5.02094559488626i</v>
      </c>
      <c r="AA412" s="246" t="str">
        <f t="shared" si="156"/>
        <v>-0.789320318833647-0.252453700778887i</v>
      </c>
      <c r="AB412" s="246">
        <f t="shared" si="165"/>
        <v>-1.6319536422643872</v>
      </c>
      <c r="AC412" s="246">
        <f t="shared" si="166"/>
        <v>-162.26380983819033</v>
      </c>
      <c r="AD412" s="248">
        <f t="shared" si="167"/>
        <v>-13.331615117055355</v>
      </c>
      <c r="AE412" s="248">
        <f t="shared" si="168"/>
        <v>130.19704930326648</v>
      </c>
      <c r="AF412" s="246">
        <f t="shared" si="157"/>
        <v>-14.963568759319742</v>
      </c>
      <c r="AG412" s="246">
        <f t="shared" si="158"/>
        <v>-32.066760534923844</v>
      </c>
      <c r="AH412" s="249" t="str">
        <f t="shared" si="159"/>
        <v>0.139078678081375-0.164594583666029i</v>
      </c>
    </row>
    <row r="413" spans="2:34" x14ac:dyDescent="0.2">
      <c r="B413" s="237"/>
      <c r="I413" s="246">
        <v>409</v>
      </c>
      <c r="J413" s="246">
        <f t="shared" si="147"/>
        <v>4.9878001134544103</v>
      </c>
      <c r="K413" s="246">
        <f t="shared" si="169"/>
        <v>97229.961425991962</v>
      </c>
      <c r="L413" s="246">
        <f t="shared" si="160"/>
        <v>610913.86504943063</v>
      </c>
      <c r="M413" s="246">
        <f t="shared" si="148"/>
        <v>90619.083445803946</v>
      </c>
      <c r="N413" s="246">
        <f>SQRT((ABS(AC413)-171.5+'Small Signal'!C$59)^2)</f>
        <v>61.18597748799516</v>
      </c>
      <c r="O413" s="246">
        <f t="shared" si="161"/>
        <v>33.112769871358637</v>
      </c>
      <c r="P413" s="246">
        <f t="shared" si="162"/>
        <v>15.067830528961347</v>
      </c>
      <c r="Q413" s="246">
        <f t="shared" si="170"/>
        <v>97229.961425991962</v>
      </c>
      <c r="R413" s="246" t="str">
        <f t="shared" si="149"/>
        <v>0.161233333333333+2.87129516573232i</v>
      </c>
      <c r="S413" s="246" t="str">
        <f t="shared" si="150"/>
        <v>0.025-0.174137443606385i</v>
      </c>
      <c r="T413" s="246" t="str">
        <f t="shared" si="151"/>
        <v>0.0262334727764791-0.173766094346182i</v>
      </c>
      <c r="U413" s="246" t="str">
        <f t="shared" si="152"/>
        <v>-0.426530999650719+0.773376887788576i</v>
      </c>
      <c r="V413" s="246">
        <f t="shared" si="163"/>
        <v>-1.0788284563483586</v>
      </c>
      <c r="W413" s="246">
        <f t="shared" si="164"/>
        <v>-241.12248924344325</v>
      </c>
      <c r="X413" s="246" t="str">
        <f t="shared" si="153"/>
        <v>0.932773934941156-0.045863264693568i</v>
      </c>
      <c r="Y413" s="246" t="str">
        <f t="shared" si="154"/>
        <v>0.413683953483876-8.36631540666897i</v>
      </c>
      <c r="Z413" s="246" t="str">
        <f t="shared" si="155"/>
        <v>0.00135574153039314-4.89405622224187i</v>
      </c>
      <c r="AA413" s="246" t="str">
        <f t="shared" si="156"/>
        <v>-0.791973418912648-0.246884897409471i</v>
      </c>
      <c r="AB413" s="246">
        <f t="shared" si="165"/>
        <v>-1.6230170872918006</v>
      </c>
      <c r="AC413" s="246">
        <f t="shared" si="166"/>
        <v>-162.68597748799516</v>
      </c>
      <c r="AD413" s="248">
        <f t="shared" si="167"/>
        <v>-13.444813441669545</v>
      </c>
      <c r="AE413" s="248">
        <f t="shared" si="168"/>
        <v>129.57320761663652</v>
      </c>
      <c r="AF413" s="246">
        <f t="shared" si="157"/>
        <v>-15.067830528961347</v>
      </c>
      <c r="AG413" s="246">
        <f t="shared" si="158"/>
        <v>-33.112769871358637</v>
      </c>
      <c r="AH413" s="249" t="str">
        <f t="shared" si="159"/>
        <v>0.13550088460162-0.163948466917472i</v>
      </c>
    </row>
    <row r="414" spans="2:34" x14ac:dyDescent="0.2">
      <c r="B414" s="237"/>
      <c r="I414" s="246">
        <v>410</v>
      </c>
      <c r="J414" s="246">
        <f t="shared" si="147"/>
        <v>4.9975502359811941</v>
      </c>
      <c r="K414" s="246">
        <f t="shared" si="169"/>
        <v>99437.508927402756</v>
      </c>
      <c r="L414" s="246">
        <f t="shared" si="160"/>
        <v>624784.29507519596</v>
      </c>
      <c r="M414" s="246">
        <f t="shared" si="148"/>
        <v>92876.751978834131</v>
      </c>
      <c r="N414" s="246">
        <f>SQRT((ABS(AC414)-171.5+'Small Signal'!C$59)^2)</f>
        <v>61.603855598706303</v>
      </c>
      <c r="O414" s="246">
        <f t="shared" si="161"/>
        <v>34.152289396817537</v>
      </c>
      <c r="P414" s="246">
        <f t="shared" si="162"/>
        <v>15.17230770150711</v>
      </c>
      <c r="Q414" s="246">
        <f t="shared" si="170"/>
        <v>99437.508927402756</v>
      </c>
      <c r="R414" s="246" t="str">
        <f t="shared" si="149"/>
        <v>0.161233333333333+2.93648618685342i</v>
      </c>
      <c r="S414" s="246" t="str">
        <f t="shared" si="150"/>
        <v>0.025-0.170271531410053i</v>
      </c>
      <c r="T414" s="246" t="str">
        <f t="shared" si="151"/>
        <v>0.0261781741796601-0.169908818149185i</v>
      </c>
      <c r="U414" s="246" t="str">
        <f t="shared" si="152"/>
        <v>-0.413073516308735+0.756948229212403i</v>
      </c>
      <c r="V414" s="246">
        <f t="shared" si="163"/>
        <v>-1.2866041356028088</v>
      </c>
      <c r="W414" s="246">
        <f t="shared" si="164"/>
        <v>-241.37830214589164</v>
      </c>
      <c r="X414" s="246" t="str">
        <f t="shared" si="153"/>
        <v>0.929686626263557-0.046904562395387i</v>
      </c>
      <c r="Y414" s="246" t="str">
        <f t="shared" si="154"/>
        <v>0.39546992940937-8.18062559093915i</v>
      </c>
      <c r="Z414" s="246" t="str">
        <f t="shared" si="155"/>
        <v>-0.0100382634630984-4.76963095482584i</v>
      </c>
      <c r="AA414" s="246" t="str">
        <f t="shared" si="156"/>
        <v>-0.794744613289326-0.241403459227699i</v>
      </c>
      <c r="AB414" s="246">
        <f t="shared" si="165"/>
        <v>-1.6121723519864202</v>
      </c>
      <c r="AC414" s="246">
        <f t="shared" si="166"/>
        <v>-163.1038555987063</v>
      </c>
      <c r="AD414" s="248">
        <f t="shared" si="167"/>
        <v>-13.56013534952069</v>
      </c>
      <c r="AE414" s="248">
        <f t="shared" si="168"/>
        <v>128.95156620188877</v>
      </c>
      <c r="AF414" s="246">
        <f t="shared" si="157"/>
        <v>-15.17230770150711</v>
      </c>
      <c r="AG414" s="246">
        <f t="shared" si="158"/>
        <v>-34.152289396817537</v>
      </c>
      <c r="AH414" s="249" t="str">
        <f t="shared" si="159"/>
        <v>0.131950574855704-0.16322732357475i</v>
      </c>
    </row>
    <row r="415" spans="2:34" x14ac:dyDescent="0.2">
      <c r="B415" s="237"/>
      <c r="I415" s="246">
        <v>411</v>
      </c>
      <c r="J415" s="246">
        <f t="shared" si="147"/>
        <v>5.0073003585079769</v>
      </c>
      <c r="K415" s="246">
        <f t="shared" si="169"/>
        <v>101695.17746043294</v>
      </c>
      <c r="L415" s="246">
        <f t="shared" si="160"/>
        <v>638969.64483041293</v>
      </c>
      <c r="M415" s="246">
        <f t="shared" si="148"/>
        <v>95185.679511210081</v>
      </c>
      <c r="N415" s="246">
        <f>SQRT((ABS(AC415)-171.5+'Small Signal'!C$59)^2)</f>
        <v>62.017739197710796</v>
      </c>
      <c r="O415" s="246">
        <f t="shared" si="161"/>
        <v>35.185311385785411</v>
      </c>
      <c r="P415" s="246">
        <f t="shared" si="162"/>
        <v>15.276949444041021</v>
      </c>
      <c r="Q415" s="246">
        <f t="shared" si="170"/>
        <v>101695.17746043294</v>
      </c>
      <c r="R415" s="246" t="str">
        <f t="shared" si="149"/>
        <v>0.161233333333333+3.00315733070294i</v>
      </c>
      <c r="S415" s="246" t="str">
        <f t="shared" si="150"/>
        <v>0.025-0.166491443817553i</v>
      </c>
      <c r="T415" s="246" t="str">
        <f t="shared" si="151"/>
        <v>0.0261253033864778-0.166137149308649i</v>
      </c>
      <c r="U415" s="246" t="str">
        <f t="shared" si="152"/>
        <v>-0.400206300521687+0.740835913097315i</v>
      </c>
      <c r="V415" s="246">
        <f t="shared" si="163"/>
        <v>-1.4935196815724945</v>
      </c>
      <c r="W415" s="246">
        <f t="shared" si="164"/>
        <v>-241.62167885654887</v>
      </c>
      <c r="X415" s="246" t="str">
        <f t="shared" si="153"/>
        <v>0.926457535155847-0.0479695021320906i</v>
      </c>
      <c r="Y415" s="246" t="str">
        <f t="shared" si="154"/>
        <v>0.378059938077835-7.99905492895698i</v>
      </c>
      <c r="Z415" s="246" t="str">
        <f t="shared" si="155"/>
        <v>-0.0209292873263526-4.64760727868018i</v>
      </c>
      <c r="AA415" s="246" t="str">
        <f t="shared" si="156"/>
        <v>-0.797641010004129-0.236003431875976i</v>
      </c>
      <c r="AB415" s="246">
        <f t="shared" si="165"/>
        <v>-1.5993859203887641</v>
      </c>
      <c r="AC415" s="246">
        <f t="shared" si="166"/>
        <v>-163.5177391977108</v>
      </c>
      <c r="AD415" s="248">
        <f t="shared" si="167"/>
        <v>-13.677563523652257</v>
      </c>
      <c r="AE415" s="248">
        <f t="shared" si="168"/>
        <v>128.33242781192538</v>
      </c>
      <c r="AF415" s="246">
        <f t="shared" si="157"/>
        <v>-15.276949444041021</v>
      </c>
      <c r="AG415" s="246">
        <f t="shared" si="158"/>
        <v>-35.185311385785411</v>
      </c>
      <c r="AH415" s="249" t="str">
        <f t="shared" si="159"/>
        <v>0.128430968322775-0.162432717039057i</v>
      </c>
    </row>
    <row r="416" spans="2:34" x14ac:dyDescent="0.2">
      <c r="B416" s="237"/>
      <c r="I416" s="246">
        <v>412</v>
      </c>
      <c r="J416" s="246">
        <f t="shared" si="147"/>
        <v>5.0170504810347607</v>
      </c>
      <c r="K416" s="246">
        <f t="shared" si="169"/>
        <v>104004.10499280889</v>
      </c>
      <c r="L416" s="246">
        <f t="shared" si="160"/>
        <v>653477.06437717983</v>
      </c>
      <c r="M416" s="246">
        <f t="shared" si="148"/>
        <v>97547.029847526923</v>
      </c>
      <c r="N416" s="246">
        <f>SQRT((ABS(AC416)-171.5+'Small Signal'!C$59)^2)</f>
        <v>62.427943307609183</v>
      </c>
      <c r="O416" s="246">
        <f t="shared" si="161"/>
        <v>36.211854817910918</v>
      </c>
      <c r="P416" s="246">
        <f t="shared" si="162"/>
        <v>15.381699409991747</v>
      </c>
      <c r="Q416" s="246">
        <f t="shared" si="170"/>
        <v>104004.10499280889</v>
      </c>
      <c r="R416" s="246" t="str">
        <f t="shared" si="149"/>
        <v>0.161233333333333+3.07134220257275i</v>
      </c>
      <c r="S416" s="246" t="str">
        <f t="shared" si="150"/>
        <v>0.025-0.162795275492639i</v>
      </c>
      <c r="T416" s="246" t="str">
        <f t="shared" si="151"/>
        <v>0.0260747538177949-0.16244918897366i</v>
      </c>
      <c r="U416" s="246" t="str">
        <f t="shared" si="152"/>
        <v>-0.387903489614003+0.725036082813798i</v>
      </c>
      <c r="V416" s="246">
        <f t="shared" si="163"/>
        <v>-1.6995923511688478</v>
      </c>
      <c r="W416" s="246">
        <f t="shared" si="164"/>
        <v>-241.8526544501716</v>
      </c>
      <c r="X416" s="246" t="str">
        <f t="shared" si="153"/>
        <v>0.923080150361918-0.0490586206817902i</v>
      </c>
      <c r="Y416" s="246" t="str">
        <f t="shared" si="154"/>
        <v>0.361418307930649-7.82151221324828i</v>
      </c>
      <c r="Z416" s="246" t="str">
        <f t="shared" si="155"/>
        <v>-0.031339645961214-4.52792387456297i</v>
      </c>
      <c r="AA416" s="246" t="str">
        <f t="shared" si="156"/>
        <v>-0.800670113856254-0.230678592207231i</v>
      </c>
      <c r="AB416" s="246">
        <f t="shared" si="165"/>
        <v>-1.5846206485011336</v>
      </c>
      <c r="AC416" s="246">
        <f t="shared" si="166"/>
        <v>-163.92794330760918</v>
      </c>
      <c r="AD416" s="248">
        <f t="shared" si="167"/>
        <v>-13.797078761490614</v>
      </c>
      <c r="AE416" s="248">
        <f t="shared" si="168"/>
        <v>127.71608848969827</v>
      </c>
      <c r="AF416" s="246">
        <f t="shared" si="157"/>
        <v>-15.381699409991747</v>
      </c>
      <c r="AG416" s="246">
        <f t="shared" si="158"/>
        <v>-36.211854817910918</v>
      </c>
      <c r="AH416" s="249" t="str">
        <f t="shared" si="159"/>
        <v>0.124945167748763-0.161566373788382i</v>
      </c>
    </row>
    <row r="417" spans="2:34" x14ac:dyDescent="0.2">
      <c r="B417" s="237"/>
      <c r="I417" s="246">
        <v>413</v>
      </c>
      <c r="J417" s="246">
        <f t="shared" si="147"/>
        <v>5.0268006035615445</v>
      </c>
      <c r="K417" s="246">
        <f t="shared" si="169"/>
        <v>106365.45532912573</v>
      </c>
      <c r="L417" s="246">
        <f t="shared" si="160"/>
        <v>668313.86611542944</v>
      </c>
      <c r="M417" s="246">
        <f t="shared" si="148"/>
        <v>99961.99321586045</v>
      </c>
      <c r="N417" s="246">
        <f>SQRT((ABS(AC417)-171.5+'Small Signal'!C$59)^2)</f>
        <v>62.83480423190403</v>
      </c>
      <c r="O417" s="246">
        <f t="shared" si="161"/>
        <v>37.231967280021763</v>
      </c>
      <c r="P417" s="246">
        <f t="shared" si="162"/>
        <v>15.486495668901572</v>
      </c>
      <c r="Q417" s="246">
        <f t="shared" si="170"/>
        <v>106365.45532912573</v>
      </c>
      <c r="R417" s="246" t="str">
        <f t="shared" si="149"/>
        <v>0.161233333333333+3.14107517074252i</v>
      </c>
      <c r="S417" s="246" t="str">
        <f t="shared" si="150"/>
        <v>0.025-0.159181163398202i</v>
      </c>
      <c r="T417" s="246" t="str">
        <f t="shared" si="151"/>
        <v>0.026026423572375-0.158843080340208i</v>
      </c>
      <c r="U417" s="246" t="str">
        <f t="shared" si="152"/>
        <v>-0.376140351619908+0.709544759514556i</v>
      </c>
      <c r="V417" s="246">
        <f t="shared" si="163"/>
        <v>-1.9048383154786885</v>
      </c>
      <c r="W417" s="246">
        <f t="shared" si="164"/>
        <v>-242.07126449765587</v>
      </c>
      <c r="X417" s="246" t="str">
        <f t="shared" si="153"/>
        <v>0.919547661600909-0.0501724670098193i</v>
      </c>
      <c r="Y417" s="246" t="str">
        <f t="shared" si="154"/>
        <v>0.345510965218343-7.64790824249838i</v>
      </c>
      <c r="Z417" s="246" t="str">
        <f t="shared" si="155"/>
        <v>-0.0412906556270713-4.41052058835062i</v>
      </c>
      <c r="AA417" s="246" t="str">
        <f t="shared" si="156"/>
        <v>-0.80383985489604-0.225422411697129i</v>
      </c>
      <c r="AB417" s="246">
        <f t="shared" si="165"/>
        <v>-1.5678356214071545</v>
      </c>
      <c r="AC417" s="246">
        <f t="shared" si="166"/>
        <v>-164.33480423190403</v>
      </c>
      <c r="AD417" s="248">
        <f t="shared" si="167"/>
        <v>-13.918660047494418</v>
      </c>
      <c r="AE417" s="248">
        <f t="shared" si="168"/>
        <v>127.10283695188227</v>
      </c>
      <c r="AF417" s="246">
        <f t="shared" si="157"/>
        <v>-15.486495668901572</v>
      </c>
      <c r="AG417" s="246">
        <f t="shared" si="158"/>
        <v>-37.231967280021763</v>
      </c>
      <c r="AH417" s="249" t="str">
        <f t="shared" si="159"/>
        <v>0.121496149141929-0.160630173365202i</v>
      </c>
    </row>
    <row r="418" spans="2:34" x14ac:dyDescent="0.2">
      <c r="B418" s="237"/>
      <c r="I418" s="246">
        <v>414</v>
      </c>
      <c r="J418" s="246">
        <f t="shared" si="147"/>
        <v>5.0365507260883282</v>
      </c>
      <c r="K418" s="246">
        <f t="shared" si="169"/>
        <v>108780.41869745926</v>
      </c>
      <c r="L418" s="246">
        <f t="shared" si="160"/>
        <v>683487.52846871957</v>
      </c>
      <c r="M418" s="246">
        <f t="shared" si="148"/>
        <v>102431.78686769461</v>
      </c>
      <c r="N418" s="246">
        <f>SQRT((ABS(AC418)-171.5+'Small Signal'!C$59)^2)</f>
        <v>63.238681000697767</v>
      </c>
      <c r="O418" s="246">
        <f t="shared" si="161"/>
        <v>38.245726987540337</v>
      </c>
      <c r="P418" s="246">
        <f t="shared" si="162"/>
        <v>15.59127063609575</v>
      </c>
      <c r="Q418" s="246">
        <f t="shared" si="170"/>
        <v>108780.41869745926</v>
      </c>
      <c r="R418" s="246" t="str">
        <f t="shared" si="149"/>
        <v>0.161233333333333+3.21239138380298i</v>
      </c>
      <c r="S418" s="246" t="str">
        <f t="shared" si="150"/>
        <v>0.025-0.155647285857204i</v>
      </c>
      <c r="T418" s="246" t="str">
        <f t="shared" si="151"/>
        <v>0.0259802152216368-0.155317007724773i</v>
      </c>
      <c r="U418" s="246" t="str">
        <f t="shared" si="152"/>
        <v>-0.364893236075207+0.694357858554667i</v>
      </c>
      <c r="V418" s="246">
        <f t="shared" si="163"/>
        <v>-2.1092726555351309</v>
      </c>
      <c r="W418" s="246">
        <f t="shared" si="164"/>
        <v>-242.27754487999692</v>
      </c>
      <c r="X418" s="246" t="str">
        <f t="shared" si="153"/>
        <v>0.915852945834706-0.0513116025454376i</v>
      </c>
      <c r="Y418" s="246" t="str">
        <f t="shared" si="154"/>
        <v>0.330305361144487-7.47815577856142i</v>
      </c>
      <c r="Z418" s="246" t="str">
        <f t="shared" si="155"/>
        <v>-0.050802678527404-4.29533840191168i</v>
      </c>
      <c r="AA418" s="246" t="str">
        <f t="shared" si="156"/>
        <v>-0.807158618908508-0.22022801559952i</v>
      </c>
      <c r="AB418" s="246">
        <f t="shared" si="165"/>
        <v>-1.5489860046215798</v>
      </c>
      <c r="AC418" s="246">
        <f t="shared" si="166"/>
        <v>-164.73868100069777</v>
      </c>
      <c r="AD418" s="248">
        <f t="shared" si="167"/>
        <v>-14.042284631474169</v>
      </c>
      <c r="AE418" s="248">
        <f t="shared" si="168"/>
        <v>126.49295401315743</v>
      </c>
      <c r="AF418" s="246">
        <f t="shared" si="157"/>
        <v>-15.59127063609575</v>
      </c>
      <c r="AG418" s="246">
        <f t="shared" si="158"/>
        <v>-38.245726987540337</v>
      </c>
      <c r="AH418" s="249" t="str">
        <f t="shared" si="159"/>
        <v>0.118086752749614-0.159626137687356i</v>
      </c>
    </row>
    <row r="419" spans="2:34" x14ac:dyDescent="0.2">
      <c r="B419" s="237"/>
      <c r="I419" s="246">
        <v>415</v>
      </c>
      <c r="J419" s="246">
        <f t="shared" si="147"/>
        <v>5.0463008486151111</v>
      </c>
      <c r="K419" s="246">
        <f t="shared" si="169"/>
        <v>111250.21234929342</v>
      </c>
      <c r="L419" s="246">
        <f t="shared" si="160"/>
        <v>699005.6996536894</v>
      </c>
      <c r="M419" s="246">
        <f t="shared" si="148"/>
        <v>104957.65569147335</v>
      </c>
      <c r="N419" s="246">
        <f>SQRT((ABS(AC419)-171.5+'Small Signal'!C$59)^2)</f>
        <v>63.639956992937897</v>
      </c>
      <c r="O419" s="246">
        <f t="shared" si="161"/>
        <v>39.25324493938615</v>
      </c>
      <c r="P419" s="246">
        <f t="shared" si="162"/>
        <v>15.695951001347579</v>
      </c>
      <c r="Q419" s="246">
        <f t="shared" si="170"/>
        <v>111250.21234929342</v>
      </c>
      <c r="R419" s="246" t="str">
        <f t="shared" si="149"/>
        <v>0.161233333333333+3.28532678837234i</v>
      </c>
      <c r="S419" s="246" t="str">
        <f t="shared" si="150"/>
        <v>0.025-0.152191861634476i</v>
      </c>
      <c r="T419" s="246" t="str">
        <f t="shared" si="151"/>
        <v>0.0259360356134079-0.151869195658023i</v>
      </c>
      <c r="U419" s="246" t="str">
        <f t="shared" si="152"/>
        <v>-0.354139526929364+0.679471204636521i</v>
      </c>
      <c r="V419" s="246">
        <f t="shared" si="163"/>
        <v>-2.3129093590159377</v>
      </c>
      <c r="W419" s="246">
        <f t="shared" si="164"/>
        <v>-242.47153161545788</v>
      </c>
      <c r="X419" s="246" t="str">
        <f t="shared" si="153"/>
        <v>0.911988552904797-0.0524766014648168i</v>
      </c>
      <c r="Y419" s="246" t="str">
        <f t="shared" si="154"/>
        <v>0.315770402439243-7.3121695042881i</v>
      </c>
      <c r="Z419" s="246" t="str">
        <f t="shared" si="155"/>
        <v>-0.0598951662499184-4.18231940444876i</v>
      </c>
      <c r="AA419" s="246" t="str">
        <f t="shared" si="156"/>
        <v>-0.810635280014959-0.215088137264746i</v>
      </c>
      <c r="AB419" s="246">
        <f t="shared" si="165"/>
        <v>-1.5280228893643883</v>
      </c>
      <c r="AC419" s="246">
        <f t="shared" si="166"/>
        <v>-165.1399569929379</v>
      </c>
      <c r="AD419" s="248">
        <f t="shared" si="167"/>
        <v>-14.167928111983191</v>
      </c>
      <c r="AE419" s="248">
        <f t="shared" si="168"/>
        <v>125.88671205355175</v>
      </c>
      <c r="AF419" s="246">
        <f t="shared" si="157"/>
        <v>-15.695951001347579</v>
      </c>
      <c r="AG419" s="246">
        <f t="shared" si="158"/>
        <v>-39.25324493938615</v>
      </c>
      <c r="AH419" s="249" t="str">
        <f t="shared" si="159"/>
        <v>0.114719675062941-0.158556419789397i</v>
      </c>
    </row>
    <row r="420" spans="2:34" x14ac:dyDescent="0.2">
      <c r="B420" s="237"/>
      <c r="I420" s="246">
        <v>416</v>
      </c>
      <c r="J420" s="246">
        <f t="shared" si="147"/>
        <v>5.0560509711418948</v>
      </c>
      <c r="K420" s="246">
        <f t="shared" si="169"/>
        <v>113776.08117307216</v>
      </c>
      <c r="L420" s="246">
        <f t="shared" si="160"/>
        <v>714876.20153511898</v>
      </c>
      <c r="M420" s="246">
        <f t="shared" si="148"/>
        <v>107540.87284007919</v>
      </c>
      <c r="N420" s="246">
        <f>SQRT((ABS(AC420)-171.5+'Small Signal'!C$59)^2)</f>
        <v>64.039041753731965</v>
      </c>
      <c r="O420" s="246">
        <f t="shared" si="161"/>
        <v>40.254667222861144</v>
      </c>
      <c r="P420" s="246">
        <f t="shared" si="162"/>
        <v>15.800457655667302</v>
      </c>
      <c r="Q420" s="246">
        <f t="shared" si="170"/>
        <v>113776.08117307216</v>
      </c>
      <c r="R420" s="246" t="str">
        <f t="shared" si="149"/>
        <v>0.161233333333333+3.35991814721506i</v>
      </c>
      <c r="S420" s="246" t="str">
        <f t="shared" si="150"/>
        <v>0.025-0.148813149038894i</v>
      </c>
      <c r="T420" s="246" t="str">
        <f t="shared" si="151"/>
        <v>0.0258937956842831-0.148497907998215i</v>
      </c>
      <c r="U420" s="246" t="str">
        <f t="shared" si="152"/>
        <v>-0.343857597488578+0.664880545769072i</v>
      </c>
      <c r="V420" s="246">
        <f t="shared" si="163"/>
        <v>-2.5157613177441189</v>
      </c>
      <c r="W420" s="246">
        <f t="shared" si="164"/>
        <v>-242.65326070020024</v>
      </c>
      <c r="X420" s="246" t="str">
        <f t="shared" si="153"/>
        <v>0.907946690509501-0.0536680509804517i</v>
      </c>
      <c r="Y420" s="246" t="str">
        <f t="shared" si="154"/>
        <v>0.301876385192154-7.14986598216674i</v>
      </c>
      <c r="Z420" s="246" t="str">
        <f t="shared" si="155"/>
        <v>-0.0685867011669845-4.07140676430398i</v>
      </c>
      <c r="AA420" s="246" t="str">
        <f t="shared" si="156"/>
        <v>-0.814279235518021-0.209995066953851i</v>
      </c>
      <c r="AB420" s="246">
        <f t="shared" si="165"/>
        <v>-1.5048931315114</v>
      </c>
      <c r="AC420" s="246">
        <f t="shared" si="166"/>
        <v>-165.53904175373196</v>
      </c>
      <c r="AD420" s="248">
        <f t="shared" si="167"/>
        <v>-14.295564524155902</v>
      </c>
      <c r="AE420" s="248">
        <f t="shared" si="168"/>
        <v>125.28437453087082</v>
      </c>
      <c r="AF420" s="246">
        <f t="shared" si="157"/>
        <v>-15.800457655667302</v>
      </c>
      <c r="AG420" s="246">
        <f t="shared" si="158"/>
        <v>-40.254667222861144</v>
      </c>
      <c r="AH420" s="249" t="str">
        <f t="shared" si="159"/>
        <v>0.111397461883418-0.157423292104386i</v>
      </c>
    </row>
    <row r="421" spans="2:34" x14ac:dyDescent="0.2">
      <c r="B421" s="237"/>
      <c r="I421" s="246">
        <v>417</v>
      </c>
      <c r="J421" s="246">
        <f t="shared" si="147"/>
        <v>5.0658010936686777</v>
      </c>
      <c r="K421" s="246">
        <f t="shared" si="169"/>
        <v>116359.298321678</v>
      </c>
      <c r="L421" s="246">
        <f t="shared" si="160"/>
        <v>731107.03356849344</v>
      </c>
      <c r="M421" s="246">
        <f t="shared" si="148"/>
        <v>110182.74037256271</v>
      </c>
      <c r="N421" s="246">
        <f>SQRT((ABS(AC421)-171.5+'Small Signal'!C$59)^2)</f>
        <v>64.436373027539531</v>
      </c>
      <c r="O421" s="246">
        <f t="shared" si="161"/>
        <v>41.250177487729843</v>
      </c>
      <c r="P421" s="246">
        <f t="shared" si="162"/>
        <v>15.904705615404859</v>
      </c>
      <c r="Q421" s="246">
        <f t="shared" si="170"/>
        <v>116359.298321678</v>
      </c>
      <c r="R421" s="246" t="str">
        <f t="shared" si="149"/>
        <v>0.161233333333333+3.43620305777192i</v>
      </c>
      <c r="S421" s="246" t="str">
        <f t="shared" si="150"/>
        <v>0.025-0.145509445045488i</v>
      </c>
      <c r="T421" s="246" t="str">
        <f t="shared" si="151"/>
        <v>0.0258534102802108-0.145201447063863i</v>
      </c>
      <c r="U421" s="246" t="str">
        <f t="shared" si="152"/>
        <v>-0.334026767304067+0.650581566124647i</v>
      </c>
      <c r="V421" s="246">
        <f t="shared" si="163"/>
        <v>-2.7178403258755819</v>
      </c>
      <c r="W421" s="246">
        <f t="shared" si="164"/>
        <v>-242.82276796258481</v>
      </c>
      <c r="X421" s="246" t="str">
        <f t="shared" si="153"/>
        <v>0.903719208491284-0.0548865516371413i</v>
      </c>
      <c r="Y421" s="246" t="str">
        <f t="shared" si="154"/>
        <v>0.288594931783202-6.99116361377007i</v>
      </c>
      <c r="Z421" s="246" t="str">
        <f t="shared" si="155"/>
        <v>-0.0768950358971106-3.96254470122184i</v>
      </c>
      <c r="AA421" s="246" t="str">
        <f t="shared" si="156"/>
        <v>-0.818100443110373-0.204940594380956i</v>
      </c>
      <c r="AB421" s="246">
        <f t="shared" si="165"/>
        <v>-1.4795391840505554</v>
      </c>
      <c r="AC421" s="246">
        <f t="shared" si="166"/>
        <v>-165.93637302753953</v>
      </c>
      <c r="AD421" s="248">
        <f t="shared" si="167"/>
        <v>-14.425166431354304</v>
      </c>
      <c r="AE421" s="248">
        <f t="shared" si="168"/>
        <v>124.68619553980969</v>
      </c>
      <c r="AF421" s="246">
        <f t="shared" si="157"/>
        <v>-15.904705615404859</v>
      </c>
      <c r="AG421" s="246">
        <f t="shared" si="158"/>
        <v>-41.250177487729843</v>
      </c>
      <c r="AH421" s="249" t="str">
        <f t="shared" si="159"/>
        <v>0.108122502472582-0.156229134397057i</v>
      </c>
    </row>
    <row r="422" spans="2:34" x14ac:dyDescent="0.2">
      <c r="B422" s="237"/>
      <c r="I422" s="246">
        <v>418</v>
      </c>
      <c r="J422" s="246">
        <f t="shared" si="147"/>
        <v>5.0755512161954615</v>
      </c>
      <c r="K422" s="246">
        <f t="shared" si="169"/>
        <v>119001.16585416152</v>
      </c>
      <c r="L422" s="246">
        <f t="shared" si="160"/>
        <v>747706.37683210871</v>
      </c>
      <c r="M422" s="246">
        <f t="shared" si="148"/>
        <v>112884.58991043673</v>
      </c>
      <c r="N422" s="246">
        <f>SQRT((ABS(AC422)-171.5+'Small Signal'!C$59)^2)</f>
        <v>64.83241903064507</v>
      </c>
      <c r="O422" s="246">
        <f t="shared" si="161"/>
        <v>42.239999611753404</v>
      </c>
      <c r="P422" s="246">
        <f t="shared" si="162"/>
        <v>16.00860394294542</v>
      </c>
      <c r="Q422" s="246">
        <f t="shared" si="170"/>
        <v>119001.16585416152</v>
      </c>
      <c r="R422" s="246" t="str">
        <f t="shared" si="149"/>
        <v>0.161233333333333+3.51421997111091i</v>
      </c>
      <c r="S422" s="246" t="str">
        <f t="shared" si="150"/>
        <v>0.025-0.142279084437034i</v>
      </c>
      <c r="T422" s="246" t="str">
        <f t="shared" si="151"/>
        <v>0.025814797984947-0.14197815278529i</v>
      </c>
      <c r="U422" s="246" t="str">
        <f t="shared" si="152"/>
        <v>-0.324627260923303+0.636569897870992i</v>
      </c>
      <c r="V422" s="246">
        <f t="shared" si="163"/>
        <v>-2.9191570786652847</v>
      </c>
      <c r="W422" s="246">
        <f t="shared" si="164"/>
        <v>-242.98008893131481</v>
      </c>
      <c r="X422" s="246" t="str">
        <f t="shared" si="153"/>
        <v>0.899297582402491-0.056132717614692i</v>
      </c>
      <c r="Y422" s="246" t="str">
        <f t="shared" si="154"/>
        <v>0.27589893075963-6.83598260000079i</v>
      </c>
      <c r="Z422" s="246" t="str">
        <f t="shared" si="155"/>
        <v>-0.0848371309229599-3.85567845906398i</v>
      </c>
      <c r="AA422" s="246" t="str">
        <f t="shared" si="156"/>
        <v>-0.822109460557325-0.199915944099056i</v>
      </c>
      <c r="AB422" s="246">
        <f t="shared" si="165"/>
        <v>-1.4518989229714239</v>
      </c>
      <c r="AC422" s="246">
        <f t="shared" si="166"/>
        <v>-166.33241903064507</v>
      </c>
      <c r="AD422" s="248">
        <f t="shared" si="167"/>
        <v>-14.556705019973995</v>
      </c>
      <c r="AE422" s="248">
        <f t="shared" si="168"/>
        <v>124.09241941889167</v>
      </c>
      <c r="AF422" s="246">
        <f t="shared" si="157"/>
        <v>-16.00860394294542</v>
      </c>
      <c r="AG422" s="246">
        <f t="shared" si="158"/>
        <v>-42.239999611753404</v>
      </c>
      <c r="AH422" s="249" t="str">
        <f t="shared" si="159"/>
        <v>0.104897024793246-0.154976421458739i</v>
      </c>
    </row>
    <row r="423" spans="2:34" x14ac:dyDescent="0.2">
      <c r="B423" s="237"/>
      <c r="I423" s="246">
        <v>419</v>
      </c>
      <c r="J423" s="246">
        <f t="shared" si="147"/>
        <v>5.0853013387222443</v>
      </c>
      <c r="K423" s="246">
        <f t="shared" si="169"/>
        <v>121703.01539203554</v>
      </c>
      <c r="L423" s="246">
        <f t="shared" si="160"/>
        <v>764682.59815068869</v>
      </c>
      <c r="M423" s="246">
        <f t="shared" si="148"/>
        <v>115647.78330887642</v>
      </c>
      <c r="N423" s="246">
        <f>SQRT((ABS(AC423)-171.5+'Small Signal'!C$59)^2)</f>
        <v>65.227680989303053</v>
      </c>
      <c r="O423" s="246">
        <f t="shared" si="161"/>
        <v>43.22440058333035</v>
      </c>
      <c r="P423" s="246">
        <f t="shared" si="162"/>
        <v>16.112055663402344</v>
      </c>
      <c r="Q423" s="246">
        <f t="shared" si="170"/>
        <v>121703.01539203554</v>
      </c>
      <c r="R423" s="246" t="str">
        <f t="shared" si="149"/>
        <v>0.161233333333333+3.59400821130824i</v>
      </c>
      <c r="S423" s="246" t="str">
        <f t="shared" si="150"/>
        <v>0.025-0.139120438964717i</v>
      </c>
      <c r="T423" s="246" t="str">
        <f t="shared" si="151"/>
        <v>0.0257778809560332-0.138826401874673i</v>
      </c>
      <c r="U423" s="246" t="str">
        <f t="shared" si="152"/>
        <v>-0.315640168425189+0.622841132050823i</v>
      </c>
      <c r="V423" s="246">
        <f t="shared" si="163"/>
        <v>-3.1197211717133504</v>
      </c>
      <c r="W423" s="246">
        <f t="shared" si="164"/>
        <v>-243.12525871756236</v>
      </c>
      <c r="X423" s="246" t="str">
        <f t="shared" si="153"/>
        <v>0.894672896316345-0.0574071770374907i</v>
      </c>
      <c r="Y423" s="246" t="str">
        <f t="shared" si="154"/>
        <v>0.263762479514223-6.6842449021275i</v>
      </c>
      <c r="Z423" s="246" t="str">
        <f t="shared" si="155"/>
        <v>-0.092429190456229-3.75075427896903i</v>
      </c>
      <c r="AA423" s="246" t="str">
        <f t="shared" si="156"/>
        <v>-0.826317487946818-0.194911702707971i</v>
      </c>
      <c r="AB423" s="246">
        <f t="shared" si="165"/>
        <v>-1.4219054666426261</v>
      </c>
      <c r="AC423" s="246">
        <f t="shared" si="166"/>
        <v>-166.72768098930305</v>
      </c>
      <c r="AD423" s="248">
        <f t="shared" si="167"/>
        <v>-14.690150196759717</v>
      </c>
      <c r="AE423" s="248">
        <f t="shared" si="168"/>
        <v>123.5032804059727</v>
      </c>
      <c r="AF423" s="246">
        <f t="shared" si="157"/>
        <v>-16.112055663402344</v>
      </c>
      <c r="AG423" s="246">
        <f t="shared" si="158"/>
        <v>-43.22440058333035</v>
      </c>
      <c r="AH423" s="249" t="str">
        <f t="shared" si="159"/>
        <v>0.101723091838881-0.153667710672289i</v>
      </c>
    </row>
    <row r="424" spans="2:34" x14ac:dyDescent="0.2">
      <c r="B424" s="237"/>
      <c r="I424" s="246">
        <v>420</v>
      </c>
      <c r="J424" s="246">
        <f t="shared" si="147"/>
        <v>5.0950514612490281</v>
      </c>
      <c r="K424" s="246">
        <f t="shared" si="169"/>
        <v>124466.20879047523</v>
      </c>
      <c r="L424" s="246">
        <f t="shared" si="160"/>
        <v>782044.25431266055</v>
      </c>
      <c r="M424" s="246">
        <f t="shared" si="148"/>
        <v>118473.71334315529</v>
      </c>
      <c r="N424" s="246">
        <f>SQRT((ABS(AC424)-171.5+'Small Signal'!C$59)^2)</f>
        <v>65.622695973352847</v>
      </c>
      <c r="O424" s="246">
        <f t="shared" si="161"/>
        <v>44.203693630745136</v>
      </c>
      <c r="P424" s="246">
        <f t="shared" si="162"/>
        <v>16.21495767688004</v>
      </c>
      <c r="Q424" s="246">
        <f t="shared" si="170"/>
        <v>124466.20879047523</v>
      </c>
      <c r="R424" s="246" t="str">
        <f t="shared" si="149"/>
        <v>0.161233333333333+3.6756079952695i</v>
      </c>
      <c r="S424" s="246" t="str">
        <f t="shared" si="150"/>
        <v>0.025-0.136031916527415i</v>
      </c>
      <c r="T424" s="246" t="str">
        <f t="shared" si="151"/>
        <v>0.0257425847679667-0.135744607014177i</v>
      </c>
      <c r="U424" s="246" t="str">
        <f t="shared" si="152"/>
        <v>-0.307047407663346+0.609390828576137i</v>
      </c>
      <c r="V424" s="246">
        <f t="shared" si="163"/>
        <v>-3.319541100602506</v>
      </c>
      <c r="W424" s="246">
        <f t="shared" si="164"/>
        <v>-243.25831191119346</v>
      </c>
      <c r="X424" s="246" t="str">
        <f t="shared" si="153"/>
        <v>0.889835824848539-0.0587105722911093i</v>
      </c>
      <c r="Y424" s="246" t="str">
        <f t="shared" si="154"/>
        <v>0.25216082962786-6.53587420360136i</v>
      </c>
      <c r="Z424" s="246" t="str">
        <f t="shared" si="155"/>
        <v>-0.0996866966352502-3.64771937295035i</v>
      </c>
      <c r="AA424" s="246" t="str">
        <f t="shared" si="156"/>
        <v>-0.830736412574927-0.189917736704157i</v>
      </c>
      <c r="AB424" s="246">
        <f t="shared" si="165"/>
        <v>-1.3894869888942185</v>
      </c>
      <c r="AC424" s="246">
        <f t="shared" si="166"/>
        <v>-167.12269597335285</v>
      </c>
      <c r="AD424" s="248">
        <f t="shared" si="167"/>
        <v>-14.825470687985822</v>
      </c>
      <c r="AE424" s="248">
        <f t="shared" si="168"/>
        <v>122.91900234260771</v>
      </c>
      <c r="AF424" s="246">
        <f t="shared" si="157"/>
        <v>-16.21495767688004</v>
      </c>
      <c r="AG424" s="246">
        <f t="shared" si="158"/>
        <v>-44.203693630745136</v>
      </c>
      <c r="AH424" s="249" t="str">
        <f t="shared" si="159"/>
        <v>0.0986025990361492-0.152305629551865i</v>
      </c>
    </row>
    <row r="425" spans="2:34" x14ac:dyDescent="0.2">
      <c r="B425" s="237"/>
      <c r="I425" s="246">
        <v>421</v>
      </c>
      <c r="J425" s="246">
        <f t="shared" si="147"/>
        <v>5.1048015837758109</v>
      </c>
      <c r="K425" s="246">
        <f t="shared" si="169"/>
        <v>127292.1388247541</v>
      </c>
      <c r="L425" s="246">
        <f t="shared" si="160"/>
        <v>799800.09638315917</v>
      </c>
      <c r="M425" s="246">
        <f t="shared" si="148"/>
        <v>121363.8044106678</v>
      </c>
      <c r="N425" s="246">
        <f>SQRT((ABS(AC425)-171.5+'Small Signal'!C$59)^2)</f>
        <v>66.018040059000583</v>
      </c>
      <c r="O425" s="246">
        <f t="shared" si="161"/>
        <v>45.178241631814799</v>
      </c>
      <c r="P425" s="246">
        <f t="shared" si="162"/>
        <v>16.317200666098799</v>
      </c>
      <c r="Q425" s="246">
        <f t="shared" si="170"/>
        <v>127292.1388247541</v>
      </c>
      <c r="R425" s="246" t="str">
        <f t="shared" si="149"/>
        <v>0.161233333333333+3.75906045300085i</v>
      </c>
      <c r="S425" s="246" t="str">
        <f t="shared" si="150"/>
        <v>0.025-0.133011960369206i</v>
      </c>
      <c r="T425" s="246" t="str">
        <f t="shared" si="151"/>
        <v>0.0257088382622505-0.132731216061805i</v>
      </c>
      <c r="U425" s="246" t="str">
        <f t="shared" si="152"/>
        <v>-0.298831688144838+0.59621452539993i</v>
      </c>
      <c r="V425" s="246">
        <f t="shared" si="163"/>
        <v>-3.5186242608470253</v>
      </c>
      <c r="W425" s="246">
        <f t="shared" si="164"/>
        <v>-243.37928249118085</v>
      </c>
      <c r="X425" s="246" t="str">
        <f t="shared" si="153"/>
        <v>0.884776614353205-0.0600435603460957i</v>
      </c>
      <c r="Y425" s="246" t="str">
        <f t="shared" si="154"/>
        <v>0.241070334747493-6.39079587264416i</v>
      </c>
      <c r="Z425" s="246" t="str">
        <f t="shared" si="155"/>
        <v>-0.106624442136006-3.54652189792429i</v>
      </c>
      <c r="AA425" s="246" t="str">
        <f t="shared" si="156"/>
        <v>-0.835378856497785-0.184923099606435i</v>
      </c>
      <c r="AB425" s="246">
        <f t="shared" si="165"/>
        <v>-1.3545665262294591</v>
      </c>
      <c r="AC425" s="246">
        <f t="shared" si="166"/>
        <v>-167.51804005900058</v>
      </c>
      <c r="AD425" s="248">
        <f t="shared" si="167"/>
        <v>-14.962634139869341</v>
      </c>
      <c r="AE425" s="248">
        <f t="shared" si="168"/>
        <v>122.33979842718578</v>
      </c>
      <c r="AF425" s="246">
        <f t="shared" si="157"/>
        <v>-16.317200666098799</v>
      </c>
      <c r="AG425" s="246">
        <f t="shared" si="158"/>
        <v>-45.178241631814799</v>
      </c>
      <c r="AH425" s="249" t="str">
        <f t="shared" si="159"/>
        <v>0.0955372726949852-0.150892863357624i</v>
      </c>
    </row>
    <row r="426" spans="2:34" x14ac:dyDescent="0.2">
      <c r="B426" s="237"/>
      <c r="I426" s="246">
        <v>422</v>
      </c>
      <c r="J426" s="246">
        <f t="shared" si="147"/>
        <v>5.1145517063025947</v>
      </c>
      <c r="K426" s="246">
        <f t="shared" si="169"/>
        <v>130182.22989226661</v>
      </c>
      <c r="L426" s="246">
        <f t="shared" si="160"/>
        <v>817959.07411496469</v>
      </c>
      <c r="M426" s="246">
        <f t="shared" si="148"/>
        <v>124319.51324888926</v>
      </c>
      <c r="N426" s="246">
        <f>SQRT((ABS(AC426)-171.5+'Small Signal'!C$59)^2)</f>
        <v>66.414331858932343</v>
      </c>
      <c r="O426" s="246">
        <f t="shared" si="161"/>
        <v>46.148460842579993</v>
      </c>
      <c r="P426" s="246">
        <f t="shared" si="162"/>
        <v>16.418668999452642</v>
      </c>
      <c r="Q426" s="246">
        <f t="shared" si="170"/>
        <v>130182.22989226661</v>
      </c>
      <c r="R426" s="246" t="str">
        <f t="shared" si="149"/>
        <v>0.161233333333333+3.84440764834033i</v>
      </c>
      <c r="S426" s="246" t="str">
        <f t="shared" si="150"/>
        <v>0.025-0.130059048294697i</v>
      </c>
      <c r="T426" s="246" t="str">
        <f t="shared" si="151"/>
        <v>0.0256765734040199-0.129784711274603i</v>
      </c>
      <c r="U426" s="246" t="str">
        <f t="shared" si="152"/>
        <v>-0.29097647647461+0.583307746923761i</v>
      </c>
      <c r="V426" s="246">
        <f t="shared" si="163"/>
        <v>-3.7169769480818609</v>
      </c>
      <c r="W426" s="246">
        <f t="shared" si="164"/>
        <v>-243.48820375028015</v>
      </c>
      <c r="X426" s="246" t="str">
        <f t="shared" si="153"/>
        <v>0.879485063255304-0.061406813089117i</v>
      </c>
      <c r="Y426" s="246" t="str">
        <f t="shared" si="154"/>
        <v>0.230468400875903-6.24893692559777i</v>
      </c>
      <c r="Z426" s="246" t="str">
        <f t="shared" si="155"/>
        <v>-0.113256561273925-3.44711093016135i</v>
      </c>
      <c r="AA426" s="246" t="str">
        <f t="shared" si="156"/>
        <v>-0.840258226728532-0.179915926774813i</v>
      </c>
      <c r="AB426" s="246">
        <f t="shared" si="165"/>
        <v>-1.3170617798510056</v>
      </c>
      <c r="AC426" s="246">
        <f t="shared" si="166"/>
        <v>-167.91433185893234</v>
      </c>
      <c r="AD426" s="248">
        <f t="shared" si="167"/>
        <v>-15.101607219601636</v>
      </c>
      <c r="AE426" s="248">
        <f t="shared" si="168"/>
        <v>121.76587101635235</v>
      </c>
      <c r="AF426" s="246">
        <f t="shared" si="157"/>
        <v>-16.418668999452642</v>
      </c>
      <c r="AG426" s="246">
        <f t="shared" si="158"/>
        <v>-46.148460842579993</v>
      </c>
      <c r="AH426" s="249" t="str">
        <f t="shared" si="159"/>
        <v>0.0925286694708764-0.149432142879627i</v>
      </c>
    </row>
    <row r="427" spans="2:34" x14ac:dyDescent="0.2">
      <c r="B427" s="237"/>
      <c r="I427" s="246">
        <v>423</v>
      </c>
      <c r="J427" s="246">
        <f t="shared" si="147"/>
        <v>5.1243018288293776</v>
      </c>
      <c r="K427" s="246">
        <f t="shared" si="169"/>
        <v>133137.93873048807</v>
      </c>
      <c r="L427" s="246">
        <f t="shared" si="160"/>
        <v>836530.34045957855</v>
      </c>
      <c r="M427" s="246">
        <f t="shared" si="148"/>
        <v>127342.32966964044</v>
      </c>
      <c r="N427" s="246">
        <f>SQRT((ABS(AC427)-171.5+'Small Signal'!C$59)^2)</f>
        <v>66.81223646303738</v>
      </c>
      <c r="O427" s="246">
        <f t="shared" si="161"/>
        <v>47.11482498915251</v>
      </c>
      <c r="P427" s="246">
        <f t="shared" si="162"/>
        <v>16.519240629927243</v>
      </c>
      <c r="Q427" s="246">
        <f t="shared" si="170"/>
        <v>133137.93873048807</v>
      </c>
      <c r="R427" s="246" t="str">
        <f t="shared" si="149"/>
        <v>0.161233333333333+3.93169260016002i</v>
      </c>
      <c r="S427" s="246" t="str">
        <f t="shared" si="150"/>
        <v>0.025-0.127171691901765i</v>
      </c>
      <c r="T427" s="246" t="str">
        <f t="shared" si="151"/>
        <v>0.0256457251449571-0.126903608548829i</v>
      </c>
      <c r="U427" s="246" t="str">
        <f t="shared" si="152"/>
        <v>-0.283465963298709+0.570666011695419i</v>
      </c>
      <c r="V427" s="246">
        <f t="shared" si="163"/>
        <v>-3.9146043584325247</v>
      </c>
      <c r="W427" s="246">
        <f t="shared" si="164"/>
        <v>-243.58510823402909</v>
      </c>
      <c r="X427" s="246" t="str">
        <f t="shared" si="153"/>
        <v>0.8739505014798-0.0628010176616207i</v>
      </c>
      <c r="Y427" s="246" t="str">
        <f t="shared" si="154"/>
        <v>0.220333438957282-6.11022599102352i</v>
      </c>
      <c r="Z427" s="246" t="str">
        <f t="shared" si="155"/>
        <v>-0.119596559669039-3.34943644015168i</v>
      </c>
      <c r="AA427" s="246" t="str">
        <f t="shared" si="156"/>
        <v>-0.845388767985231-0.174883316085948i</v>
      </c>
      <c r="AB427" s="246">
        <f t="shared" si="165"/>
        <v>-1.2768849135189853</v>
      </c>
      <c r="AC427" s="246">
        <f t="shared" si="166"/>
        <v>-168.31223646303738</v>
      </c>
      <c r="AD427" s="248">
        <f t="shared" si="167"/>
        <v>-15.242355716408259</v>
      </c>
      <c r="AE427" s="248">
        <f t="shared" si="168"/>
        <v>121.19741147388487</v>
      </c>
      <c r="AF427" s="246">
        <f t="shared" si="157"/>
        <v>-16.519240629927243</v>
      </c>
      <c r="AG427" s="246">
        <f t="shared" si="158"/>
        <v>-47.11482498915251</v>
      </c>
      <c r="AH427" s="249" t="str">
        <f t="shared" si="159"/>
        <v>0.0895781767953235-0.147926232478483i</v>
      </c>
    </row>
    <row r="428" spans="2:34" x14ac:dyDescent="0.2">
      <c r="B428" s="237"/>
      <c r="I428" s="246">
        <v>424</v>
      </c>
      <c r="J428" s="246">
        <f t="shared" si="147"/>
        <v>5.1340519513561613</v>
      </c>
      <c r="K428" s="246">
        <f t="shared" si="169"/>
        <v>136160.75515123925</v>
      </c>
      <c r="L428" s="246">
        <f t="shared" si="160"/>
        <v>855523.25618074369</v>
      </c>
      <c r="M428" s="246">
        <f t="shared" si="148"/>
        <v>130433.77731001766</v>
      </c>
      <c r="N428" s="246">
        <f>SQRT((ABS(AC428)-171.5+'Small Signal'!C$59)^2)</f>
        <v>67.212469838868117</v>
      </c>
      <c r="O428" s="246">
        <f t="shared" si="161"/>
        <v>48.077869773021291</v>
      </c>
      <c r="P428" s="246">
        <f t="shared" si="162"/>
        <v>16.618786990751151</v>
      </c>
      <c r="Q428" s="246">
        <f t="shared" si="170"/>
        <v>136160.75515123925</v>
      </c>
      <c r="R428" s="246" t="str">
        <f t="shared" si="149"/>
        <v>0.161233333333333+4.0209593040495i</v>
      </c>
      <c r="S428" s="246" t="str">
        <f t="shared" si="150"/>
        <v>0.025-0.124348435831333i</v>
      </c>
      <c r="T428" s="246" t="str">
        <f t="shared" si="151"/>
        <v>0.0256162312922209-0.12408645667675i</v>
      </c>
      <c r="U428" s="246" t="str">
        <f t="shared" si="152"/>
        <v>-0.27628503168224+0.558284839447348i</v>
      </c>
      <c r="V428" s="246">
        <f t="shared" si="163"/>
        <v>-4.1115105890138315</v>
      </c>
      <c r="W428" s="246">
        <f t="shared" si="164"/>
        <v>-243.67002769411499</v>
      </c>
      <c r="X428" s="246" t="str">
        <f t="shared" si="153"/>
        <v>0.868161768936137-0.0642268768061859i</v>
      </c>
      <c r="Y428" s="246" t="str">
        <f t="shared" si="154"/>
        <v>0.210644819648058-5.97459327454149i</v>
      </c>
      <c r="Z428" s="246" t="str">
        <f t="shared" si="155"/>
        <v>-0.125657342543745-3.25344926787719i</v>
      </c>
      <c r="AA428" s="246" t="str">
        <f t="shared" si="156"/>
        <v>-0.850785617796752-0.169811192332273i</v>
      </c>
      <c r="AB428" s="246">
        <f t="shared" si="165"/>
        <v>-1.2339423486767591</v>
      </c>
      <c r="AC428" s="246">
        <f t="shared" si="166"/>
        <v>-168.71246983886812</v>
      </c>
      <c r="AD428" s="248">
        <f t="shared" si="167"/>
        <v>-15.384844642074393</v>
      </c>
      <c r="AE428" s="248">
        <f t="shared" si="168"/>
        <v>120.63460006584683</v>
      </c>
      <c r="AF428" s="246">
        <f t="shared" si="157"/>
        <v>-16.618786990751151</v>
      </c>
      <c r="AG428" s="246">
        <f t="shared" si="158"/>
        <v>-48.077869773021291</v>
      </c>
      <c r="AH428" s="249" t="str">
        <f t="shared" si="159"/>
        <v>0.0866870142228611-0.1463779184628i</v>
      </c>
    </row>
    <row r="429" spans="2:34" x14ac:dyDescent="0.2">
      <c r="B429" s="237"/>
      <c r="I429" s="246">
        <v>425</v>
      </c>
      <c r="J429" s="246">
        <f t="shared" si="147"/>
        <v>5.1438020738829451</v>
      </c>
      <c r="K429" s="246">
        <f t="shared" si="169"/>
        <v>139252.20279161647</v>
      </c>
      <c r="L429" s="246">
        <f t="shared" si="160"/>
        <v>874947.39457267674</v>
      </c>
      <c r="M429" s="246">
        <f t="shared" si="148"/>
        <v>133595.41440037679</v>
      </c>
      <c r="N429" s="246">
        <f>SQRT((ABS(AC429)-171.5+'Small Signal'!C$59)^2)</f>
        <v>67.615803747666604</v>
      </c>
      <c r="O429" s="246">
        <f t="shared" si="161"/>
        <v>49.038197847101785</v>
      </c>
      <c r="P429" s="246">
        <f t="shared" si="162"/>
        <v>16.717172889213604</v>
      </c>
      <c r="Q429" s="246">
        <f t="shared" si="170"/>
        <v>139252.20279161647</v>
      </c>
      <c r="R429" s="246" t="str">
        <f t="shared" si="149"/>
        <v>0.161233333333333+4.11225275449158i</v>
      </c>
      <c r="S429" s="246" t="str">
        <f t="shared" si="150"/>
        <v>0.025-0.121587857033807i</v>
      </c>
      <c r="T429" s="246" t="str">
        <f t="shared" si="151"/>
        <v>0.0255880323831244-0.121331836619696i</v>
      </c>
      <c r="U429" s="246" t="str">
        <f t="shared" si="152"/>
        <v>-0.269419226860563+0.546159757522974i</v>
      </c>
      <c r="V429" s="246">
        <f t="shared" si="163"/>
        <v>-4.3076986385160998</v>
      </c>
      <c r="W429" s="246">
        <f t="shared" si="164"/>
        <v>-243.74299305615148</v>
      </c>
      <c r="X429" s="246" t="str">
        <f t="shared" si="153"/>
        <v>0.862107193014631-0.0656851092207369i</v>
      </c>
      <c r="Y429" s="246" t="str">
        <f t="shared" si="154"/>
        <v>0.20138283016817-5.84197052439739i</v>
      </c>
      <c r="Z429" s="246" t="str">
        <f t="shared" si="155"/>
        <v>-0.131451241718724-3.15910109848109i</v>
      </c>
      <c r="AA429" s="246" t="str">
        <f t="shared" si="156"/>
        <v>-0.856464863640493-0.164684152864721i</v>
      </c>
      <c r="AB429" s="246">
        <f t="shared" si="165"/>
        <v>-1.1881345588056589</v>
      </c>
      <c r="AC429" s="246">
        <f t="shared" si="166"/>
        <v>-169.1158037476666</v>
      </c>
      <c r="AD429" s="248">
        <f t="shared" si="167"/>
        <v>-15.529038330407944</v>
      </c>
      <c r="AE429" s="248">
        <f t="shared" si="168"/>
        <v>120.07760590056482</v>
      </c>
      <c r="AF429" s="246">
        <f t="shared" si="157"/>
        <v>-16.717172889213604</v>
      </c>
      <c r="AG429" s="246">
        <f t="shared" si="158"/>
        <v>-49.038197847101785</v>
      </c>
      <c r="AH429" s="249" t="str">
        <f t="shared" si="159"/>
        <v>0.0838562356366318-0.144789997875368i</v>
      </c>
    </row>
    <row r="430" spans="2:34" x14ac:dyDescent="0.2">
      <c r="B430" s="237"/>
      <c r="I430" s="246">
        <v>426</v>
      </c>
      <c r="J430" s="246">
        <f t="shared" si="147"/>
        <v>5.1535521964097288</v>
      </c>
      <c r="K430" s="246">
        <f t="shared" si="169"/>
        <v>142413.83988197561</v>
      </c>
      <c r="L430" s="246">
        <f t="shared" si="160"/>
        <v>894812.54628545535</v>
      </c>
      <c r="M430" s="246">
        <f t="shared" si="148"/>
        <v>136828.83454975195</v>
      </c>
      <c r="N430" s="246">
        <f>SQRT((ABS(AC430)-171.5+'Small Signal'!C$59)^2)</f>
        <v>68.023071239454737</v>
      </c>
      <c r="O430" s="246">
        <f t="shared" si="161"/>
        <v>49.996484327767391</v>
      </c>
      <c r="P430" s="246">
        <f t="shared" si="162"/>
        <v>16.814256400781272</v>
      </c>
      <c r="Q430" s="246">
        <f t="shared" si="170"/>
        <v>142413.83988197561</v>
      </c>
      <c r="R430" s="246" t="str">
        <f t="shared" si="149"/>
        <v>0.161233333333333+4.20561896754164i</v>
      </c>
      <c r="S430" s="246" t="str">
        <f t="shared" si="150"/>
        <v>0.025-0.118888564051791i</v>
      </c>
      <c r="T430" s="246" t="str">
        <f t="shared" si="151"/>
        <v>0.0255610715653119-0.118638360797043i</v>
      </c>
      <c r="U430" s="246" t="str">
        <f t="shared" si="152"/>
        <v>-0.26285472730484+0.534286306734824i</v>
      </c>
      <c r="V430" s="246">
        <f t="shared" si="163"/>
        <v>-4.5031704078471098</v>
      </c>
      <c r="W430" s="246">
        <f t="shared" si="164"/>
        <v>-243.80403440189662</v>
      </c>
      <c r="X430" s="246" t="str">
        <f t="shared" si="153"/>
        <v>0.855774565049394-0.0671764499208i</v>
      </c>
      <c r="Y430" s="246" t="str">
        <f t="shared" si="154"/>
        <v>0.192528633133292-5.71229099774641i</v>
      </c>
      <c r="Z430" s="246" t="str">
        <f t="shared" si="155"/>
        <v>-0.136990041369319-3.06634443832671i</v>
      </c>
      <c r="AA430" s="246" t="str">
        <f t="shared" si="156"/>
        <v>-0.862443601607533-0.159485291592826i</v>
      </c>
      <c r="AB430" s="246">
        <f t="shared" si="165"/>
        <v>-1.1393558656351126</v>
      </c>
      <c r="AC430" s="246">
        <f t="shared" si="166"/>
        <v>-169.52307123945474</v>
      </c>
      <c r="AD430" s="248">
        <f t="shared" si="167"/>
        <v>-15.674900535146159</v>
      </c>
      <c r="AE430" s="248">
        <f t="shared" si="168"/>
        <v>119.52658691168735</v>
      </c>
      <c r="AF430" s="246">
        <f t="shared" si="157"/>
        <v>-16.814256400781272</v>
      </c>
      <c r="AG430" s="246">
        <f t="shared" si="158"/>
        <v>-49.996484327767391</v>
      </c>
      <c r="AH430" s="249" t="str">
        <f t="shared" si="159"/>
        <v>0.0810867322492489-0.143165267751588i</v>
      </c>
    </row>
    <row r="431" spans="2:34" x14ac:dyDescent="0.2">
      <c r="B431" s="237"/>
      <c r="I431" s="246">
        <v>427</v>
      </c>
      <c r="J431" s="246">
        <f t="shared" si="147"/>
        <v>5.1633023189365126</v>
      </c>
      <c r="K431" s="246">
        <f t="shared" si="169"/>
        <v>145647.26003135077</v>
      </c>
      <c r="L431" s="246">
        <f t="shared" si="160"/>
        <v>915128.72425994778</v>
      </c>
      <c r="M431" s="246">
        <f t="shared" si="148"/>
        <v>140135.66754910749</v>
      </c>
      <c r="N431" s="246">
        <f>SQRT((ABS(AC431)-171.5+'Small Signal'!C$59)^2)</f>
        <v>68.435172799456552</v>
      </c>
      <c r="O431" s="246">
        <f t="shared" si="161"/>
        <v>50.953482917092515</v>
      </c>
      <c r="P431" s="246">
        <f t="shared" si="162"/>
        <v>16.909888766520737</v>
      </c>
      <c r="Q431" s="246">
        <f t="shared" si="170"/>
        <v>145647.26003135077</v>
      </c>
      <c r="R431" s="246" t="str">
        <f t="shared" si="149"/>
        <v>0.161233333333333+4.30110500402175i</v>
      </c>
      <c r="S431" s="246" t="str">
        <f t="shared" si="150"/>
        <v>0.025-0.116249196318731i</v>
      </c>
      <c r="T431" s="246" t="str">
        <f t="shared" si="151"/>
        <v>0.0255352944821912-0.116004672390769i</v>
      </c>
      <c r="U431" s="246" t="str">
        <f t="shared" si="152"/>
        <v>-0.256578317045478+0.522660046695326i</v>
      </c>
      <c r="V431" s="246">
        <f t="shared" si="163"/>
        <v>-4.6979267008076988</v>
      </c>
      <c r="W431" s="246">
        <f t="shared" si="164"/>
        <v>-243.8531809659388</v>
      </c>
      <c r="X431" s="246" t="str">
        <f t="shared" si="153"/>
        <v>0.849151115700339-0.0687016506099845i</v>
      </c>
      <c r="Y431" s="246" t="str">
        <f t="shared" si="154"/>
        <v>0.184064227273763-5.5854894276417i</v>
      </c>
      <c r="Z431" s="246" t="str">
        <f t="shared" si="155"/>
        <v>-0.142285002601352-2.9751325914364i</v>
      </c>
      <c r="AA431" s="246" t="str">
        <f t="shared" si="156"/>
        <v>-0.86873999585442-0.154195997980839i</v>
      </c>
      <c r="AB431" s="246">
        <f t="shared" si="165"/>
        <v>-1.0874942406683559</v>
      </c>
      <c r="AC431" s="246">
        <f t="shared" si="166"/>
        <v>-169.93517279945655</v>
      </c>
      <c r="AD431" s="248">
        <f t="shared" si="167"/>
        <v>-15.822394525852379</v>
      </c>
      <c r="AE431" s="248">
        <f t="shared" si="168"/>
        <v>118.98168988236404</v>
      </c>
      <c r="AF431" s="246">
        <f t="shared" si="157"/>
        <v>-16.909888766520737</v>
      </c>
      <c r="AG431" s="246">
        <f t="shared" si="158"/>
        <v>-50.953482917092515</v>
      </c>
      <c r="AH431" s="249" t="str">
        <f t="shared" si="159"/>
        <v>0.0783792363316439-0.141506514904884i</v>
      </c>
    </row>
    <row r="432" spans="2:34" x14ac:dyDescent="0.2">
      <c r="B432" s="237"/>
      <c r="I432" s="246">
        <v>428</v>
      </c>
      <c r="J432" s="246">
        <f t="shared" si="147"/>
        <v>5.1730524414632955</v>
      </c>
      <c r="K432" s="246">
        <f t="shared" si="169"/>
        <v>148954.09303070631</v>
      </c>
      <c r="L432" s="246">
        <f t="shared" si="160"/>
        <v>935906.16877479514</v>
      </c>
      <c r="M432" s="246">
        <f t="shared" si="148"/>
        <v>143517.58019282648</v>
      </c>
      <c r="N432" s="246">
        <f>SQRT((ABS(AC432)-171.5+'Small Signal'!C$59)^2)</f>
        <v>68.853083228149274</v>
      </c>
      <c r="O432" s="246">
        <f t="shared" si="161"/>
        <v>51.910032719766249</v>
      </c>
      <c r="P432" s="246">
        <f t="shared" si="162"/>
        <v>17.003914297923753</v>
      </c>
      <c r="Q432" s="246">
        <f t="shared" si="170"/>
        <v>148954.09303070631</v>
      </c>
      <c r="R432" s="246" t="str">
        <f t="shared" si="149"/>
        <v>0.161233333333333+4.39875899324154i</v>
      </c>
      <c r="S432" s="246" t="str">
        <f t="shared" si="150"/>
        <v>0.025-0.113668423473126i</v>
      </c>
      <c r="T432" s="246" t="str">
        <f t="shared" si="151"/>
        <v>0.0255106491633936-0.113429444665259i</v>
      </c>
      <c r="U432" s="246" t="str">
        <f t="shared" si="152"/>
        <v>-0.250577359199381+0.511276560658361i</v>
      </c>
      <c r="V432" s="246">
        <f t="shared" si="163"/>
        <v>-4.8919672247886936</v>
      </c>
      <c r="W432" s="246">
        <f t="shared" si="164"/>
        <v>-243.89046114687528</v>
      </c>
      <c r="X432" s="246" t="str">
        <f t="shared" si="153"/>
        <v>0.84222348920462-0.0702614800588763i</v>
      </c>
      <c r="Y432" s="246" t="str">
        <f t="shared" si="154"/>
        <v>0.175972409950606-5.46150199071606i</v>
      </c>
      <c r="Z432" s="246" t="str">
        <f t="shared" si="155"/>
        <v>-0.14734688690248-2.88541963630182i</v>
      </c>
      <c r="AA432" s="246" t="str">
        <f t="shared" si="156"/>
        <v>-0.875373337788334-0.148795727122916i</v>
      </c>
      <c r="AB432" s="246">
        <f t="shared" si="165"/>
        <v>-1.0324311165340445</v>
      </c>
      <c r="AC432" s="246">
        <f t="shared" si="166"/>
        <v>-170.35308322814927</v>
      </c>
      <c r="AD432" s="248">
        <f t="shared" si="167"/>
        <v>-15.971483181389708</v>
      </c>
      <c r="AE432" s="248">
        <f t="shared" si="168"/>
        <v>118.44305050838302</v>
      </c>
      <c r="AF432" s="246">
        <f t="shared" si="157"/>
        <v>-17.003914297923753</v>
      </c>
      <c r="AG432" s="246">
        <f t="shared" si="158"/>
        <v>-51.910032719766249</v>
      </c>
      <c r="AH432" s="249" t="str">
        <f t="shared" si="159"/>
        <v>0.0757343255996956-0.139816506285052i</v>
      </c>
    </row>
    <row r="433" spans="2:34" x14ac:dyDescent="0.2">
      <c r="B433" s="237"/>
      <c r="I433" s="246">
        <v>429</v>
      </c>
      <c r="J433" s="246">
        <f t="shared" si="147"/>
        <v>5.1828025639900792</v>
      </c>
      <c r="K433" s="246">
        <f t="shared" si="169"/>
        <v>152336.00567442531</v>
      </c>
      <c r="L433" s="246">
        <f t="shared" si="160"/>
        <v>957155.35260797513</v>
      </c>
      <c r="M433" s="246">
        <f t="shared" si="148"/>
        <v>146976.27711884986</v>
      </c>
      <c r="N433" s="246">
        <f>SQRT((ABS(AC433)-171.5+'Small Signal'!C$59)^2)</f>
        <v>69.277859348676202</v>
      </c>
      <c r="O433" s="246">
        <f t="shared" si="161"/>
        <v>52.867065850738527</v>
      </c>
      <c r="P433" s="246">
        <f t="shared" si="162"/>
        <v>17.096170294593158</v>
      </c>
      <c r="Q433" s="246">
        <f t="shared" si="170"/>
        <v>152336.00567442531</v>
      </c>
      <c r="R433" s="246" t="str">
        <f t="shared" si="149"/>
        <v>0.161233333333333+4.49863015725748i</v>
      </c>
      <c r="S433" s="246" t="str">
        <f t="shared" si="150"/>
        <v>0.025-0.111144944687966i</v>
      </c>
      <c r="T433" s="246" t="str">
        <f t="shared" si="151"/>
        <v>0.0254870859200389-0.110911380302033i</v>
      </c>
      <c r="U433" s="246" t="str">
        <f t="shared" si="152"/>
        <v>-0.244839770649206+0.500131459907041i</v>
      </c>
      <c r="V433" s="246">
        <f t="shared" si="163"/>
        <v>-5.0852905914862436</v>
      </c>
      <c r="W433" s="246">
        <f t="shared" si="164"/>
        <v>-243.91590253300191</v>
      </c>
      <c r="X433" s="246" t="str">
        <f t="shared" si="153"/>
        <v>0.834977716445593-0.0718567244925323i</v>
      </c>
      <c r="Y433" s="246" t="str">
        <f t="shared" si="154"/>
        <v>0.168236741383454-5.34026627554452i</v>
      </c>
      <c r="Z433" s="246" t="str">
        <f t="shared" si="155"/>
        <v>-0.152185978522364-2.79716040305634i</v>
      </c>
      <c r="AA433" s="246" t="str">
        <f t="shared" si="156"/>
        <v>-0.882364103521356-0.143261736331872i</v>
      </c>
      <c r="AB433" s="246">
        <f t="shared" si="165"/>
        <v>-0.97404121399173771</v>
      </c>
      <c r="AC433" s="246">
        <f t="shared" si="166"/>
        <v>-170.7778593486762</v>
      </c>
      <c r="AD433" s="248">
        <f t="shared" si="167"/>
        <v>-16.122129080601422</v>
      </c>
      <c r="AE433" s="248">
        <f t="shared" si="168"/>
        <v>117.91079349793768</v>
      </c>
      <c r="AF433" s="246">
        <f t="shared" si="157"/>
        <v>-17.096170294593158</v>
      </c>
      <c r="AG433" s="246">
        <f t="shared" si="158"/>
        <v>-52.867065850738527</v>
      </c>
      <c r="AH433" s="249" t="str">
        <f t="shared" si="159"/>
        <v>0.073152428186631-0.138097979946752i</v>
      </c>
    </row>
    <row r="434" spans="2:34" x14ac:dyDescent="0.2">
      <c r="B434" s="237"/>
      <c r="I434" s="246">
        <v>430</v>
      </c>
      <c r="J434" s="246">
        <f t="shared" si="147"/>
        <v>5.1925526865168621</v>
      </c>
      <c r="K434" s="246">
        <f t="shared" si="169"/>
        <v>155794.70260044868</v>
      </c>
      <c r="L434" s="246">
        <f t="shared" si="160"/>
        <v>978886.98631555249</v>
      </c>
      <c r="M434" s="246">
        <f t="shared" si="148"/>
        <v>150513.50166789454</v>
      </c>
      <c r="N434" s="246">
        <f>SQRT((ABS(AC434)-171.5+'Small Signal'!C$59)^2)</f>
        <v>69.710648648401161</v>
      </c>
      <c r="O434" s="246">
        <f t="shared" si="161"/>
        <v>53.825615942832542</v>
      </c>
      <c r="P434" s="246">
        <f t="shared" si="162"/>
        <v>17.186486981949123</v>
      </c>
      <c r="Q434" s="246">
        <f t="shared" si="170"/>
        <v>155794.70260044868</v>
      </c>
      <c r="R434" s="246" t="str">
        <f t="shared" si="149"/>
        <v>0.161233333333333+4.6007688356831i</v>
      </c>
      <c r="S434" s="246" t="str">
        <f t="shared" si="150"/>
        <v>0.025-0.108677488015058i</v>
      </c>
      <c r="T434" s="246" t="str">
        <f t="shared" si="151"/>
        <v>0.0254645572445963-0.108449210749079i</v>
      </c>
      <c r="U434" s="246" t="str">
        <f t="shared" si="152"/>
        <v>-0.239353997824956+0.48922038772077i</v>
      </c>
      <c r="V434" s="246">
        <f t="shared" si="163"/>
        <v>-5.2778943176422786</v>
      </c>
      <c r="W434" s="246">
        <f t="shared" si="164"/>
        <v>-243.92953194253661</v>
      </c>
      <c r="X434" s="246" t="str">
        <f t="shared" si="153"/>
        <v>0.82739918678498-0.0734881879867741i</v>
      </c>
      <c r="Y434" s="246" t="str">
        <f t="shared" si="154"/>
        <v>0.160841510509606-5.22172125167611i</v>
      </c>
      <c r="Z434" s="246" t="str">
        <f t="shared" si="155"/>
        <v>-0.156812105832246-2.71031045100064i</v>
      </c>
      <c r="AA434" s="246" t="str">
        <f t="shared" si="156"/>
        <v>-0.889734007589867-0.137568782919686i</v>
      </c>
      <c r="AB434" s="246">
        <f t="shared" si="165"/>
        <v>-0.91219239207960956</v>
      </c>
      <c r="AC434" s="246">
        <f t="shared" si="166"/>
        <v>-171.21064864840116</v>
      </c>
      <c r="AD434" s="248">
        <f t="shared" si="167"/>
        <v>-16.274294589869513</v>
      </c>
      <c r="AE434" s="248">
        <f t="shared" si="168"/>
        <v>117.38503270556862</v>
      </c>
      <c r="AF434" s="246">
        <f t="shared" si="157"/>
        <v>-17.186486981949123</v>
      </c>
      <c r="AG434" s="246">
        <f t="shared" si="158"/>
        <v>-53.825615942832542</v>
      </c>
      <c r="AH434" s="249" t="str">
        <f t="shared" si="159"/>
        <v>0.0706338281284631-0.13635363665683i</v>
      </c>
    </row>
    <row r="435" spans="2:34" x14ac:dyDescent="0.2">
      <c r="B435" s="237"/>
      <c r="I435" s="246">
        <v>431</v>
      </c>
      <c r="J435" s="246">
        <f t="shared" si="147"/>
        <v>5.2023028090436458</v>
      </c>
      <c r="K435" s="246">
        <f t="shared" si="169"/>
        <v>159331.92714949336</v>
      </c>
      <c r="L435" s="246">
        <f t="shared" si="160"/>
        <v>1001112.023630305</v>
      </c>
      <c r="M435" s="246">
        <f t="shared" si="148"/>
        <v>154131.03676217262</v>
      </c>
      <c r="N435" s="246">
        <f>SQRT((ABS(AC435)-171.5+'Small Signal'!C$59)^2)</f>
        <v>70.152698976176254</v>
      </c>
      <c r="O435" s="246">
        <f t="shared" si="161"/>
        <v>54.786827678448333</v>
      </c>
      <c r="P435" s="246">
        <f t="shared" si="162"/>
        <v>17.274687478248765</v>
      </c>
      <c r="Q435" s="246">
        <f t="shared" si="170"/>
        <v>159331.92714949336</v>
      </c>
      <c r="R435" s="246" t="str">
        <f t="shared" si="149"/>
        <v>0.161233333333333+4.70522651106243i</v>
      </c>
      <c r="S435" s="246" t="str">
        <f t="shared" si="150"/>
        <v>0.025-0.106264809743899i</v>
      </c>
      <c r="T435" s="246" t="str">
        <f t="shared" si="151"/>
        <v>0.0254430177151385-0.106041695584465i</v>
      </c>
      <c r="U435" s="246" t="str">
        <f t="shared" si="152"/>
        <v>-0.23410899354039+0.478539022952241i</v>
      </c>
      <c r="V435" s="246">
        <f t="shared" si="163"/>
        <v>-5.4697748258280345</v>
      </c>
      <c r="W435" s="246">
        <f t="shared" si="164"/>
        <v>-243.93137547838427</v>
      </c>
      <c r="X435" s="246" t="str">
        <f t="shared" si="153"/>
        <v>0.819472618601447-0.0751566928734793i</v>
      </c>
      <c r="Y435" s="246" t="str">
        <f t="shared" si="154"/>
        <v>0.153771702397467-5.10580723932316i</v>
      </c>
      <c r="Z435" s="246" t="str">
        <f t="shared" si="155"/>
        <v>-0.161234661711965-2.62482604647256i</v>
      </c>
      <c r="AA435" s="246" t="str">
        <f t="shared" si="156"/>
        <v>-0.897506050228422-0.131688776969359i</v>
      </c>
      <c r="AB435" s="246">
        <f t="shared" si="165"/>
        <v>-0.84674553097941485</v>
      </c>
      <c r="AC435" s="246">
        <f t="shared" si="166"/>
        <v>-171.65269897617625</v>
      </c>
      <c r="AD435" s="248">
        <f t="shared" si="167"/>
        <v>-16.42794194726935</v>
      </c>
      <c r="AE435" s="248">
        <f t="shared" si="168"/>
        <v>116.86587129772792</v>
      </c>
      <c r="AF435" s="246">
        <f t="shared" si="157"/>
        <v>-17.274687478248765</v>
      </c>
      <c r="AG435" s="246">
        <f t="shared" si="158"/>
        <v>-54.786827678448333</v>
      </c>
      <c r="AH435" s="249" t="str">
        <f t="shared" si="159"/>
        <v>0.0681786712899086-0.134586132160877i</v>
      </c>
    </row>
    <row r="436" spans="2:34" x14ac:dyDescent="0.2">
      <c r="I436" s="246">
        <v>432</v>
      </c>
      <c r="J436" s="246">
        <f t="shared" si="147"/>
        <v>5.2120529315704287</v>
      </c>
      <c r="K436" s="246">
        <f t="shared" si="169"/>
        <v>162949.46224377144</v>
      </c>
      <c r="L436" s="246">
        <f t="shared" si="160"/>
        <v>1023841.6669828795</v>
      </c>
      <c r="M436" s="246">
        <f t="shared" si="148"/>
        <v>157830.70580406845</v>
      </c>
      <c r="N436" s="246">
        <f>SQRT((ABS(AC436)-171.5+'Small Signal'!C$59)^2)</f>
        <v>70.605369433682426</v>
      </c>
      <c r="O436" s="246">
        <f t="shared" si="161"/>
        <v>55.751967486333044</v>
      </c>
      <c r="P436" s="246">
        <f t="shared" si="162"/>
        <v>17.360587802868462</v>
      </c>
      <c r="Q436" s="246">
        <f t="shared" si="170"/>
        <v>162949.46224377144</v>
      </c>
      <c r="R436" s="246" t="str">
        <f t="shared" si="149"/>
        <v>0.161233333333333+4.81205583481953i</v>
      </c>
      <c r="S436" s="246" t="str">
        <f t="shared" si="150"/>
        <v>0.025-0.1039056937748i</v>
      </c>
      <c r="T436" s="246" t="str">
        <f t="shared" si="151"/>
        <v>0.0254224239037981-0.103687621893945i</v>
      </c>
      <c r="U436" s="246" t="str">
        <f t="shared" si="152"/>
        <v>-0.229094194838686+0.468083083243162i</v>
      </c>
      <c r="V436" s="246">
        <f t="shared" si="163"/>
        <v>-5.6609274452950906</v>
      </c>
      <c r="W436" s="246">
        <f t="shared" si="164"/>
        <v>-243.92145859746302</v>
      </c>
      <c r="X436" s="246" t="str">
        <f t="shared" si="153"/>
        <v>0.8111820284762-0.0768630801550728i</v>
      </c>
      <c r="Y436" s="246" t="str">
        <f t="shared" si="154"/>
        <v>0.14701296714145-4.99246587969477i</v>
      </c>
      <c r="Z436" s="246" t="str">
        <f t="shared" si="155"/>
        <v>-0.165462623009991-2.5406641410513i</v>
      </c>
      <c r="AA436" s="246" t="str">
        <f t="shared" si="156"/>
        <v>-0.905704554564532-0.125590381879829i</v>
      </c>
      <c r="AB436" s="246">
        <f t="shared" si="165"/>
        <v>-0.77755445979092686</v>
      </c>
      <c r="AC436" s="246">
        <f t="shared" si="166"/>
        <v>-172.10536943368243</v>
      </c>
      <c r="AD436" s="248">
        <f t="shared" si="167"/>
        <v>-16.583033343077535</v>
      </c>
      <c r="AE436" s="248">
        <f t="shared" si="168"/>
        <v>116.35340194734938</v>
      </c>
      <c r="AF436" s="246">
        <f t="shared" si="157"/>
        <v>-17.360587802868462</v>
      </c>
      <c r="AG436" s="246">
        <f t="shared" si="158"/>
        <v>-55.751967486333044</v>
      </c>
      <c r="AH436" s="249" t="str">
        <f t="shared" si="159"/>
        <v>0.0657869716593631-0.13279807012168i</v>
      </c>
    </row>
    <row r="437" spans="2:34" x14ac:dyDescent="0.2">
      <c r="I437" s="246">
        <v>433</v>
      </c>
      <c r="J437" s="246">
        <f t="shared" si="147"/>
        <v>5.2218030540972125</v>
      </c>
      <c r="K437" s="246">
        <f t="shared" si="169"/>
        <v>166649.13128566727</v>
      </c>
      <c r="L437" s="246">
        <f t="shared" si="160"/>
        <v>1047087.3731483466</v>
      </c>
      <c r="M437" s="246">
        <f t="shared" si="148"/>
        <v>161614.37359521509</v>
      </c>
      <c r="N437" s="246">
        <f>SQRT((ABS(AC437)-171.5+'Small Signal'!C$59)^2)</f>
        <v>71.070142618044628</v>
      </c>
      <c r="O437" s="246">
        <f t="shared" si="161"/>
        <v>56.722435563273621</v>
      </c>
      <c r="P437" s="246">
        <f t="shared" si="162"/>
        <v>17.443996941152069</v>
      </c>
      <c r="Q437" s="246">
        <f t="shared" si="170"/>
        <v>166649.13128566727</v>
      </c>
      <c r="R437" s="246" t="str">
        <f t="shared" si="149"/>
        <v>0.161233333333333+4.92131065379723i</v>
      </c>
      <c r="S437" s="246" t="str">
        <f t="shared" si="150"/>
        <v>0.025-0.101598951005908i</v>
      </c>
      <c r="T437" s="246" t="str">
        <f t="shared" si="151"/>
        <v>0.0254027342892393-0.10138580366224i</v>
      </c>
      <c r="U437" s="246" t="str">
        <f t="shared" si="152"/>
        <v>-0.224299501803778+0.457848327905259i</v>
      </c>
      <c r="V437" s="246">
        <f t="shared" si="163"/>
        <v>-5.8513464129314494</v>
      </c>
      <c r="W437" s="246">
        <f t="shared" si="164"/>
        <v>-243.89980619459044</v>
      </c>
      <c r="X437" s="246" t="str">
        <f t="shared" si="153"/>
        <v>0.802510698963431-0.0786082099284321i</v>
      </c>
      <c r="Y437" s="246" t="str">
        <f t="shared" si="154"/>
        <v>0.140551590168577-4.88164010596462i</v>
      </c>
      <c r="Z437" s="246" t="str">
        <f t="shared" si="155"/>
        <v>-0.169504569120215-2.45778235008793i</v>
      </c>
      <c r="AA437" s="246" t="str">
        <f t="shared" si="156"/>
        <v>-0.914355188893995-0.119238554294033i</v>
      </c>
      <c r="AB437" s="246">
        <f t="shared" si="165"/>
        <v>-0.70446594471768764</v>
      </c>
      <c r="AC437" s="246">
        <f t="shared" si="166"/>
        <v>-172.57014261804463</v>
      </c>
      <c r="AD437" s="248">
        <f t="shared" si="167"/>
        <v>-16.739530996434382</v>
      </c>
      <c r="AE437" s="248">
        <f t="shared" si="168"/>
        <v>115.84770705477101</v>
      </c>
      <c r="AF437" s="246">
        <f t="shared" si="157"/>
        <v>-17.443996941152069</v>
      </c>
      <c r="AG437" s="246">
        <f t="shared" si="158"/>
        <v>-56.722435563273621</v>
      </c>
      <c r="AH437" s="249" t="str">
        <f t="shared" si="159"/>
        <v>0.063458617943351-0.130991995734861i</v>
      </c>
    </row>
    <row r="438" spans="2:34" x14ac:dyDescent="0.2">
      <c r="I438" s="246">
        <v>434</v>
      </c>
      <c r="J438" s="246">
        <f t="shared" si="147"/>
        <v>5.2315531766239953</v>
      </c>
      <c r="K438" s="246">
        <f t="shared" si="169"/>
        <v>170432.79907681391</v>
      </c>
      <c r="L438" s="246">
        <f t="shared" si="160"/>
        <v>1070860.8590209277</v>
      </c>
      <c r="M438" s="246">
        <f t="shared" si="148"/>
        <v>165483.94727643963</v>
      </c>
      <c r="N438" s="246">
        <f>SQRT((ABS(AC438)-171.5+'Small Signal'!C$59)^2)</f>
        <v>71.548638394076505</v>
      </c>
      <c r="O438" s="246">
        <f t="shared" si="161"/>
        <v>57.699779401726772</v>
      </c>
      <c r="P438" s="246">
        <f t="shared" si="162"/>
        <v>17.524716985316356</v>
      </c>
      <c r="Q438" s="246">
        <f t="shared" si="170"/>
        <v>170432.79907681391</v>
      </c>
      <c r="R438" s="246" t="str">
        <f t="shared" si="149"/>
        <v>0.161233333333333+5.03304603739836i</v>
      </c>
      <c r="S438" s="246" t="str">
        <f t="shared" si="150"/>
        <v>0.025-0.0993434187338483i</v>
      </c>
      <c r="T438" s="246" t="str">
        <f t="shared" si="151"/>
        <v>0.0253839091729719-0.0991350811777019i</v>
      </c>
      <c r="U438" s="246" t="str">
        <f t="shared" si="152"/>
        <v>-0.219715257295557+0.447830560491431i</v>
      </c>
      <c r="V438" s="246">
        <f t="shared" si="163"/>
        <v>-6.0410248743681985</v>
      </c>
      <c r="W438" s="246">
        <f t="shared" si="164"/>
        <v>-243.86644270093601</v>
      </c>
      <c r="X438" s="246" t="str">
        <f t="shared" si="153"/>
        <v>0.793441144880657-0.0803929618184138i</v>
      </c>
      <c r="Y438" s="246" t="str">
        <f t="shared" si="154"/>
        <v>0.13437446389152-4.77327411485923i</v>
      </c>
      <c r="Z438" s="246" t="str">
        <f t="shared" si="155"/>
        <v>-0.173368699716285-2.37613893155206i</v>
      </c>
      <c r="AA438" s="246" t="str">
        <f t="shared" si="156"/>
        <v>-0.923484967624603-0.112594013679784i</v>
      </c>
      <c r="AB438" s="246">
        <f t="shared" si="165"/>
        <v>-0.62731975731255996</v>
      </c>
      <c r="AC438" s="246">
        <f t="shared" si="166"/>
        <v>-173.04863839407651</v>
      </c>
      <c r="AD438" s="248">
        <f t="shared" si="167"/>
        <v>-16.897397228003797</v>
      </c>
      <c r="AE438" s="248">
        <f t="shared" si="168"/>
        <v>115.34885899234973</v>
      </c>
      <c r="AF438" s="246">
        <f t="shared" si="157"/>
        <v>-17.524716985316356</v>
      </c>
      <c r="AG438" s="246">
        <f t="shared" si="158"/>
        <v>-57.699779401726772</v>
      </c>
      <c r="AH438" s="249" t="str">
        <f t="shared" si="159"/>
        <v>0.0611933803934275-0.129170390020234i</v>
      </c>
    </row>
    <row r="439" spans="2:34" x14ac:dyDescent="0.2">
      <c r="I439" s="246">
        <v>435</v>
      </c>
      <c r="J439" s="246">
        <f t="shared" si="147"/>
        <v>5.2413032991507791</v>
      </c>
      <c r="K439" s="246">
        <f t="shared" si="169"/>
        <v>174302.37275803846</v>
      </c>
      <c r="L439" s="246">
        <f t="shared" si="160"/>
        <v>1095174.1075198466</v>
      </c>
      <c r="M439" s="246">
        <f t="shared" si="148"/>
        <v>169441.37728904776</v>
      </c>
      <c r="N439" s="246">
        <f>SQRT((ABS(AC439)-171.5+'Small Signal'!C$59)^2)</f>
        <v>72.042629397870883</v>
      </c>
      <c r="O439" s="246">
        <f t="shared" si="161"/>
        <v>58.685709027740131</v>
      </c>
      <c r="P439" s="246">
        <f t="shared" si="162"/>
        <v>17.602543376177579</v>
      </c>
      <c r="Q439" s="246">
        <f t="shared" si="170"/>
        <v>174302.37275803846</v>
      </c>
      <c r="R439" s="246" t="str">
        <f t="shared" si="149"/>
        <v>0.161233333333333+5.14731830534328i</v>
      </c>
      <c r="S439" s="246" t="str">
        <f t="shared" si="150"/>
        <v>0.025-0.0971379600676653i</v>
      </c>
      <c r="T439" s="246" t="str">
        <f t="shared" si="151"/>
        <v>0.0253659105993368-0.0969343204500767i</v>
      </c>
      <c r="U439" s="246" t="str">
        <f t="shared" si="152"/>
        <v>-0.215332227568999+0.438025631080168i</v>
      </c>
      <c r="V439" s="246">
        <f t="shared" si="163"/>
        <v>-6.2299548852919955</v>
      </c>
      <c r="W439" s="246">
        <f t="shared" si="164"/>
        <v>-243.82139219702589</v>
      </c>
      <c r="X439" s="246" t="str">
        <f t="shared" si="153"/>
        <v>0.783955078050971-0.0822182354212255i</v>
      </c>
      <c r="Y439" s="246" t="str">
        <f t="shared" si="154"/>
        <v>0.128469060644663-4.66731333885588i</v>
      </c>
      <c r="Z439" s="246" t="str">
        <f t="shared" si="155"/>
        <v>-0.177062851683174-2.29569276518599i</v>
      </c>
      <c r="AA439" s="246" t="str">
        <f t="shared" si="156"/>
        <v>-0.933122222425887-0.105612630317097i</v>
      </c>
      <c r="AB439" s="246">
        <f t="shared" si="165"/>
        <v>-0.54594884766812224</v>
      </c>
      <c r="AC439" s="246">
        <f t="shared" si="166"/>
        <v>-173.54262939787088</v>
      </c>
      <c r="AD439" s="248">
        <f t="shared" si="167"/>
        <v>-17.056594528509457</v>
      </c>
      <c r="AE439" s="248">
        <f t="shared" si="168"/>
        <v>114.85692037013075</v>
      </c>
      <c r="AF439" s="246">
        <f t="shared" si="157"/>
        <v>-17.602543376177579</v>
      </c>
      <c r="AG439" s="246">
        <f t="shared" si="158"/>
        <v>-58.685709027740131</v>
      </c>
      <c r="AH439" s="249" t="str">
        <f t="shared" si="159"/>
        <v>0.0589909178016656-0.127335664781289i</v>
      </c>
    </row>
    <row r="440" spans="2:34" x14ac:dyDescent="0.2">
      <c r="I440" s="246">
        <v>436</v>
      </c>
      <c r="J440" s="246">
        <f t="shared" si="147"/>
        <v>5.2510534216775619</v>
      </c>
      <c r="K440" s="246">
        <f t="shared" si="169"/>
        <v>178259.80277064658</v>
      </c>
      <c r="L440" s="246">
        <f t="shared" si="160"/>
        <v>1120039.3736292575</v>
      </c>
      <c r="M440" s="246">
        <f t="shared" si="148"/>
        <v>173488.65835793805</v>
      </c>
      <c r="N440" s="246">
        <f>SQRT((ABS(AC440)-171.5+'Small Signal'!C$59)^2)</f>
        <v>72.554058499069953</v>
      </c>
      <c r="O440" s="246">
        <f t="shared" si="161"/>
        <v>59.682114179106918</v>
      </c>
      <c r="P440" s="246">
        <f t="shared" si="162"/>
        <v>17.677265277091657</v>
      </c>
      <c r="Q440" s="246">
        <f t="shared" si="170"/>
        <v>178259.80277064658</v>
      </c>
      <c r="R440" s="246" t="str">
        <f t="shared" si="149"/>
        <v>0.161233333333333+5.26418505605751i</v>
      </c>
      <c r="S440" s="246" t="str">
        <f t="shared" si="150"/>
        <v>0.025-0.0949814633557857i</v>
      </c>
      <c r="T440" s="246" t="str">
        <f t="shared" si="151"/>
        <v>0.0253487022790028-0.0947824126410918i</v>
      </c>
      <c r="U440" s="246" t="str">
        <f t="shared" si="152"/>
        <v>-0.211141583738919+0.428429438294841i</v>
      </c>
      <c r="V440" s="246">
        <f t="shared" si="163"/>
        <v>-6.4181274130271415</v>
      </c>
      <c r="W440" s="246">
        <f t="shared" si="164"/>
        <v>-243.76467854028579</v>
      </c>
      <c r="X440" s="246" t="str">
        <f t="shared" si="153"/>
        <v>0.774033370426099-0.0840849507578624i</v>
      </c>
      <c r="Y440" s="246" t="str">
        <f t="shared" si="154"/>
        <v>0.12282340684391-4.56370441897823i</v>
      </c>
      <c r="Z440" s="246" t="str">
        <f t="shared" si="155"/>
        <v>-0.18059451528309-2.21640333195709i</v>
      </c>
      <c r="AA440" s="246" t="str">
        <f t="shared" si="156"/>
        <v>-0.943296532453558-0.0982447187530696i</v>
      </c>
      <c r="AB440" s="246">
        <f t="shared" si="165"/>
        <v>-0.4601796540257605</v>
      </c>
      <c r="AC440" s="246">
        <f t="shared" si="166"/>
        <v>-174.05405849906995</v>
      </c>
      <c r="AD440" s="248">
        <f t="shared" si="167"/>
        <v>-17.217085623065895</v>
      </c>
      <c r="AE440" s="248">
        <f t="shared" si="168"/>
        <v>114.37194431996303</v>
      </c>
      <c r="AF440" s="246">
        <f t="shared" si="157"/>
        <v>-17.677265277091657</v>
      </c>
      <c r="AG440" s="246">
        <f t="shared" si="158"/>
        <v>-59.682114179106918</v>
      </c>
      <c r="AH440" s="249" t="str">
        <f t="shared" si="159"/>
        <v>0.0568507846044228-0.125490158219672i</v>
      </c>
    </row>
    <row r="441" spans="2:34" x14ac:dyDescent="0.2">
      <c r="I441" s="246">
        <v>437</v>
      </c>
      <c r="J441" s="246">
        <f t="shared" si="147"/>
        <v>5.2608035442043457</v>
      </c>
      <c r="K441" s="246">
        <f t="shared" si="169"/>
        <v>182307.08383953688</v>
      </c>
      <c r="L441" s="246">
        <f t="shared" si="160"/>
        <v>1145469.1905753352</v>
      </c>
      <c r="M441" s="246">
        <f t="shared" si="148"/>
        <v>177627.83049703008</v>
      </c>
      <c r="N441" s="246">
        <f>SQRT((ABS(AC441)-171.5+'Small Signal'!C$59)^2)</f>
        <v>73.085058476626727</v>
      </c>
      <c r="O441" s="246">
        <f t="shared" si="161"/>
        <v>60.691083681096856</v>
      </c>
      <c r="P441" s="246">
        <f t="shared" si="162"/>
        <v>17.748666119847094</v>
      </c>
      <c r="Q441" s="246">
        <f t="shared" si="170"/>
        <v>182307.08383953688</v>
      </c>
      <c r="R441" s="246" t="str">
        <f t="shared" si="149"/>
        <v>0.161233333333333+5.38370519570408i</v>
      </c>
      <c r="S441" s="246" t="str">
        <f t="shared" si="150"/>
        <v>0.025-0.0928728416256842i</v>
      </c>
      <c r="T441" s="246" t="str">
        <f t="shared" si="151"/>
        <v>0.0253322495158214-0.0926782735075594i</v>
      </c>
      <c r="U441" s="246" t="str">
        <f t="shared" si="152"/>
        <v>-0.207134884053683+0.419037931077722i</v>
      </c>
      <c r="V441" s="246">
        <f t="shared" si="163"/>
        <v>-6.6055323384648617</v>
      </c>
      <c r="W441" s="246">
        <f t="shared" si="164"/>
        <v>-243.69632550708064</v>
      </c>
      <c r="X441" s="246" t="str">
        <f t="shared" si="153"/>
        <v>0.763656015515905-0.0859940487378413i</v>
      </c>
      <c r="Y441" s="246" t="str">
        <f t="shared" si="154"/>
        <v>0.117426058313553-4.46239517817814i</v>
      </c>
      <c r="Z441" s="246" t="str">
        <f t="shared" si="155"/>
        <v>-0.183970849591229-2.13823069379951i</v>
      </c>
      <c r="AA441" s="246" t="str">
        <f t="shared" si="156"/>
        <v>-0.954038599042892-0.0904342219353292i</v>
      </c>
      <c r="AB441" s="246">
        <f t="shared" si="165"/>
        <v>-0.36983258858893192</v>
      </c>
      <c r="AC441" s="246">
        <f t="shared" si="166"/>
        <v>-174.58505847662673</v>
      </c>
      <c r="AD441" s="248">
        <f t="shared" si="167"/>
        <v>-17.378833531258163</v>
      </c>
      <c r="AE441" s="248">
        <f t="shared" si="168"/>
        <v>113.89397479552987</v>
      </c>
      <c r="AF441" s="246">
        <f t="shared" si="157"/>
        <v>-17.748666119847094</v>
      </c>
      <c r="AG441" s="246">
        <f t="shared" si="158"/>
        <v>-60.691083681096856</v>
      </c>
      <c r="AH441" s="249" t="str">
        <f t="shared" si="159"/>
        <v>0.0547724380380959-0.123636131186647i</v>
      </c>
    </row>
    <row r="442" spans="2:34" x14ac:dyDescent="0.2">
      <c r="I442" s="246">
        <v>438</v>
      </c>
      <c r="J442" s="246">
        <f t="shared" si="147"/>
        <v>5.2705536667311286</v>
      </c>
      <c r="K442" s="246">
        <f t="shared" si="169"/>
        <v>186446.25597862891</v>
      </c>
      <c r="L442" s="246">
        <f t="shared" si="160"/>
        <v>1171476.3761435652</v>
      </c>
      <c r="M442" s="246">
        <f t="shared" si="148"/>
        <v>181860.98003752783</v>
      </c>
      <c r="N442" s="246">
        <f>SQRT((ABS(AC442)-171.5+'Small Signal'!C$59)^2)</f>
        <v>73.637974191651551</v>
      </c>
      <c r="O442" s="246">
        <f t="shared" si="161"/>
        <v>61.714927305822059</v>
      </c>
      <c r="P442" s="246">
        <f t="shared" si="162"/>
        <v>17.816524372740119</v>
      </c>
      <c r="Q442" s="246">
        <f t="shared" si="170"/>
        <v>186446.25597862891</v>
      </c>
      <c r="R442" s="246" t="str">
        <f t="shared" si="149"/>
        <v>0.161233333333333+5.50593896787476i</v>
      </c>
      <c r="S442" s="246" t="str">
        <f t="shared" si="150"/>
        <v>0.025-0.0908110320360119i</v>
      </c>
      <c r="T442" s="246" t="str">
        <f t="shared" si="151"/>
        <v>0.0253165191368906-0.0906208428567704i</v>
      </c>
      <c r="U442" s="246" t="str">
        <f t="shared" si="152"/>
        <v>-0.20330405694282+0.409847110237607i</v>
      </c>
      <c r="V442" s="246">
        <f t="shared" si="163"/>
        <v>-6.7921584584201158</v>
      </c>
      <c r="W442" s="246">
        <f t="shared" si="164"/>
        <v>-243.61635694920724</v>
      </c>
      <c r="X442" s="246" t="str">
        <f t="shared" si="153"/>
        <v>0.752802088046589-0.0879464916334596i</v>
      </c>
      <c r="Y442" s="246" t="str">
        <f t="shared" si="154"/>
        <v>0.112266076725735-4.36333459529165i</v>
      </c>
      <c r="Z442" s="246" t="str">
        <f t="shared" si="155"/>
        <v>-0.187198697235357-2.06113547363569i</v>
      </c>
      <c r="AA442" s="246" t="str">
        <f t="shared" si="156"/>
        <v>-0.965380045749193-0.0821177692717766i</v>
      </c>
      <c r="AB442" s="246">
        <f t="shared" si="165"/>
        <v>-0.2747227497877609</v>
      </c>
      <c r="AC442" s="246">
        <f t="shared" si="166"/>
        <v>-175.13797419165155</v>
      </c>
      <c r="AD442" s="248">
        <f t="shared" si="167"/>
        <v>-17.541801622952359</v>
      </c>
      <c r="AE442" s="248">
        <f t="shared" si="168"/>
        <v>113.42304688582949</v>
      </c>
      <c r="AF442" s="246">
        <f t="shared" si="157"/>
        <v>-17.816524372740119</v>
      </c>
      <c r="AG442" s="246">
        <f t="shared" si="158"/>
        <v>-61.714927305822059</v>
      </c>
      <c r="AH442" s="249" t="str">
        <f t="shared" si="159"/>
        <v>0.0527552452948271-0.12177576404939i</v>
      </c>
    </row>
    <row r="443" spans="2:34" x14ac:dyDescent="0.2">
      <c r="I443" s="246">
        <v>439</v>
      </c>
      <c r="J443" s="246">
        <f t="shared" si="147"/>
        <v>5.2803037892579123</v>
      </c>
      <c r="K443" s="246">
        <f t="shared" si="169"/>
        <v>190679.40551912665</v>
      </c>
      <c r="L443" s="246">
        <f t="shared" si="160"/>
        <v>1198074.0391395148</v>
      </c>
      <c r="M443" s="246">
        <f t="shared" si="148"/>
        <v>186190.24067952356</v>
      </c>
      <c r="N443" s="246">
        <f>SQRT((ABS(AC443)-171.5+'Small Signal'!C$59)^2)</f>
        <v>74.215387569819171</v>
      </c>
      <c r="O443" s="246">
        <f t="shared" si="161"/>
        <v>62.756200430080497</v>
      </c>
      <c r="P443" s="246">
        <f t="shared" si="162"/>
        <v>17.880614594297917</v>
      </c>
      <c r="Q443" s="246">
        <f t="shared" si="170"/>
        <v>190679.40551912665</v>
      </c>
      <c r="R443" s="246" t="str">
        <f t="shared" si="149"/>
        <v>0.161233333333333+5.63094798395572i</v>
      </c>
      <c r="S443" s="246" t="str">
        <f t="shared" si="150"/>
        <v>0.025-0.0887949953408651i</v>
      </c>
      <c r="T443" s="246" t="str">
        <f t="shared" si="151"/>
        <v>0.0253014794256886-0.0886090840138622i</v>
      </c>
      <c r="U443" s="246" t="str">
        <f t="shared" si="152"/>
        <v>-0.199641384804943+0.400853029788207i</v>
      </c>
      <c r="V443" s="246">
        <f t="shared" si="163"/>
        <v>-6.9779934885126043</v>
      </c>
      <c r="W443" s="246">
        <f t="shared" si="164"/>
        <v>-243.52479696475609</v>
      </c>
      <c r="X443" s="246" t="str">
        <f t="shared" si="153"/>
        <v>0.741449701766204-0.0899432635648264i</v>
      </c>
      <c r="Y443" s="246" t="str">
        <f t="shared" si="154"/>
        <v>0.107333007101768-4.26647277955835i</v>
      </c>
      <c r="Z443" s="246" t="str">
        <f t="shared" si="155"/>
        <v>-0.1902845984711-1.98507883566919i</v>
      </c>
      <c r="AA443" s="246" t="str">
        <f t="shared" si="156"/>
        <v>-0.97735311874576-0.0732235898784716i</v>
      </c>
      <c r="AB443" s="246">
        <f t="shared" si="165"/>
        <v>-0.17466092444446912</v>
      </c>
      <c r="AC443" s="246">
        <f t="shared" si="166"/>
        <v>-175.71538756981917</v>
      </c>
      <c r="AD443" s="248">
        <f t="shared" si="167"/>
        <v>-17.705953669853447</v>
      </c>
      <c r="AE443" s="248">
        <f t="shared" si="168"/>
        <v>112.95918713973867</v>
      </c>
      <c r="AF443" s="246">
        <f t="shared" si="157"/>
        <v>-17.880614594297917</v>
      </c>
      <c r="AG443" s="246">
        <f t="shared" si="158"/>
        <v>-62.756200430080497</v>
      </c>
      <c r="AH443" s="249" t="str">
        <f t="shared" si="159"/>
        <v>0.0507984906305522-0.119911154146347i</v>
      </c>
    </row>
    <row r="444" spans="2:34" x14ac:dyDescent="0.2">
      <c r="I444" s="246">
        <v>440</v>
      </c>
      <c r="J444" s="246">
        <f t="shared" si="147"/>
        <v>5.290053911784697</v>
      </c>
      <c r="K444" s="246">
        <f t="shared" si="169"/>
        <v>195008.66616112238</v>
      </c>
      <c r="L444" s="246">
        <f t="shared" si="160"/>
        <v>1225275.5859962532</v>
      </c>
      <c r="M444" s="246">
        <f t="shared" si="148"/>
        <v>190617.79456747894</v>
      </c>
      <c r="N444" s="246">
        <f>SQRT((ABS(AC444)-171.5+'Small Signal'!C$59)^2)</f>
        <v>74.820145732948532</v>
      </c>
      <c r="O444" s="246">
        <f t="shared" si="161"/>
        <v>63.817731833542666</v>
      </c>
      <c r="P444" s="246">
        <f t="shared" si="162"/>
        <v>17.940708852750056</v>
      </c>
      <c r="Q444" s="246">
        <f t="shared" si="170"/>
        <v>195008.66616112238</v>
      </c>
      <c r="R444" s="246" t="str">
        <f t="shared" si="149"/>
        <v>0.161233333333333+5.75879525418239i</v>
      </c>
      <c r="S444" s="246" t="str">
        <f t="shared" si="150"/>
        <v>0.025-0.0868237153659645i</v>
      </c>
      <c r="T444" s="246" t="str">
        <f t="shared" si="151"/>
        <v>0.0252871000581421-0.0866419833009478i</v>
      </c>
      <c r="U444" s="246" t="str">
        <f t="shared" si="152"/>
        <v>-0.196139488503804+0.392051798093603i</v>
      </c>
      <c r="V444" s="246">
        <f t="shared" si="163"/>
        <v>-7.163024066672639</v>
      </c>
      <c r="W444" s="246">
        <f t="shared" si="164"/>
        <v>-243.42167008325316</v>
      </c>
      <c r="X444" s="246" t="str">
        <f t="shared" si="153"/>
        <v>0.729575965312426-0.0919853709959029i</v>
      </c>
      <c r="Y444" s="246" t="str">
        <f t="shared" si="154"/>
        <v>0.102616856325715-4.1717609456924i</v>
      </c>
      <c r="Z444" s="246" t="str">
        <f t="shared" si="155"/>
        <v>-0.193234804623857-1.91002246593936i</v>
      </c>
      <c r="AA444" s="246" t="str">
        <f t="shared" si="156"/>
        <v>-0.989990254982699-0.0636702604284535i</v>
      </c>
      <c r="AB444" s="246">
        <f t="shared" si="165"/>
        <v>-6.9454959898767196E-2</v>
      </c>
      <c r="AC444" s="246">
        <f t="shared" si="166"/>
        <v>-176.32014573294853</v>
      </c>
      <c r="AD444" s="248">
        <f t="shared" si="167"/>
        <v>-17.871253892851289</v>
      </c>
      <c r="AE444" s="248">
        <f t="shared" si="168"/>
        <v>112.50241389940587</v>
      </c>
      <c r="AF444" s="246">
        <f t="shared" si="157"/>
        <v>-17.940708852750056</v>
      </c>
      <c r="AG444" s="246">
        <f t="shared" si="158"/>
        <v>-63.817731833542666</v>
      </c>
      <c r="AH444" s="249" t="str">
        <f t="shared" si="159"/>
        <v>0.0489013823823692-0.118044313802996i</v>
      </c>
    </row>
    <row r="445" spans="2:34" x14ac:dyDescent="0.2">
      <c r="I445" s="246">
        <v>441</v>
      </c>
      <c r="J445" s="246">
        <f t="shared" si="147"/>
        <v>5.2998040343114798</v>
      </c>
      <c r="K445" s="246">
        <f t="shared" si="169"/>
        <v>199436.22004907776</v>
      </c>
      <c r="L445" s="246">
        <f t="shared" si="160"/>
        <v>1253094.7275318003</v>
      </c>
      <c r="M445" s="246">
        <f t="shared" si="148"/>
        <v>195145.87339012974</v>
      </c>
      <c r="N445" s="246">
        <f>SQRT((ABS(AC445)-171.5+'Small Signal'!C$59)^2)</f>
        <v>75.455392641643016</v>
      </c>
      <c r="O445" s="246">
        <f t="shared" si="161"/>
        <v>64.902655001316717</v>
      </c>
      <c r="P445" s="246">
        <f t="shared" si="162"/>
        <v>17.996578612286608</v>
      </c>
      <c r="Q445" s="246">
        <f t="shared" si="170"/>
        <v>199436.22004907776</v>
      </c>
      <c r="R445" s="246" t="str">
        <f t="shared" si="149"/>
        <v>0.161233333333333+5.88954521939946i</v>
      </c>
      <c r="S445" s="246" t="str">
        <f t="shared" si="150"/>
        <v>0.025-0.0848961984964578i</v>
      </c>
      <c r="T445" s="246" t="str">
        <f t="shared" si="151"/>
        <v>0.0252733520415-0.0847185495277171i</v>
      </c>
      <c r="U445" s="246" t="str">
        <f t="shared" si="152"/>
        <v>-0.192791312541782+0.38343957883576i</v>
      </c>
      <c r="V445" s="246">
        <f t="shared" si="163"/>
        <v>-7.3472357573836238</v>
      </c>
      <c r="W445" s="246">
        <f t="shared" si="164"/>
        <v>-243.30700146494016</v>
      </c>
      <c r="X445" s="246" t="str">
        <f t="shared" si="153"/>
        <v>0.717156936053588-0.0940738432418052i</v>
      </c>
      <c r="Y445" s="246" t="str">
        <f t="shared" si="154"/>
        <v>0.0981080726242637-4.0791513894944i</v>
      </c>
      <c r="Z445" s="246" t="str">
        <f t="shared" si="155"/>
        <v>-0.196055290926197-1.83592855312939i</v>
      </c>
      <c r="AA445" s="246" t="str">
        <f t="shared" si="156"/>
        <v>-1.00332347566465-0.0533652655710419i</v>
      </c>
      <c r="AB445" s="246">
        <f t="shared" si="165"/>
        <v>4.1088392933549552E-2</v>
      </c>
      <c r="AC445" s="246">
        <f t="shared" si="166"/>
        <v>-176.95539264164302</v>
      </c>
      <c r="AD445" s="248">
        <f t="shared" si="167"/>
        <v>-18.037667005220158</v>
      </c>
      <c r="AE445" s="248">
        <f t="shared" si="168"/>
        <v>112.0527376403263</v>
      </c>
      <c r="AF445" s="246">
        <f t="shared" si="157"/>
        <v>-17.996578612286608</v>
      </c>
      <c r="AG445" s="246">
        <f t="shared" si="158"/>
        <v>-64.902655001316717</v>
      </c>
      <c r="AH445" s="249" t="str">
        <f t="shared" si="159"/>
        <v>0.0470630598567688-0.11617716887705i</v>
      </c>
    </row>
    <row r="446" spans="2:34" x14ac:dyDescent="0.2">
      <c r="I446" s="246">
        <v>442</v>
      </c>
      <c r="J446" s="246">
        <f t="shared" si="147"/>
        <v>5.3095541568382636</v>
      </c>
      <c r="K446" s="246">
        <f t="shared" si="169"/>
        <v>203964.29887172856</v>
      </c>
      <c r="L446" s="246">
        <f t="shared" si="160"/>
        <v>1281545.4858600309</v>
      </c>
      <c r="M446" s="246">
        <f t="shared" si="148"/>
        <v>199776.75950535233</v>
      </c>
      <c r="N446" s="246">
        <f>SQRT((ABS(AC446)-171.5+'Small Signal'!C$59)^2)</f>
        <v>76.124604623609116</v>
      </c>
      <c r="O446" s="246">
        <f t="shared" si="161"/>
        <v>66.01444330752156</v>
      </c>
      <c r="P446" s="246">
        <f t="shared" si="162"/>
        <v>18.047997213427582</v>
      </c>
      <c r="Q446" s="246">
        <f t="shared" si="170"/>
        <v>203964.29887172856</v>
      </c>
      <c r="R446" s="246" t="str">
        <f t="shared" si="149"/>
        <v>0.161233333333333+6.02326378354214i</v>
      </c>
      <c r="S446" s="246" t="str">
        <f t="shared" si="150"/>
        <v>0.025-0.0830114731760861i</v>
      </c>
      <c r="T446" s="246" t="str">
        <f t="shared" si="151"/>
        <v>0.0252602076558902-0.0828378134932704i</v>
      </c>
      <c r="U446" s="246" t="str">
        <f t="shared" si="152"/>
        <v>-0.189590110881277+0.375012591818013i</v>
      </c>
      <c r="V446" s="246">
        <f t="shared" si="163"/>
        <v>-7.5306130567837872</v>
      </c>
      <c r="W446" s="246">
        <f t="shared" si="164"/>
        <v>-243.1808171140305</v>
      </c>
      <c r="X446" s="246" t="str">
        <f t="shared" si="153"/>
        <v>0.704167571809879-0.0962097329876285i</v>
      </c>
      <c r="Y446" s="246" t="str">
        <f t="shared" si="154"/>
        <v>0.0937975259680179-3.98859746399295i</v>
      </c>
      <c r="Z446" s="246" t="str">
        <f t="shared" si="155"/>
        <v>-0.198751768778748-1.76275976961846i</v>
      </c>
      <c r="AA446" s="246" t="str">
        <f t="shared" si="156"/>
        <v>-1.01738354990521-0.0422033482862481i</v>
      </c>
      <c r="AB446" s="246">
        <f t="shared" si="165"/>
        <v>0.15716103833264231</v>
      </c>
      <c r="AC446" s="246">
        <f t="shared" si="166"/>
        <v>-177.62460462360912</v>
      </c>
      <c r="AD446" s="248">
        <f t="shared" si="167"/>
        <v>-18.205158251760224</v>
      </c>
      <c r="AE446" s="248">
        <f t="shared" si="168"/>
        <v>111.61016131608756</v>
      </c>
      <c r="AF446" s="246">
        <f t="shared" si="157"/>
        <v>-18.047997213427582</v>
      </c>
      <c r="AG446" s="246">
        <f t="shared" si="158"/>
        <v>-66.01444330752156</v>
      </c>
      <c r="AH446" s="249" t="str">
        <f t="shared" si="159"/>
        <v>0.0452826000548356-0.114311557800357i</v>
      </c>
    </row>
    <row r="447" spans="2:34" x14ac:dyDescent="0.2">
      <c r="I447" s="246">
        <v>443</v>
      </c>
      <c r="J447" s="246">
        <f t="shared" si="147"/>
        <v>5.3193042793650465</v>
      </c>
      <c r="K447" s="246">
        <f t="shared" si="169"/>
        <v>208595.18498695115</v>
      </c>
      <c r="L447" s="246">
        <f t="shared" si="160"/>
        <v>1310642.2014584192</v>
      </c>
      <c r="M447" s="246">
        <f t="shared" si="148"/>
        <v>204512.78709058184</v>
      </c>
      <c r="N447" s="246">
        <f>SQRT((ABS(AC447)-171.5+'Small Signal'!C$59)^2)</f>
        <v>76.831630158231405</v>
      </c>
      <c r="O447" s="246">
        <f t="shared" si="161"/>
        <v>67.156949452332256</v>
      </c>
      <c r="P447" s="246">
        <f t="shared" si="162"/>
        <v>18.094743107747821</v>
      </c>
      <c r="Q447" s="246">
        <f t="shared" si="170"/>
        <v>208595.18498695115</v>
      </c>
      <c r="R447" s="246" t="str">
        <f t="shared" si="149"/>
        <v>0.161233333333333+6.16001834685457i</v>
      </c>
      <c r="S447" s="246" t="str">
        <f t="shared" si="150"/>
        <v>0.025-0.0811685894174831i</v>
      </c>
      <c r="T447" s="246" t="str">
        <f t="shared" si="151"/>
        <v>0.0252476403984416-0.0809988274989523i</v>
      </c>
      <c r="U447" s="246" t="str">
        <f t="shared" si="152"/>
        <v>-0.186529433385908+0.366767113617687i</v>
      </c>
      <c r="V447" s="246">
        <f t="shared" si="163"/>
        <v>-7.7131393987528618</v>
      </c>
      <c r="W447" s="246">
        <f t="shared" si="164"/>
        <v>-243.04314410573073</v>
      </c>
      <c r="X447" s="246" t="str">
        <f t="shared" si="153"/>
        <v>0.690581680357402-0.0983941168190454i</v>
      </c>
      <c r="Y447" s="246" t="str">
        <f t="shared" si="154"/>
        <v>0.0896764893524071-3.90005355610501i</v>
      </c>
      <c r="Z447" s="246" t="str">
        <f t="shared" si="155"/>
        <v>-0.201329697460774-1.69047925276939i</v>
      </c>
      <c r="AA447" s="246" t="str">
        <f t="shared" si="156"/>
        <v>-1.03219885710062-0.0300646284538088i</v>
      </c>
      <c r="AB447" s="246">
        <f t="shared" si="165"/>
        <v>0.27895033623762155</v>
      </c>
      <c r="AC447" s="246">
        <f t="shared" si="166"/>
        <v>-178.33163015823141</v>
      </c>
      <c r="AD447" s="248">
        <f t="shared" si="167"/>
        <v>-18.373693443985442</v>
      </c>
      <c r="AE447" s="248">
        <f t="shared" si="168"/>
        <v>111.17468070589915</v>
      </c>
      <c r="AF447" s="246">
        <f t="shared" si="157"/>
        <v>-18.094743107747821</v>
      </c>
      <c r="AG447" s="246">
        <f t="shared" si="158"/>
        <v>-67.156949452332256</v>
      </c>
      <c r="AH447" s="249" t="str">
        <f t="shared" si="159"/>
        <v>0.0435590242049955-0.112449231083587i</v>
      </c>
    </row>
    <row r="448" spans="2:34" x14ac:dyDescent="0.2">
      <c r="I448" s="246">
        <v>444</v>
      </c>
      <c r="J448" s="246">
        <f t="shared" si="147"/>
        <v>5.3290544018918302</v>
      </c>
      <c r="K448" s="246">
        <f t="shared" si="169"/>
        <v>213331.21257218067</v>
      </c>
      <c r="L448" s="246">
        <f t="shared" si="160"/>
        <v>1340399.5403963306</v>
      </c>
      <c r="M448" s="246">
        <f t="shared" si="148"/>
        <v>209356.34331933872</v>
      </c>
      <c r="N448" s="246">
        <f>SQRT((ABS(AC448)-171.5+'Small Signal'!C$59)^2)</f>
        <v>77.580734256429878</v>
      </c>
      <c r="O448" s="246">
        <f t="shared" si="161"/>
        <v>68.334449493275955</v>
      </c>
      <c r="P448" s="246">
        <f t="shared" si="162"/>
        <v>18.136604048295059</v>
      </c>
      <c r="Q448" s="246">
        <f t="shared" si="170"/>
        <v>213331.21257218067</v>
      </c>
      <c r="R448" s="246" t="str">
        <f t="shared" si="149"/>
        <v>0.161233333333333+6.29987783986275i</v>
      </c>
      <c r="S448" s="246" t="str">
        <f t="shared" si="150"/>
        <v>0.025-0.0793666183233313i</v>
      </c>
      <c r="T448" s="246" t="str">
        <f t="shared" si="151"/>
        <v>0.0252356249298582-0.0792006648719247i</v>
      </c>
      <c r="U448" s="246" t="str">
        <f t="shared" si="152"/>
        <v>-0.183603112854487+0.358699478099805i</v>
      </c>
      <c r="V448" s="246">
        <f t="shared" si="163"/>
        <v>-7.8947971621241635</v>
      </c>
      <c r="W448" s="246">
        <f t="shared" si="164"/>
        <v>-242.89401082676653</v>
      </c>
      <c r="X448" s="246" t="str">
        <f t="shared" si="153"/>
        <v>0.676371866613213-0.100628095764957i</v>
      </c>
      <c r="Y448" s="246" t="str">
        <f t="shared" si="154"/>
        <v>0.0857366209175754-3.81347506380464i</v>
      </c>
      <c r="Z448" s="246" t="str">
        <f t="shared" si="155"/>
        <v>-0.203794295315848-1.61905058644295i</v>
      </c>
      <c r="AA448" s="246" t="str">
        <f t="shared" si="156"/>
        <v>-1.04779385572837-0.0168124714007071i</v>
      </c>
      <c r="AB448" s="246">
        <f t="shared" si="165"/>
        <v>0.40663494318735571</v>
      </c>
      <c r="AC448" s="246">
        <f t="shared" si="166"/>
        <v>-179.08073425642988</v>
      </c>
      <c r="AD448" s="248">
        <f t="shared" si="167"/>
        <v>-18.543238991482415</v>
      </c>
      <c r="AE448" s="248">
        <f t="shared" si="168"/>
        <v>110.74628476315392</v>
      </c>
      <c r="AF448" s="246">
        <f t="shared" si="157"/>
        <v>-18.136604048295059</v>
      </c>
      <c r="AG448" s="246">
        <f t="shared" si="158"/>
        <v>-68.334449493275955</v>
      </c>
      <c r="AH448" s="249" t="str">
        <f t="shared" si="159"/>
        <v>0.0418913040781822-0.110591851249017i</v>
      </c>
    </row>
    <row r="449" spans="9:34" x14ac:dyDescent="0.2">
      <c r="I449" s="246">
        <v>445</v>
      </c>
      <c r="J449" s="246">
        <f t="shared" si="147"/>
        <v>5.3388045244186131</v>
      </c>
      <c r="K449" s="246">
        <f t="shared" si="169"/>
        <v>218174.76880093754</v>
      </c>
      <c r="L449" s="246">
        <f t="shared" si="160"/>
        <v>1370832.501727354</v>
      </c>
      <c r="M449" s="246">
        <f t="shared" si="148"/>
        <v>214309.86956447689</v>
      </c>
      <c r="N449" s="246">
        <f>SQRT((ABS(AC449)-171.5+'Small Signal'!C$59)^2)</f>
        <v>78.37664769998193</v>
      </c>
      <c r="O449" s="246">
        <f t="shared" si="161"/>
        <v>69.551691736567705</v>
      </c>
      <c r="P449" s="246">
        <f t="shared" si="162"/>
        <v>18.173382488021492</v>
      </c>
      <c r="Q449" s="246">
        <f t="shared" si="170"/>
        <v>218174.76880093754</v>
      </c>
      <c r="R449" s="246" t="str">
        <f t="shared" si="149"/>
        <v>0.161233333333333+6.44291275811856i</v>
      </c>
      <c r="S449" s="246" t="str">
        <f t="shared" si="150"/>
        <v>0.025-0.0776046516181618i</v>
      </c>
      <c r="T449" s="246" t="str">
        <f t="shared" si="151"/>
        <v>0.0252241370233385-0.0774424194992639i</v>
      </c>
      <c r="U449" s="246" t="str">
        <f t="shared" si="152"/>
        <v>-0.180805252622014+0.350806076803259i</v>
      </c>
      <c r="V449" s="246">
        <f t="shared" si="163"/>
        <v>-8.0755676791643651</v>
      </c>
      <c r="W449" s="246">
        <f t="shared" si="164"/>
        <v>-242.73344722910309</v>
      </c>
      <c r="X449" s="246" t="str">
        <f t="shared" si="153"/>
        <v>0.661509477394897-0.102912795852457i</v>
      </c>
      <c r="Y449" s="246" t="str">
        <f t="shared" si="154"/>
        <v>0.0819699468693272-3.72881837378959i</v>
      </c>
      <c r="Z449" s="246" t="str">
        <f t="shared" si="155"/>
        <v>-0.206150550436368-1.54843778273027i</v>
      </c>
      <c r="AA449" s="246" t="str">
        <f t="shared" si="156"/>
        <v>-1.06418703988386-0.00229109583544957i</v>
      </c>
      <c r="AB449" s="246">
        <f t="shared" si="165"/>
        <v>0.5403794415525367</v>
      </c>
      <c r="AC449" s="246">
        <f t="shared" si="166"/>
        <v>-179.87664769998193</v>
      </c>
      <c r="AD449" s="248">
        <f t="shared" si="167"/>
        <v>-18.71376192957403</v>
      </c>
      <c r="AE449" s="248">
        <f t="shared" si="168"/>
        <v>110.32495596341423</v>
      </c>
      <c r="AF449" s="246">
        <f t="shared" si="157"/>
        <v>-18.173382488021492</v>
      </c>
      <c r="AG449" s="246">
        <f t="shared" si="158"/>
        <v>-69.551691736567705</v>
      </c>
      <c r="AH449" s="249" t="str">
        <f t="shared" si="159"/>
        <v>0.0402783680644753-0.108740993156493i</v>
      </c>
    </row>
    <row r="450" spans="9:34" x14ac:dyDescent="0.2">
      <c r="I450" s="246">
        <v>446</v>
      </c>
      <c r="J450" s="246">
        <f t="shared" si="147"/>
        <v>5.3485546469453968</v>
      </c>
      <c r="K450" s="246">
        <f t="shared" si="169"/>
        <v>223128.29504607571</v>
      </c>
      <c r="L450" s="246">
        <f t="shared" si="160"/>
        <v>1401956.4250495345</v>
      </c>
      <c r="M450" s="246">
        <f t="shared" si="148"/>
        <v>219375.8626287434</v>
      </c>
      <c r="N450" s="246">
        <f>SQRT((ABS(AC450)-171.5+'Small Signal'!C$59)^2)</f>
        <v>79.224621263298815</v>
      </c>
      <c r="O450" s="246">
        <f t="shared" si="161"/>
        <v>70.813950612959076</v>
      </c>
      <c r="P450" s="246">
        <f t="shared" si="162"/>
        <v>18.204902501357196</v>
      </c>
      <c r="Q450" s="246">
        <f t="shared" si="170"/>
        <v>223128.29504607571</v>
      </c>
      <c r="R450" s="246" t="str">
        <f t="shared" si="149"/>
        <v>0.161233333333333+6.58919519773281i</v>
      </c>
      <c r="S450" s="246" t="str">
        <f t="shared" si="150"/>
        <v>0.025-0.0758818011905368i</v>
      </c>
      <c r="T450" s="246" t="str">
        <f t="shared" si="151"/>
        <v>0.0252131535157367-0.0757232053723377i</v>
      </c>
      <c r="U450" s="246" t="str">
        <f t="shared" si="152"/>
        <v>-0.178130214702961+0.343083359209817i</v>
      </c>
      <c r="V450" s="246">
        <f t="shared" si="163"/>
        <v>-8.2554312454751315</v>
      </c>
      <c r="W450" s="246">
        <f t="shared" si="164"/>
        <v>-242.56148509648381</v>
      </c>
      <c r="X450" s="246" t="str">
        <f t="shared" si="153"/>
        <v>0.645964543643246-0.105249368674408i</v>
      </c>
      <c r="Y450" s="246" t="str">
        <f t="shared" si="154"/>
        <v>0.0783688451642957-3.64604083963504i</v>
      </c>
      <c r="Z450" s="246" t="str">
        <f t="shared" si="155"/>
        <v>-0.208403230869959-1.47860526389433i</v>
      </c>
      <c r="AA450" s="246" t="str">
        <f t="shared" si="156"/>
        <v>-1.0813882318175+0.013677075241068i</v>
      </c>
      <c r="AB450" s="246">
        <f t="shared" si="165"/>
        <v>0.68032744208025964</v>
      </c>
      <c r="AC450" s="246">
        <f t="shared" si="166"/>
        <v>-180.72462126329881</v>
      </c>
      <c r="AD450" s="248">
        <f t="shared" si="167"/>
        <v>-18.885229943437455</v>
      </c>
      <c r="AE450" s="248">
        <f t="shared" si="168"/>
        <v>109.91067065033974</v>
      </c>
      <c r="AF450" s="246">
        <f t="shared" si="157"/>
        <v>-18.204902501357196</v>
      </c>
      <c r="AG450" s="246">
        <f t="shared" si="158"/>
        <v>-70.813950612959076</v>
      </c>
      <c r="AH450" s="249" t="str">
        <f t="shared" si="159"/>
        <v>0.0387191069941338-0.10689814468771i</v>
      </c>
    </row>
    <row r="451" spans="9:34" x14ac:dyDescent="0.2">
      <c r="I451" s="246">
        <v>447</v>
      </c>
      <c r="J451" s="246">
        <f t="shared" si="147"/>
        <v>5.3583047694721797</v>
      </c>
      <c r="K451" s="246">
        <f t="shared" si="169"/>
        <v>228194.28811034223</v>
      </c>
      <c r="L451" s="246">
        <f t="shared" si="160"/>
        <v>1433786.9982372075</v>
      </c>
      <c r="M451" s="246">
        <f t="shared" si="148"/>
        <v>224556.87600328511</v>
      </c>
      <c r="N451" s="246">
        <f>SQRT((ABS(AC451)-171.5+'Small Signal'!C$59)^2)</f>
        <v>80.130484800085384</v>
      </c>
      <c r="O451" s="246">
        <f t="shared" si="161"/>
        <v>72.127085421862674</v>
      </c>
      <c r="P451" s="246">
        <f t="shared" si="162"/>
        <v>18.231018620549577</v>
      </c>
      <c r="Q451" s="246">
        <f t="shared" si="170"/>
        <v>228194.28811034223</v>
      </c>
      <c r="R451" s="246" t="str">
        <f t="shared" si="149"/>
        <v>0.161233333333333+6.73879889171488i</v>
      </c>
      <c r="S451" s="246" t="str">
        <f t="shared" si="150"/>
        <v>0.025-0.0741971986454042i</v>
      </c>
      <c r="T451" s="246" t="str">
        <f t="shared" si="151"/>
        <v>0.0252026522608677-0.0740421561412491i</v>
      </c>
      <c r="U451" s="246" t="str">
        <f t="shared" si="152"/>
        <v>-0.175572608453245+0.335527832905773i</v>
      </c>
      <c r="V451" s="246">
        <f t="shared" si="163"/>
        <v>-8.4343671314735502</v>
      </c>
      <c r="W451" s="246">
        <f t="shared" si="164"/>
        <v>-242.37815832334826</v>
      </c>
      <c r="X451" s="246" t="str">
        <f t="shared" si="153"/>
        <v>0.629705719991567-0.107638991969889i</v>
      </c>
      <c r="Y451" s="246" t="str">
        <f t="shared" si="154"/>
        <v>0.0749260299246986-3.56510076042488i</v>
      </c>
      <c r="Z451" s="246" t="str">
        <f t="shared" si="155"/>
        <v>-0.210556894369403-1.40951784451243i</v>
      </c>
      <c r="AA451" s="246" t="str">
        <f t="shared" si="156"/>
        <v>-1.09939501801547+0.0312942928434361i</v>
      </c>
      <c r="AB451" s="246">
        <f t="shared" si="165"/>
        <v>0.82659276828208939</v>
      </c>
      <c r="AC451" s="246">
        <f t="shared" si="166"/>
        <v>-181.63048480008538</v>
      </c>
      <c r="AD451" s="248">
        <f t="shared" si="167"/>
        <v>-19.057611388831667</v>
      </c>
      <c r="AE451" s="248">
        <f t="shared" si="168"/>
        <v>109.50339937822271</v>
      </c>
      <c r="AF451" s="246">
        <f t="shared" si="157"/>
        <v>-18.231018620549577</v>
      </c>
      <c r="AG451" s="246">
        <f t="shared" si="158"/>
        <v>-72.127085421862674</v>
      </c>
      <c r="AH451" s="249" t="str">
        <f t="shared" si="159"/>
        <v>0.0372123796896752-0.105064707754445i</v>
      </c>
    </row>
    <row r="452" spans="9:34" x14ac:dyDescent="0.2">
      <c r="I452" s="246">
        <v>448</v>
      </c>
      <c r="J452" s="246">
        <f t="shared" ref="J452:J504" si="171">1+I452*(LOG(fsw)-1)/500</f>
        <v>5.3680548919989635</v>
      </c>
      <c r="K452" s="246">
        <f t="shared" si="169"/>
        <v>233375.30148488394</v>
      </c>
      <c r="L452" s="246">
        <f t="shared" si="160"/>
        <v>1466340.2653484291</v>
      </c>
      <c r="M452" s="246">
        <f t="shared" ref="M452:M504" si="172">SQRT((Fco_target-K453)^2)</f>
        <v>229855.52115471911</v>
      </c>
      <c r="N452" s="246">
        <f>SQRT((ABS(AC452)-171.5+'Small Signal'!C$59)^2)</f>
        <v>81.100710690432635</v>
      </c>
      <c r="O452" s="246">
        <f t="shared" si="161"/>
        <v>73.497603440509749</v>
      </c>
      <c r="P452" s="246">
        <f t="shared" si="162"/>
        <v>18.251627070152526</v>
      </c>
      <c r="Q452" s="246">
        <f t="shared" si="170"/>
        <v>233375.30148488394</v>
      </c>
      <c r="R452" s="246" t="str">
        <f t="shared" ref="R452:R503" si="173">IMSUM(COMPLEX(DCRss,Lss*L452),COMPLEX(Rdsonss,0),COMPLEX(40/3*Risense,0))</f>
        <v>0.161233333333333+6.89179924713762i</v>
      </c>
      <c r="S452" s="246" t="str">
        <f t="shared" ref="S452:S504" si="174">IMSUM(COMPLEX(ESRss,0),IMDIV(COMPLEX(1,0),COMPLEX(0,L452*Cbulkss)))</f>
        <v>0.025-0.0725499948663866i</v>
      </c>
      <c r="T452" s="246" t="str">
        <f t="shared" ref="T452:T504" si="175">IMDIV(IMPRODUCT(S452,COMPLEX(Ross,0)),IMSUM(S452,COMPLEX(Ross,0)))</f>
        <v>0.0251926120848618-0.0723984246791198i</v>
      </c>
      <c r="U452" s="246" t="str">
        <f t="shared" ref="U452:U504" si="176">IMPRODUCT(COMPLEX(Vinss,0),COMPLEX(M^2,0),IMDIV(IMSUB(COMPLEX(1,0),IMDIV(IMPRODUCT(R452,COMPLEX(M^2,0)),COMPLEX(Ross,0))),IMSUM(COMPLEX(1,0),IMDIV(IMPRODUCT(R452,COMPLEX(M^2,0)),T452))))</f>
        <v>-0.173127279728283+0.328136063645219i</v>
      </c>
      <c r="V452" s="246">
        <f t="shared" si="163"/>
        <v>-8.6123535956169661</v>
      </c>
      <c r="W452" s="246">
        <f t="shared" si="164"/>
        <v>-242.18350320560745</v>
      </c>
      <c r="X452" s="246" t="str">
        <f t="shared" ref="X452:X504" si="177">IMSUM(COMPLEX(1,L452/(wn*q0)),IMPOWER(COMPLEX(0,L452/wn),2))</f>
        <v>0.612700221559748-0.110082870217834i</v>
      </c>
      <c r="Y452" s="246" t="str">
        <f t="shared" ref="Y452:Y504" si="178">IMPRODUCT(COMPLEX(2*Ioutss*M^2,0),IMDIV(IMSUM(COMPLEX(1,0),IMDIV(COMPLEX(Ross,0),IMPRODUCT(COMPLEX(2,0),S452))),IMSUM(COMPLEX(1,0),IMDIV(IMPRODUCT(R452,COMPLEX(M^2,0)),T452))))</f>
        <v>0.0716345365494164-3.48595735984985i</v>
      </c>
      <c r="Z452" s="246" t="str">
        <f t="shared" ref="Z452:Z504" si="179">IMPRODUCT(COMPLEX(Fm*40/3*Risense,0),Y452,X452)</f>
        <v>-0.212615897706929-1.34114071381057i</v>
      </c>
      <c r="AA452" s="246" t="str">
        <f t="shared" ref="AA452:AA504" si="180">IMDIV(IMPRODUCT(COMPLEX(Fm,0),U452),IMSUM(COMPLEX(1,0),Z452))</f>
        <v>-1.11818808736806+0.0507905224120864i</v>
      </c>
      <c r="AB452" s="246">
        <f t="shared" si="165"/>
        <v>0.97924823944585393</v>
      </c>
      <c r="AC452" s="246">
        <f t="shared" si="166"/>
        <v>-182.60071069043263</v>
      </c>
      <c r="AD452" s="248">
        <f t="shared" si="167"/>
        <v>-19.230875309598382</v>
      </c>
      <c r="AE452" s="248">
        <f t="shared" si="168"/>
        <v>109.10310724992289</v>
      </c>
      <c r="AF452" s="246">
        <f t="shared" ref="AF452:AF504" si="181">AD452+AB452</f>
        <v>-18.251627070152526</v>
      </c>
      <c r="AG452" s="246">
        <f t="shared" ref="AG452:AG504" si="182">AE452+AC452</f>
        <v>-73.497603440509749</v>
      </c>
      <c r="AH452" s="249" t="str">
        <f t="shared" ref="AH452:AH504" si="183">IMDIV(IMPRODUCT(COMPLEX(gea*Rea*Rslss/(Rslss+Rshss),0),COMPLEX(1,L452*Ccompss*Rcompss),COMPLEX(1,k_3*L452*Cffss*Rshss)),IMPRODUCT(COMPLEX(1,L452*Rea*Ccompss),COMPLEX(1,L452*Rcompss*Chfss),COMPLEX(1,k_3*L452*Rffss*Cffss)))</f>
        <v>0.0357570182390475-0.103241999597115i</v>
      </c>
    </row>
    <row r="453" spans="9:34" x14ac:dyDescent="0.2">
      <c r="I453" s="246">
        <v>449</v>
      </c>
      <c r="J453" s="246">
        <f t="shared" si="171"/>
        <v>5.3778050145257463</v>
      </c>
      <c r="K453" s="246">
        <f t="shared" si="169"/>
        <v>238673.94663631794</v>
      </c>
      <c r="L453" s="246">
        <f t="shared" ref="L453:L503" si="184">2*PI()*K453</f>
        <v>1499632.6347118774</v>
      </c>
      <c r="M453" s="246">
        <f t="shared" si="172"/>
        <v>235274.46884143501</v>
      </c>
      <c r="N453" s="246">
        <f>SQRT((ABS(AC453)-171.5+'Small Signal'!C$59)^2)</f>
        <v>82.142480545107276</v>
      </c>
      <c r="O453" s="246">
        <f t="shared" ref="O453:O504" si="185">ABS(AG453)</f>
        <v>74.932726295980984</v>
      </c>
      <c r="P453" s="246">
        <f t="shared" ref="P453:P504" si="186">ABS(AF453)</f>
        <v>18.266679990640252</v>
      </c>
      <c r="Q453" s="246">
        <f t="shared" si="170"/>
        <v>238673.94663631794</v>
      </c>
      <c r="R453" s="246" t="str">
        <f t="shared" si="173"/>
        <v>0.161233333333333+7.04827338314582i</v>
      </c>
      <c r="S453" s="246" t="str">
        <f t="shared" si="174"/>
        <v>0.025-0.0709393595877859i</v>
      </c>
      <c r="T453" s="246" t="str">
        <f t="shared" si="175"/>
        <v>0.0251830127434788-0.0707911826559978i</v>
      </c>
      <c r="U453" s="246" t="str">
        <f t="shared" si="176"/>
        <v>-0.17078930051549+0.320904675323394i</v>
      </c>
      <c r="V453" s="246">
        <f t="shared" ref="V453:V504" si="187">20*LOG(IMABS(U453))</f>
        <v>-8.7893678995406948</v>
      </c>
      <c r="W453" s="246">
        <f t="shared" ref="W453:W504" si="188">IF(DEGREES(IMARGUMENT(U453))&gt;0,DEGREES(IMARGUMENT(U453))-360, DEGREES(IMARGUMENT(U453)))</f>
        <v>-241.97755874268404</v>
      </c>
      <c r="X453" s="246" t="str">
        <f t="shared" si="177"/>
        <v>0.594913757845646-0.112582235244143i</v>
      </c>
      <c r="Y453" s="246" t="str">
        <f t="shared" si="178"/>
        <v>0.0684877074899807-3.40857076576395i</v>
      </c>
      <c r="Z453" s="246" t="str">
        <f t="shared" si="179"/>
        <v>-0.214584405572594-1.27343941818199i</v>
      </c>
      <c r="AA453" s="246" t="str">
        <f t="shared" si="180"/>
        <v>-1.1377251730669+0.0724265176095601i</v>
      </c>
      <c r="AB453" s="246">
        <f t="shared" ref="AB453:AB504" si="189">20*LOG(IMABS(AA453))</f>
        <v>1.1383114614643828</v>
      </c>
      <c r="AC453" s="246">
        <f t="shared" ref="AC453:AC504" si="190">IF(DEGREES(IMARGUMENT(AA453))&gt;0,DEGREES(IMARGUMENT(AA453))-360, DEGREES(IMARGUMENT(AA453)))</f>
        <v>-183.64248054510728</v>
      </c>
      <c r="AD453" s="248">
        <f t="shared" ref="AD453:AD504" si="191">20*LOG(IMABS(AH453))</f>
        <v>-19.404991452104635</v>
      </c>
      <c r="AE453" s="248">
        <f t="shared" ref="AE453:AE504" si="192">180+DEGREES(IMARGUMENT(AH453))</f>
        <v>108.70975424912629</v>
      </c>
      <c r="AF453" s="246">
        <f t="shared" si="181"/>
        <v>-18.266679990640252</v>
      </c>
      <c r="AG453" s="246">
        <f t="shared" si="182"/>
        <v>-74.932726295980984</v>
      </c>
      <c r="AH453" s="249" t="str">
        <f t="shared" si="183"/>
        <v>0.0343518329830999-0.101431254341056i</v>
      </c>
    </row>
    <row r="454" spans="9:34" x14ac:dyDescent="0.2">
      <c r="I454" s="246">
        <v>450</v>
      </c>
      <c r="J454" s="246">
        <f t="shared" si="171"/>
        <v>5.3875551370525301</v>
      </c>
      <c r="K454" s="246">
        <f t="shared" si="169"/>
        <v>244092.89432303383</v>
      </c>
      <c r="L454" s="246">
        <f t="shared" si="184"/>
        <v>1533680.8871974256</v>
      </c>
      <c r="M454" s="246">
        <f t="shared" si="172"/>
        <v>240816.45045977694</v>
      </c>
      <c r="N454" s="246">
        <f>SQRT((ABS(AC454)-171.5+'Small Signal'!C$59)^2)</f>
        <v>83.263753163036995</v>
      </c>
      <c r="O454" s="246">
        <f t="shared" si="185"/>
        <v>76.440457597059265</v>
      </c>
      <c r="P454" s="246">
        <f t="shared" si="186"/>
        <v>18.276203364057672</v>
      </c>
      <c r="Q454" s="246">
        <f t="shared" si="170"/>
        <v>244092.89432303383</v>
      </c>
      <c r="R454" s="246" t="str">
        <f t="shared" si="173"/>
        <v>0.161233333333333+7.2083001698279i</v>
      </c>
      <c r="S454" s="246" t="str">
        <f t="shared" si="174"/>
        <v>0.025-0.0693644809760937i</v>
      </c>
      <c r="T454" s="246" t="str">
        <f t="shared" si="175"/>
        <v>0.0251738348812961-0.0692196201221865i</v>
      </c>
      <c r="U454" s="246" t="str">
        <f t="shared" si="176"/>
        <v>-0.168553959020534+0.31383034986788i</v>
      </c>
      <c r="V454" s="246">
        <f t="shared" si="187"/>
        <v>-8.9653863252824859</v>
      </c>
      <c r="W454" s="246">
        <f t="shared" si="188"/>
        <v>-241.76036695012522</v>
      </c>
      <c r="X454" s="246" t="str">
        <f t="shared" si="177"/>
        <v>0.576310463580474-0.115138346842579i</v>
      </c>
      <c r="Y454" s="246" t="str">
        <f t="shared" si="178"/>
        <v>0.065479178660973-3.33290199018771i</v>
      </c>
      <c r="Z454" s="246" t="str">
        <f t="shared" si="179"/>
        <v>-0.216466399075654-1.20637984388054i</v>
      </c>
      <c r="AA454" s="246" t="str">
        <f t="shared" si="180"/>
        <v>-1.15793323746446+0.0964967049276295i</v>
      </c>
      <c r="AB454" s="246">
        <f t="shared" si="189"/>
        <v>1.3037269127413877</v>
      </c>
      <c r="AC454" s="246">
        <f t="shared" si="190"/>
        <v>-184.76375316303699</v>
      </c>
      <c r="AD454" s="248">
        <f t="shared" si="191"/>
        <v>-19.579930276799061</v>
      </c>
      <c r="AE454" s="248">
        <f t="shared" si="192"/>
        <v>108.32329556597773</v>
      </c>
      <c r="AF454" s="246">
        <f t="shared" si="181"/>
        <v>-18.276203364057672</v>
      </c>
      <c r="AG454" s="246">
        <f t="shared" si="182"/>
        <v>-76.440457597059265</v>
      </c>
      <c r="AH454" s="249" t="str">
        <f t="shared" si="183"/>
        <v>0.032995617213427-0.0996336247791299i</v>
      </c>
    </row>
    <row r="455" spans="9:34" x14ac:dyDescent="0.2">
      <c r="I455" s="246">
        <v>451</v>
      </c>
      <c r="J455" s="246">
        <f t="shared" si="171"/>
        <v>5.397305259579313</v>
      </c>
      <c r="K455" s="246">
        <f t="shared" si="169"/>
        <v>249634.87594137577</v>
      </c>
      <c r="L455" s="246">
        <f t="shared" si="184"/>
        <v>1568502.1846744509</v>
      </c>
      <c r="M455" s="246">
        <f t="shared" si="172"/>
        <v>246484.25942079234</v>
      </c>
      <c r="N455" s="246">
        <f>SQRT((ABS(AC455)-171.5+'Small Signal'!C$59)^2)</f>
        <v>84.473330414484252</v>
      </c>
      <c r="O455" s="246">
        <f t="shared" si="185"/>
        <v>78.029648499224507</v>
      </c>
      <c r="P455" s="246">
        <f t="shared" si="186"/>
        <v>18.280319485536715</v>
      </c>
      <c r="Q455" s="246">
        <f t="shared" si="170"/>
        <v>249634.87594137577</v>
      </c>
      <c r="R455" s="246" t="str">
        <f t="shared" si="173"/>
        <v>0.161233333333333+7.37196026796992i</v>
      </c>
      <c r="S455" s="246" t="str">
        <f t="shared" si="174"/>
        <v>0.025-0.0678245652207904i</v>
      </c>
      <c r="T455" s="246" t="str">
        <f t="shared" si="175"/>
        <v>0.0251650599926877-0.0676829451007788i</v>
      </c>
      <c r="U455" s="246" t="str">
        <f t="shared" si="176"/>
        <v>-0.166416750187559+0.306909827054916i</v>
      </c>
      <c r="V455" s="246">
        <f t="shared" si="187"/>
        <v>-9.1403841947693376</v>
      </c>
      <c r="W455" s="246">
        <f t="shared" si="188"/>
        <v>-241.53197318200654</v>
      </c>
      <c r="X455" s="246" t="str">
        <f t="shared" si="177"/>
        <v>0.556852826408775-0.11775249340976i</v>
      </c>
      <c r="Y455" s="246" t="str">
        <f t="shared" si="178"/>
        <v>0.0626028664565864-3.25891290975038i</v>
      </c>
      <c r="Z455" s="246" t="str">
        <f t="shared" si="179"/>
        <v>-0.218265683866811-1.13992819988132i</v>
      </c>
      <c r="AA455" s="246" t="str">
        <f t="shared" si="180"/>
        <v>-1.1786984773785+0.123331517046235i</v>
      </c>
      <c r="AB455" s="246">
        <f t="shared" si="189"/>
        <v>1.4753434815177462</v>
      </c>
      <c r="AC455" s="246">
        <f t="shared" si="190"/>
        <v>-185.97333041448425</v>
      </c>
      <c r="AD455" s="248">
        <f t="shared" si="191"/>
        <v>-19.755662967054462</v>
      </c>
      <c r="AE455" s="248">
        <f t="shared" si="192"/>
        <v>107.94368191525975</v>
      </c>
      <c r="AF455" s="246">
        <f t="shared" si="181"/>
        <v>-18.280319485536715</v>
      </c>
      <c r="AG455" s="246">
        <f t="shared" si="182"/>
        <v>-78.029648499224507</v>
      </c>
      <c r="AH455" s="249" t="str">
        <f t="shared" si="183"/>
        <v>0.0316871515792643-0.0978501843506799i</v>
      </c>
    </row>
    <row r="456" spans="9:34" x14ac:dyDescent="0.2">
      <c r="I456" s="246">
        <v>452</v>
      </c>
      <c r="J456" s="246">
        <f t="shared" si="171"/>
        <v>5.4070553821060967</v>
      </c>
      <c r="K456" s="246">
        <f t="shared" si="169"/>
        <v>255302.68490239116</v>
      </c>
      <c r="L456" s="246">
        <f t="shared" si="184"/>
        <v>1604114.0786622036</v>
      </c>
      <c r="M456" s="246">
        <f t="shared" si="172"/>
        <v>252280.75255823621</v>
      </c>
      <c r="N456" s="246">
        <f>SQRT((ABS(AC456)-171.5+'Small Signal'!C$59)^2)</f>
        <v>85.780915819649522</v>
      </c>
      <c r="O456" s="246">
        <f t="shared" si="185"/>
        <v>79.710055973248544</v>
      </c>
      <c r="P456" s="246">
        <f t="shared" si="186"/>
        <v>18.279274952126279</v>
      </c>
      <c r="Q456" s="246">
        <f t="shared" si="170"/>
        <v>255302.68490239116</v>
      </c>
      <c r="R456" s="246" t="str">
        <f t="shared" si="173"/>
        <v>0.161233333333333+7.53933616971236i</v>
      </c>
      <c r="S456" s="246" t="str">
        <f t="shared" si="174"/>
        <v>0.025-0.0663188361342265i</v>
      </c>
      <c r="T456" s="246" t="str">
        <f t="shared" si="175"/>
        <v>0.0251566703845172-0.0661803831891999i</v>
      </c>
      <c r="U456" s="246" t="str">
        <f t="shared" si="176"/>
        <v>-0.164373366634436+0.300139904257549i</v>
      </c>
      <c r="V456" s="246">
        <f t="shared" si="187"/>
        <v>-9.3143358917445358</v>
      </c>
      <c r="W456" s="246">
        <f t="shared" si="188"/>
        <v>-241.29242646223818</v>
      </c>
      <c r="X456" s="246" t="str">
        <f t="shared" si="177"/>
        <v>0.536501611247149-0.120425992594571i</v>
      </c>
      <c r="Y456" s="246" t="str">
        <f t="shared" si="178"/>
        <v>0.0598529553454536-3.18656624656101i</v>
      </c>
      <c r="Z456" s="246" t="str">
        <f t="shared" si="179"/>
        <v>-0.219985897898622-1.0740510008998i</v>
      </c>
      <c r="AA456" s="246" t="str">
        <f t="shared" si="180"/>
        <v>-1.19985367899599+0.153298610712317i</v>
      </c>
      <c r="AB456" s="246">
        <f t="shared" si="189"/>
        <v>1.6528864833436518</v>
      </c>
      <c r="AC456" s="246">
        <f t="shared" si="190"/>
        <v>-187.28091581964952</v>
      </c>
      <c r="AD456" s="248">
        <f t="shared" si="191"/>
        <v>-19.932161435469933</v>
      </c>
      <c r="AE456" s="248">
        <f t="shared" si="192"/>
        <v>107.57085984640098</v>
      </c>
      <c r="AF456" s="246">
        <f t="shared" si="181"/>
        <v>-18.279274952126279</v>
      </c>
      <c r="AG456" s="246">
        <f t="shared" si="182"/>
        <v>-79.710055973248544</v>
      </c>
      <c r="AH456" s="249" t="str">
        <f t="shared" si="183"/>
        <v>0.0304252082044179-0.0960819292883732i</v>
      </c>
    </row>
    <row r="457" spans="9:34" x14ac:dyDescent="0.2">
      <c r="I457" s="246">
        <v>453</v>
      </c>
      <c r="J457" s="246">
        <f t="shared" si="171"/>
        <v>5.4168055046328796</v>
      </c>
      <c r="K457" s="246">
        <f t="shared" si="169"/>
        <v>261099.17803983504</v>
      </c>
      <c r="L457" s="246">
        <f t="shared" si="184"/>
        <v>1640534.5191765584</v>
      </c>
      <c r="M457" s="246">
        <f t="shared" si="172"/>
        <v>258208.85156855028</v>
      </c>
      <c r="N457" s="246">
        <f>SQRT((ABS(AC457)-171.5+'Small Signal'!C$59)^2)</f>
        <v>87.197157917326138</v>
      </c>
      <c r="O457" s="246">
        <f t="shared" si="185"/>
        <v>81.492385872615216</v>
      </c>
      <c r="P457" s="246">
        <f t="shared" si="186"/>
        <v>18.273475241041773</v>
      </c>
      <c r="Q457" s="246">
        <f t="shared" si="170"/>
        <v>261099.17803983504</v>
      </c>
      <c r="R457" s="246" t="str">
        <f t="shared" si="173"/>
        <v>0.161233333333333+7.71051224012982i</v>
      </c>
      <c r="S457" s="246" t="str">
        <f t="shared" si="174"/>
        <v>0.025-0.0648465347603913i</v>
      </c>
      <c r="T457" s="246" t="str">
        <f t="shared" si="175"/>
        <v>0.0251486491404667-0.0647111771695619i</v>
      </c>
      <c r="U457" s="246" t="str">
        <f t="shared" si="176"/>
        <v>-0.162419689984903+0.293517436131875i</v>
      </c>
      <c r="V457" s="246">
        <f t="shared" si="187"/>
        <v>-9.4872148863127652</v>
      </c>
      <c r="W457" s="246">
        <f t="shared" si="188"/>
        <v>-241.04177982378371</v>
      </c>
      <c r="X457" s="246" t="str">
        <f t="shared" si="177"/>
        <v>0.515215781169227-0.123160191962319i</v>
      </c>
      <c r="Y457" s="246" t="str">
        <f t="shared" si="178"/>
        <v>0.0572238860180807-3.11582554949942i</v>
      </c>
      <c r="Z457" s="246" t="str">
        <f t="shared" si="179"/>
        <v>-0.22163051884025-1.00871505056148i</v>
      </c>
      <c r="AA457" s="246" t="str">
        <f t="shared" si="180"/>
        <v>-1.22116244033305+0.186802119919328i</v>
      </c>
      <c r="AB457" s="246">
        <f t="shared" si="189"/>
        <v>1.8359230867636369</v>
      </c>
      <c r="AC457" s="246">
        <f t="shared" si="190"/>
        <v>-188.69715791732614</v>
      </c>
      <c r="AD457" s="248">
        <f t="shared" si="191"/>
        <v>-20.109398327805408</v>
      </c>
      <c r="AE457" s="248">
        <f t="shared" si="192"/>
        <v>107.20477204471092</v>
      </c>
      <c r="AF457" s="246">
        <f t="shared" si="181"/>
        <v>-18.273475241041773</v>
      </c>
      <c r="AG457" s="246">
        <f t="shared" si="182"/>
        <v>-81.492385872615216</v>
      </c>
      <c r="AH457" s="249" t="str">
        <f t="shared" si="183"/>
        <v>0.0292085545172676-0.0943297809060916i</v>
      </c>
    </row>
    <row r="458" spans="9:34" x14ac:dyDescent="0.2">
      <c r="I458" s="246">
        <v>454</v>
      </c>
      <c r="J458" s="246">
        <f t="shared" si="171"/>
        <v>5.4265556271596633</v>
      </c>
      <c r="K458" s="246">
        <f t="shared" si="169"/>
        <v>267027.2770501491</v>
      </c>
      <c r="L458" s="246">
        <f t="shared" si="184"/>
        <v>1677781.8637776696</v>
      </c>
      <c r="M458" s="246">
        <f t="shared" si="172"/>
        <v>264271.54448352504</v>
      </c>
      <c r="N458" s="246">
        <f>SQRT((ABS(AC458)-171.5+'Small Signal'!C$59)^2)</f>
        <v>88.733666851116539</v>
      </c>
      <c r="O458" s="246">
        <f t="shared" si="185"/>
        <v>83.388309227781036</v>
      </c>
      <c r="P458" s="246">
        <f t="shared" si="186"/>
        <v>18.263526981208614</v>
      </c>
      <c r="Q458" s="246">
        <f t="shared" si="170"/>
        <v>267027.2770501491</v>
      </c>
      <c r="R458" s="246" t="str">
        <f t="shared" si="173"/>
        <v>0.161233333333333+7.88557475975505i</v>
      </c>
      <c r="S458" s="246" t="str">
        <f t="shared" si="174"/>
        <v>0.025-0.0634069189923616i</v>
      </c>
      <c r="T458" s="246" t="str">
        <f t="shared" si="175"/>
        <v>0.0251409800869333-0.0632745866276345i</v>
      </c>
      <c r="U458" s="246" t="str">
        <f t="shared" si="176"/>
        <v>-0.160551782580313+0.287039334247176i</v>
      </c>
      <c r="V458" s="246">
        <f t="shared" si="187"/>
        <v>-9.6589937622787261</v>
      </c>
      <c r="W458" s="246">
        <f t="shared" si="188"/>
        <v>-240.78009065467313</v>
      </c>
      <c r="X458" s="246" t="str">
        <f t="shared" si="177"/>
        <v>0.4929524146573-0.125956469673965i</v>
      </c>
      <c r="Y458" s="246" t="str">
        <f t="shared" si="178"/>
        <v>0.0547103440615132-3.0466551759181i</v>
      </c>
      <c r="Z458" s="246" t="str">
        <f t="shared" si="179"/>
        <v>-0.223202871162299-0.943887424713538i</v>
      </c>
      <c r="AA458" s="246" t="str">
        <f t="shared" si="180"/>
        <v>-1.24229984610518+0.224278706951258i</v>
      </c>
      <c r="AB458" s="246">
        <f t="shared" si="189"/>
        <v>2.0238200435081968</v>
      </c>
      <c r="AC458" s="246">
        <f t="shared" si="190"/>
        <v>-190.23366685111654</v>
      </c>
      <c r="AD458" s="248">
        <f t="shared" si="191"/>
        <v>-20.287347024716812</v>
      </c>
      <c r="AE458" s="248">
        <f t="shared" si="192"/>
        <v>106.8453576233355</v>
      </c>
      <c r="AF458" s="246">
        <f t="shared" si="181"/>
        <v>-18.263526981208614</v>
      </c>
      <c r="AG458" s="246">
        <f t="shared" si="182"/>
        <v>-83.388309227781036</v>
      </c>
      <c r="AH458" s="249" t="str">
        <f t="shared" si="183"/>
        <v>0.0280359567986692-0.0925945880027509i</v>
      </c>
    </row>
    <row r="459" spans="9:34" x14ac:dyDescent="0.2">
      <c r="I459" s="246">
        <v>455</v>
      </c>
      <c r="J459" s="246">
        <f t="shared" si="171"/>
        <v>5.4363057496864471</v>
      </c>
      <c r="K459" s="246">
        <f t="shared" si="169"/>
        <v>273089.96996512386</v>
      </c>
      <c r="L459" s="246">
        <f t="shared" si="184"/>
        <v>1715874.8868229808</v>
      </c>
      <c r="M459" s="246">
        <f t="shared" si="172"/>
        <v>270471.88717640663</v>
      </c>
      <c r="N459" s="246">
        <f>SQRT((ABS(AC459)-171.5+'Small Signal'!C$59)^2)</f>
        <v>90.402987728133212</v>
      </c>
      <c r="O459" s="246">
        <f t="shared" si="185"/>
        <v>85.410435322606133</v>
      </c>
      <c r="P459" s="246">
        <f t="shared" si="186"/>
        <v>18.250288915473469</v>
      </c>
      <c r="Q459" s="246">
        <f t="shared" si="170"/>
        <v>273089.96996512386</v>
      </c>
      <c r="R459" s="246" t="str">
        <f t="shared" si="173"/>
        <v>0.161233333333333+8.06461196806801i</v>
      </c>
      <c r="S459" s="246" t="str">
        <f t="shared" si="174"/>
        <v>0.025-0.0619992631982494i</v>
      </c>
      <c r="T459" s="246" t="str">
        <f t="shared" si="175"/>
        <v>0.0251336477604218-0.0618698875802439i</v>
      </c>
      <c r="U459" s="246" t="str">
        <f t="shared" si="176"/>
        <v>-0.158765879554357+0.280702566665318i</v>
      </c>
      <c r="V459" s="246">
        <f t="shared" si="187"/>
        <v>-9.8296442474531869</v>
      </c>
      <c r="W459" s="246">
        <f t="shared" si="188"/>
        <v>-240.50742104958852</v>
      </c>
      <c r="X459" s="246" t="str">
        <f t="shared" si="177"/>
        <v>0.469666619053851-0.128816235180783i</v>
      </c>
      <c r="Y459" s="246" t="str">
        <f t="shared" si="178"/>
        <v>0.0523072491380029-2.97902027374624i</v>
      </c>
      <c r="Z459" s="246" t="str">
        <f t="shared" si="179"/>
        <v>-0.224706132906449-0.879535454870686i</v>
      </c>
      <c r="AA459" s="246" t="str">
        <f t="shared" si="180"/>
        <v>-1.26282939134365+0.266188668725188i</v>
      </c>
      <c r="AB459" s="246">
        <f t="shared" si="189"/>
        <v>2.2156927259860768</v>
      </c>
      <c r="AC459" s="246">
        <f t="shared" si="190"/>
        <v>-191.90298772813321</v>
      </c>
      <c r="AD459" s="248">
        <f t="shared" si="191"/>
        <v>-20.465981641459546</v>
      </c>
      <c r="AE459" s="248">
        <f t="shared" si="192"/>
        <v>106.49255240552708</v>
      </c>
      <c r="AF459" s="246">
        <f t="shared" si="181"/>
        <v>-18.250288915473469</v>
      </c>
      <c r="AG459" s="246">
        <f t="shared" si="182"/>
        <v>-85.410435322606133</v>
      </c>
      <c r="AH459" s="249" t="str">
        <f t="shared" si="183"/>
        <v>0.0269061834541175-0.0908771293586323i</v>
      </c>
    </row>
    <row r="460" spans="9:34" x14ac:dyDescent="0.2">
      <c r="I460" s="246">
        <v>456</v>
      </c>
      <c r="J460" s="246">
        <f t="shared" si="171"/>
        <v>5.44605587221323</v>
      </c>
      <c r="K460" s="246">
        <f t="shared" si="169"/>
        <v>279290.31265800545</v>
      </c>
      <c r="L460" s="246">
        <f t="shared" si="184"/>
        <v>1754832.7889303726</v>
      </c>
      <c r="M460" s="246">
        <f t="shared" si="172"/>
        <v>276813.00490219949</v>
      </c>
      <c r="N460" s="246">
        <f>SQRT((ABS(AC460)-171.5+'Small Signal'!C$59)^2)</f>
        <v>92.218508094365177</v>
      </c>
      <c r="O460" s="246">
        <f t="shared" si="185"/>
        <v>87.572218897457006</v>
      </c>
      <c r="P460" s="246">
        <f t="shared" si="186"/>
        <v>18.234932197529346</v>
      </c>
      <c r="Q460" s="246">
        <f t="shared" si="170"/>
        <v>279290.31265800545</v>
      </c>
      <c r="R460" s="246" t="str">
        <f t="shared" si="173"/>
        <v>0.161233333333333+8.24771410797275i</v>
      </c>
      <c r="S460" s="246" t="str">
        <f t="shared" si="174"/>
        <v>0.025-0.0606228578554474i</v>
      </c>
      <c r="T460" s="246" t="str">
        <f t="shared" si="175"/>
        <v>0.0251266373763684-0.0604963721109131i</v>
      </c>
      <c r="U460" s="246" t="str">
        <f t="shared" si="176"/>
        <v>-0.157058381254939+0.2745041574744i</v>
      </c>
      <c r="V460" s="246">
        <f t="shared" si="187"/>
        <v>-9.9991372470938202</v>
      </c>
      <c r="W460" s="246">
        <f t="shared" si="188"/>
        <v>-240.22383816566099</v>
      </c>
      <c r="X460" s="246" t="str">
        <f t="shared" si="177"/>
        <v>0.445311440038355-0.131740929934785i</v>
      </c>
      <c r="Y460" s="246" t="str">
        <f t="shared" si="178"/>
        <v>0.0500097446444063-2.91288676398748i</v>
      </c>
      <c r="Z460" s="246" t="str">
        <f t="shared" si="179"/>
        <v>-0.226143342154242-0.815626711786897i</v>
      </c>
      <c r="AA460" s="246" t="str">
        <f t="shared" si="180"/>
        <v>-1.28217640731948+0.312999741547737i</v>
      </c>
      <c r="AB460" s="246">
        <f t="shared" si="189"/>
        <v>2.4103448281922031</v>
      </c>
      <c r="AC460" s="246">
        <f t="shared" si="190"/>
        <v>-193.71850809436518</v>
      </c>
      <c r="AD460" s="248">
        <f t="shared" si="191"/>
        <v>-20.645277025721548</v>
      </c>
      <c r="AE460" s="248">
        <f t="shared" si="192"/>
        <v>106.14628919690817</v>
      </c>
      <c r="AF460" s="246">
        <f t="shared" si="181"/>
        <v>-18.234932197529346</v>
      </c>
      <c r="AG460" s="246">
        <f t="shared" si="182"/>
        <v>-87.572218897457006</v>
      </c>
      <c r="AH460" s="249" t="str">
        <f t="shared" si="183"/>
        <v>0.0258180080178404-0.0891781163025858i</v>
      </c>
    </row>
    <row r="461" spans="9:34" x14ac:dyDescent="0.2">
      <c r="I461" s="246">
        <v>457</v>
      </c>
      <c r="J461" s="246">
        <f t="shared" si="171"/>
        <v>5.4558059947400146</v>
      </c>
      <c r="K461" s="246">
        <f t="shared" si="169"/>
        <v>285631.43038379832</v>
      </c>
      <c r="L461" s="246">
        <f t="shared" si="184"/>
        <v>1794675.2066561705</v>
      </c>
      <c r="M461" s="246">
        <f t="shared" si="172"/>
        <v>283298.09387292888</v>
      </c>
      <c r="N461" s="246">
        <f>SQRT((ABS(AC461)-171.5+'Small Signal'!C$59)^2)</f>
        <v>94.194269416358594</v>
      </c>
      <c r="O461" s="246">
        <f t="shared" si="185"/>
        <v>89.887771368866851</v>
      </c>
      <c r="P461" s="246">
        <f t="shared" si="186"/>
        <v>18.219009908026344</v>
      </c>
      <c r="Q461" s="246">
        <f t="shared" si="170"/>
        <v>285631.43038379832</v>
      </c>
      <c r="R461" s="246" t="str">
        <f t="shared" si="173"/>
        <v>0.161233333333333+8.434973471284i</v>
      </c>
      <c r="S461" s="246" t="str">
        <f t="shared" si="174"/>
        <v>0.025-0.0592770091929985i</v>
      </c>
      <c r="T461" s="246" t="str">
        <f t="shared" si="175"/>
        <v>0.0251199347993339-0.0591533480135664i</v>
      </c>
      <c r="U461" s="246" t="str">
        <f t="shared" si="176"/>
        <v>-0.155425845998021+0.268441186281289i</v>
      </c>
      <c r="V461" s="246">
        <f t="shared" si="187"/>
        <v>-10.167442880641326</v>
      </c>
      <c r="W461" s="246">
        <f t="shared" si="188"/>
        <v>-239.92941458100125</v>
      </c>
      <c r="X461" s="246" t="str">
        <f t="shared" si="177"/>
        <v>0.419837766946882-0.134732028115283i</v>
      </c>
      <c r="Y461" s="246" t="str">
        <f t="shared" si="178"/>
        <v>0.0478131878311893-2.84822132360239i</v>
      </c>
      <c r="Z461" s="246" t="str">
        <f t="shared" si="179"/>
        <v>-0.227517403208398-0.752128989144916i</v>
      </c>
      <c r="AA461" s="246" t="str">
        <f t="shared" si="180"/>
        <v>-1.29959908825034+0.365160580099432i</v>
      </c>
      <c r="AB461" s="246">
        <f t="shared" si="189"/>
        <v>2.606198845717191</v>
      </c>
      <c r="AC461" s="246">
        <f t="shared" si="190"/>
        <v>-195.69426941635859</v>
      </c>
      <c r="AD461" s="248">
        <f t="shared" si="191"/>
        <v>-20.825208753743535</v>
      </c>
      <c r="AE461" s="248">
        <f t="shared" si="192"/>
        <v>105.80649804749174</v>
      </c>
      <c r="AF461" s="246">
        <f t="shared" si="181"/>
        <v>-18.219009908026344</v>
      </c>
      <c r="AG461" s="246">
        <f t="shared" si="182"/>
        <v>-89.887771368866851</v>
      </c>
      <c r="AH461" s="249" t="str">
        <f t="shared" si="183"/>
        <v>0.0247702118975776-0.0874981953301926i</v>
      </c>
    </row>
    <row r="462" spans="9:34" x14ac:dyDescent="0.2">
      <c r="I462" s="246">
        <v>458</v>
      </c>
      <c r="J462" s="246">
        <f t="shared" si="171"/>
        <v>5.4655561172667975</v>
      </c>
      <c r="K462" s="246">
        <f t="shared" si="169"/>
        <v>292116.5193545277</v>
      </c>
      <c r="L462" s="246">
        <f t="shared" si="184"/>
        <v>1835422.2223928096</v>
      </c>
      <c r="M462" s="246">
        <f t="shared" si="172"/>
        <v>289930.42286868603</v>
      </c>
      <c r="N462" s="246">
        <f>SQRT((ABS(AC462)-171.5+'Small Signal'!C$59)^2)</f>
        <v>96.344644336930997</v>
      </c>
      <c r="O462" s="246">
        <f t="shared" si="185"/>
        <v>92.371537833636395</v>
      </c>
      <c r="P462" s="246">
        <f t="shared" si="186"/>
        <v>18.204534291994793</v>
      </c>
      <c r="Q462" s="246">
        <f t="shared" si="170"/>
        <v>292116.5193545277</v>
      </c>
      <c r="R462" s="246" t="str">
        <f t="shared" si="173"/>
        <v>0.161233333333333+8.6264844452462i</v>
      </c>
      <c r="S462" s="246" t="str">
        <f t="shared" si="174"/>
        <v>0.025-0.0579610388419045i</v>
      </c>
      <c r="T462" s="246" t="str">
        <f t="shared" si="175"/>
        <v>0.0251135265145049-0.0578401384441184i</v>
      </c>
      <c r="U462" s="246" t="str">
        <f t="shared" si="176"/>
        <v>-0.153864983138941+0.262510787667315i</v>
      </c>
      <c r="V462" s="246">
        <f t="shared" si="187"/>
        <v>-10.334530521902067</v>
      </c>
      <c r="W462" s="246">
        <f t="shared" si="188"/>
        <v>-239.6242286543459</v>
      </c>
      <c r="X462" s="246" t="str">
        <f t="shared" si="177"/>
        <v>0.393194233743615-0.137791037371933i</v>
      </c>
      <c r="Y462" s="246" t="str">
        <f t="shared" si="178"/>
        <v>0.0457131403601655-2.78499136876813i</v>
      </c>
      <c r="Z462" s="246" t="str">
        <f t="shared" si="179"/>
        <v>-0.228831092499645-0.689010287355818i</v>
      </c>
      <c r="AA462" s="246" t="str">
        <f t="shared" si="180"/>
        <v>-1.31415962643084+0.423060315347936i</v>
      </c>
      <c r="AB462" s="246">
        <f t="shared" si="189"/>
        <v>2.801218832883162</v>
      </c>
      <c r="AC462" s="246">
        <f t="shared" si="190"/>
        <v>-197.844644336931</v>
      </c>
      <c r="AD462" s="248">
        <f t="shared" si="191"/>
        <v>-21.005753124877955</v>
      </c>
      <c r="AE462" s="248">
        <f t="shared" si="192"/>
        <v>105.4731065032946</v>
      </c>
      <c r="AF462" s="246">
        <f t="shared" si="181"/>
        <v>-18.204534291994793</v>
      </c>
      <c r="AG462" s="246">
        <f t="shared" si="182"/>
        <v>-92.371537833636395</v>
      </c>
      <c r="AH462" s="249" t="str">
        <f t="shared" si="183"/>
        <v>0.0237615868696802-0.0858379507546976i</v>
      </c>
    </row>
    <row r="463" spans="9:34" x14ac:dyDescent="0.2">
      <c r="I463" s="246">
        <v>459</v>
      </c>
      <c r="J463" s="246">
        <f t="shared" si="171"/>
        <v>5.4753062397935812</v>
      </c>
      <c r="K463" s="246">
        <f t="shared" si="169"/>
        <v>298748.84835028485</v>
      </c>
      <c r="L463" s="246">
        <f t="shared" si="184"/>
        <v>1877094.3744913321</v>
      </c>
      <c r="M463" s="246">
        <f t="shared" si="172"/>
        <v>296713.33488523518</v>
      </c>
      <c r="N463" s="246">
        <f>SQRT((ABS(AC463)-171.5+'Small Signal'!C$59)^2)</f>
        <v>98.683834139296408</v>
      </c>
      <c r="O463" s="246">
        <f t="shared" si="185"/>
        <v>95.037794291846936</v>
      </c>
      <c r="P463" s="246">
        <f t="shared" si="186"/>
        <v>18.194057953192768</v>
      </c>
      <c r="Q463" s="246">
        <f t="shared" si="170"/>
        <v>298748.84835028485</v>
      </c>
      <c r="R463" s="246" t="str">
        <f t="shared" si="173"/>
        <v>0.161233333333333+8.82234356010926i</v>
      </c>
      <c r="S463" s="246" t="str">
        <f t="shared" si="174"/>
        <v>0.025-0.0566742834931956i</v>
      </c>
      <c r="T463" s="246" t="str">
        <f t="shared" si="175"/>
        <v>0.025107399600446-0.0565560815797693i</v>
      </c>
      <c r="U463" s="246" t="str">
        <f t="shared" si="176"/>
        <v>-0.152372646447304+0.256710150611074i</v>
      </c>
      <c r="V463" s="246">
        <f t="shared" si="187"/>
        <v>-10.500368842817469</v>
      </c>
      <c r="W463" s="246">
        <f t="shared" si="188"/>
        <v>-239.30836488407886</v>
      </c>
      <c r="X463" s="246" t="str">
        <f t="shared" si="177"/>
        <v>0.365327115444469-0.140919499584672i</v>
      </c>
      <c r="Y463" s="246" t="str">
        <f t="shared" si="178"/>
        <v>0.0437053592813254-2.72316503850642i</v>
      </c>
      <c r="Z463" s="246" t="str">
        <f t="shared" si="179"/>
        <v>-0.230087064231384-0.62623879746019i</v>
      </c>
      <c r="AA463" s="246" t="str">
        <f t="shared" si="180"/>
        <v>-1.32470011126532+0.486970426539081i</v>
      </c>
      <c r="AB463" s="246">
        <f t="shared" si="189"/>
        <v>2.9928292015397817</v>
      </c>
      <c r="AC463" s="246">
        <f t="shared" si="190"/>
        <v>-200.18383413929641</v>
      </c>
      <c r="AD463" s="248">
        <f t="shared" si="191"/>
        <v>-21.186887154732549</v>
      </c>
      <c r="AE463" s="248">
        <f t="shared" si="192"/>
        <v>105.14603984744947</v>
      </c>
      <c r="AF463" s="246">
        <f t="shared" si="181"/>
        <v>-18.194057953192768</v>
      </c>
      <c r="AG463" s="246">
        <f t="shared" si="182"/>
        <v>-95.037794291846936</v>
      </c>
      <c r="AH463" s="249" t="str">
        <f t="shared" si="183"/>
        <v>0.0227909373348619-0.0841979073741968i</v>
      </c>
    </row>
    <row r="464" spans="9:34" x14ac:dyDescent="0.2">
      <c r="I464" s="246">
        <v>460</v>
      </c>
      <c r="J464" s="246">
        <f t="shared" si="171"/>
        <v>5.4850563623203641</v>
      </c>
      <c r="K464" s="246">
        <f t="shared" si="169"/>
        <v>305531.760366834</v>
      </c>
      <c r="L464" s="246">
        <f t="shared" si="184"/>
        <v>1919712.6676136057</v>
      </c>
      <c r="M464" s="246">
        <f t="shared" si="172"/>
        <v>303650.24881904235</v>
      </c>
      <c r="N464" s="246">
        <f>SQRT((ABS(AC464)-171.5+'Small Signal'!C$59)^2)</f>
        <v>101.2251371772816</v>
      </c>
      <c r="O464" s="246">
        <f t="shared" si="185"/>
        <v>97.899915846499837</v>
      </c>
      <c r="P464" s="246">
        <f t="shared" si="186"/>
        <v>18.190751837600384</v>
      </c>
      <c r="Q464" s="246">
        <f t="shared" si="170"/>
        <v>305531.760366834</v>
      </c>
      <c r="R464" s="246" t="str">
        <f t="shared" si="173"/>
        <v>0.161233333333333+9.02264953778395i</v>
      </c>
      <c r="S464" s="246" t="str">
        <f t="shared" si="174"/>
        <v>0.025-0.0554160945635937i</v>
      </c>
      <c r="T464" s="246" t="str">
        <f t="shared" si="175"/>
        <v>0.0251015417030484-0.0553005302858498i</v>
      </c>
      <c r="U464" s="246" t="str">
        <f t="shared" si="176"/>
        <v>-0.15094582777219+0.251036517882058i</v>
      </c>
      <c r="V464" s="246">
        <f t="shared" si="187"/>
        <v>-10.664925860943935</v>
      </c>
      <c r="W464" s="246">
        <f t="shared" si="188"/>
        <v>-238.98191426475225</v>
      </c>
      <c r="X464" s="246" t="str">
        <f t="shared" si="177"/>
        <v>0.336180219784132-0.144118991640883i</v>
      </c>
      <c r="Y464" s="246" t="str">
        <f t="shared" si="178"/>
        <v>0.0417857884098959-2.66271117867248i</v>
      </c>
      <c r="Z464" s="246" t="str">
        <f t="shared" si="179"/>
        <v>-0.231287855773923-0.563782885123458i</v>
      </c>
      <c r="AA464" s="246" t="str">
        <f t="shared" si="180"/>
        <v>-1.32983080938592+0.556965926002851i</v>
      </c>
      <c r="AB464" s="246">
        <f t="shared" si="189"/>
        <v>3.1778367294374972</v>
      </c>
      <c r="AC464" s="246">
        <f t="shared" si="190"/>
        <v>-202.7251371772816</v>
      </c>
      <c r="AD464" s="248">
        <f t="shared" si="191"/>
        <v>-21.368588567037882</v>
      </c>
      <c r="AE464" s="248">
        <f t="shared" si="192"/>
        <v>104.82522133078176</v>
      </c>
      <c r="AF464" s="246">
        <f t="shared" si="181"/>
        <v>-18.190751837600384</v>
      </c>
      <c r="AG464" s="246">
        <f t="shared" si="182"/>
        <v>-97.899915846499837</v>
      </c>
      <c r="AH464" s="249" t="str">
        <f t="shared" si="183"/>
        <v>0.021857082345456-0.0825785331401884i</v>
      </c>
    </row>
    <row r="465" spans="9:34" x14ac:dyDescent="0.2">
      <c r="I465" s="246">
        <v>461</v>
      </c>
      <c r="J465" s="246">
        <f t="shared" si="171"/>
        <v>5.4948064848471478</v>
      </c>
      <c r="K465" s="246">
        <f t="shared" si="169"/>
        <v>312468.67430064117</v>
      </c>
      <c r="L465" s="246">
        <f t="shared" si="184"/>
        <v>1963298.5833196722</v>
      </c>
      <c r="M465" s="246">
        <f t="shared" si="172"/>
        <v>310744.66119054746</v>
      </c>
      <c r="N465" s="246">
        <f>SQRT((ABS(AC465)-171.5+'Small Signal'!C$59)^2)</f>
        <v>103.97994383410224</v>
      </c>
      <c r="O465" s="246">
        <f t="shared" si="185"/>
        <v>100.96937144222767</v>
      </c>
      <c r="P465" s="246">
        <f t="shared" si="186"/>
        <v>18.198468183187909</v>
      </c>
      <c r="Q465" s="246">
        <f t="shared" si="170"/>
        <v>312468.67430064117</v>
      </c>
      <c r="R465" s="246" t="str">
        <f t="shared" si="173"/>
        <v>0.161233333333333+9.22750334160246i</v>
      </c>
      <c r="S465" s="246" t="str">
        <f t="shared" si="174"/>
        <v>0.025-0.0541858378685962i</v>
      </c>
      <c r="T465" s="246" t="str">
        <f t="shared" si="175"/>
        <v>0.0250959410106217-0.0540728517900332i</v>
      </c>
      <c r="U465" s="246" t="str">
        <f t="shared" si="176"/>
        <v>-0.149581650984978+0.245487185408459i</v>
      </c>
      <c r="V465" s="246">
        <f t="shared" si="187"/>
        <v>-10.828168990752975</v>
      </c>
      <c r="W465" s="246">
        <f t="shared" si="188"/>
        <v>-238.64497463910061</v>
      </c>
      <c r="X465" s="246" t="str">
        <f t="shared" si="177"/>
        <v>0.30569477390791-0.147391126230228i</v>
      </c>
      <c r="Y465" s="246" t="str">
        <f t="shared" si="178"/>
        <v>0.0399505500858868-2.60359932629666i</v>
      </c>
      <c r="Z465" s="246" t="str">
        <f t="shared" si="179"/>
        <v>-0.23243589281949-0.501611074717058i</v>
      </c>
      <c r="AA465" s="246" t="str">
        <f t="shared" si="180"/>
        <v>-1.32794200097277+0.632825343628382i</v>
      </c>
      <c r="AB465" s="246">
        <f t="shared" si="189"/>
        <v>3.352367601183917</v>
      </c>
      <c r="AC465" s="246">
        <f t="shared" si="190"/>
        <v>-205.47994383410224</v>
      </c>
      <c r="AD465" s="248">
        <f t="shared" si="191"/>
        <v>-21.550835784371827</v>
      </c>
      <c r="AE465" s="248">
        <f t="shared" si="192"/>
        <v>104.51057239187458</v>
      </c>
      <c r="AF465" s="246">
        <f t="shared" si="181"/>
        <v>-18.198468183187909</v>
      </c>
      <c r="AG465" s="246">
        <f t="shared" si="182"/>
        <v>-100.96937144222767</v>
      </c>
      <c r="AH465" s="249" t="str">
        <f t="shared" si="183"/>
        <v>0.0209588574154048-0.0809802418141541i</v>
      </c>
    </row>
    <row r="466" spans="9:34" x14ac:dyDescent="0.2">
      <c r="I466" s="246">
        <v>462</v>
      </c>
      <c r="J466" s="246">
        <f t="shared" si="171"/>
        <v>5.5045566073739307</v>
      </c>
      <c r="K466" s="246">
        <f t="shared" si="169"/>
        <v>319563.08667214628</v>
      </c>
      <c r="L466" s="246">
        <f t="shared" si="184"/>
        <v>2007874.0908953862</v>
      </c>
      <c r="M466" s="246">
        <f t="shared" si="172"/>
        <v>318000.14790657623</v>
      </c>
      <c r="N466" s="246">
        <f>SQRT((ABS(AC466)-171.5+'Small Signal'!C$59)^2)</f>
        <v>106.95643382860166</v>
      </c>
      <c r="O466" s="246">
        <f t="shared" si="185"/>
        <v>104.25442096190908</v>
      </c>
      <c r="P466" s="246">
        <f t="shared" si="186"/>
        <v>18.221770970300103</v>
      </c>
      <c r="Q466" s="246">
        <f t="shared" si="170"/>
        <v>319563.08667214628</v>
      </c>
      <c r="R466" s="246" t="str">
        <f t="shared" si="173"/>
        <v>0.161233333333333+9.43700822720831i</v>
      </c>
      <c r="S466" s="246" t="str">
        <f t="shared" si="174"/>
        <v>0.025-0.0529828933028187i</v>
      </c>
      <c r="T466" s="246" t="str">
        <f t="shared" si="175"/>
        <v>0.0250905862300801-0.0528724273637676i</v>
      </c>
      <c r="U466" s="246" t="str">
        <f t="shared" si="176"/>
        <v>-0.148277366187643+0.240059501622323i</v>
      </c>
      <c r="V466" s="246">
        <f t="shared" si="187"/>
        <v>-10.990065098839493</v>
      </c>
      <c r="W466" s="246">
        <f t="shared" si="188"/>
        <v>-238.2976510434213</v>
      </c>
      <c r="X466" s="246" t="str">
        <f t="shared" si="177"/>
        <v>0.273809305860056-0.150737552657511i</v>
      </c>
      <c r="Y466" s="246" t="str">
        <f t="shared" si="178"/>
        <v>0.0381959372988281-2.54579969427159i</v>
      </c>
      <c r="Z466" s="246" t="str">
        <f t="shared" si="179"/>
        <v>-0.23353349430877-0.439692033477929i</v>
      </c>
      <c r="AA466" s="246" t="str">
        <f t="shared" si="180"/>
        <v>-1.31725388449755+0.713914161050265i</v>
      </c>
      <c r="AB466" s="246">
        <f t="shared" si="189"/>
        <v>3.5118369475667039</v>
      </c>
      <c r="AC466" s="246">
        <f t="shared" si="190"/>
        <v>-208.45643382860166</v>
      </c>
      <c r="AD466" s="248">
        <f t="shared" si="191"/>
        <v>-21.733607917866806</v>
      </c>
      <c r="AE466" s="248">
        <f t="shared" si="192"/>
        <v>104.20201286669258</v>
      </c>
      <c r="AF466" s="246">
        <f t="shared" si="181"/>
        <v>-18.221770970300103</v>
      </c>
      <c r="AG466" s="246">
        <f t="shared" si="182"/>
        <v>-104.25442096190908</v>
      </c>
      <c r="AH466" s="249" t="str">
        <f t="shared" si="183"/>
        <v>0.0200951161244383-0.079403395600327i</v>
      </c>
    </row>
    <row r="467" spans="9:34" x14ac:dyDescent="0.2">
      <c r="I467" s="246">
        <v>463</v>
      </c>
      <c r="J467" s="246">
        <f t="shared" si="171"/>
        <v>5.5143067299007145</v>
      </c>
      <c r="K467" s="246">
        <f t="shared" si="169"/>
        <v>326818.57338817505</v>
      </c>
      <c r="L467" s="246">
        <f t="shared" si="184"/>
        <v>2053461.6584259749</v>
      </c>
      <c r="M467" s="246">
        <f t="shared" si="172"/>
        <v>325420.36606275436</v>
      </c>
      <c r="N467" s="246">
        <f>SQRT((ABS(AC467)-171.5+'Small Signal'!C$59)^2)</f>
        <v>110.15799560379475</v>
      </c>
      <c r="O467" s="246">
        <f t="shared" si="185"/>
        <v>107.75853441591408</v>
      </c>
      <c r="P467" s="246">
        <f t="shared" si="186"/>
        <v>18.265910777067088</v>
      </c>
      <c r="Q467" s="246">
        <f t="shared" si="170"/>
        <v>326818.57338817505</v>
      </c>
      <c r="R467" s="246" t="str">
        <f t="shared" si="173"/>
        <v>0.161233333333333+9.65126979460208i</v>
      </c>
      <c r="S467" s="246" t="str">
        <f t="shared" si="174"/>
        <v>0.025-0.051806654527433i</v>
      </c>
      <c r="T467" s="246" t="str">
        <f t="shared" si="175"/>
        <v>0.025085466564173-0.0516986520107571i</v>
      </c>
      <c r="U467" s="246" t="str">
        <f t="shared" si="176"/>
        <v>-0.147030344174909+0.234750866784932i</v>
      </c>
      <c r="V467" s="246">
        <f t="shared" si="187"/>
        <v>-11.150580563105484</v>
      </c>
      <c r="W467" s="246">
        <f t="shared" si="188"/>
        <v>-237.94005604407371</v>
      </c>
      <c r="X467" s="246" t="str">
        <f t="shared" si="177"/>
        <v>0.240459520629462-0.154159957674006i</v>
      </c>
      <c r="Y467" s="246" t="str">
        <f t="shared" si="178"/>
        <v>0.0365184061614471-2.48928315637665i</v>
      </c>
      <c r="Z467" s="246" t="str">
        <f t="shared" si="179"/>
        <v>-0.234582877139111-0.37799455573809i</v>
      </c>
      <c r="AA467" s="246" t="str">
        <f t="shared" si="180"/>
        <v>-1.29592041097676+0.799064898287355i</v>
      </c>
      <c r="AB467" s="246">
        <f t="shared" si="189"/>
        <v>3.6509739789525582</v>
      </c>
      <c r="AC467" s="246">
        <f t="shared" si="190"/>
        <v>-211.65799560379475</v>
      </c>
      <c r="AD467" s="248">
        <f t="shared" si="191"/>
        <v>-21.916884756019645</v>
      </c>
      <c r="AE467" s="248">
        <f t="shared" si="192"/>
        <v>103.89946118788066</v>
      </c>
      <c r="AF467" s="246">
        <f t="shared" si="181"/>
        <v>-18.265910777067088</v>
      </c>
      <c r="AG467" s="246">
        <f t="shared" si="182"/>
        <v>-107.75853441591408</v>
      </c>
      <c r="AH467" s="249" t="str">
        <f t="shared" si="183"/>
        <v>0.0192647315280083-0.0778483077442022i</v>
      </c>
    </row>
    <row r="468" spans="9:34" x14ac:dyDescent="0.2">
      <c r="I468" s="246">
        <v>464</v>
      </c>
      <c r="J468" s="246">
        <f t="shared" si="171"/>
        <v>5.5240568524274973</v>
      </c>
      <c r="K468" s="246">
        <f t="shared" si="169"/>
        <v>334238.79154435318</v>
      </c>
      <c r="L468" s="246">
        <f t="shared" si="184"/>
        <v>2100084.2641209406</v>
      </c>
      <c r="M468" s="246">
        <f t="shared" si="172"/>
        <v>333009.05578685738</v>
      </c>
      <c r="N468" s="246">
        <f>SQRT((ABS(AC468)-171.5+'Small Signal'!C$59)^2)</f>
        <v>113.58146146484663</v>
      </c>
      <c r="O468" s="246">
        <f t="shared" si="185"/>
        <v>111.47862689095537</v>
      </c>
      <c r="P468" s="246">
        <f t="shared" si="186"/>
        <v>18.336717442735019</v>
      </c>
      <c r="Q468" s="246">
        <f t="shared" si="170"/>
        <v>334238.79154435318</v>
      </c>
      <c r="R468" s="246" t="str">
        <f t="shared" si="173"/>
        <v>0.161233333333333+9.87039604136842i</v>
      </c>
      <c r="S468" s="246" t="str">
        <f t="shared" si="174"/>
        <v>0.025-0.050656528664546i</v>
      </c>
      <c r="T468" s="246" t="str">
        <f t="shared" si="175"/>
        <v>0.0250805716897155-0.0505509341623466i</v>
      </c>
      <c r="U468" s="246" t="str">
        <f t="shared" si="176"/>
        <v>-0.145838071139154+0.229558732295128i</v>
      </c>
      <c r="V468" s="246">
        <f t="shared" si="187"/>
        <v>-11.309681335959869</v>
      </c>
      <c r="W468" s="246">
        <f t="shared" si="188"/>
        <v>-237.57231006274131</v>
      </c>
      <c r="X468" s="246" t="str">
        <f t="shared" si="177"/>
        <v>0.205578170502901-0.157660066327652i</v>
      </c>
      <c r="Y468" s="246" t="str">
        <f t="shared" si="178"/>
        <v>0.0349145687166414-2.43402123263338i</v>
      </c>
      <c r="Z468" s="246" t="str">
        <f t="shared" si="179"/>
        <v>-0.23558616066426-0.316487547216883i</v>
      </c>
      <c r="AA468" s="246" t="str">
        <f t="shared" si="180"/>
        <v>-1.26219941670161+0.88647862650272i</v>
      </c>
      <c r="AB468" s="246">
        <f t="shared" si="189"/>
        <v>3.7639293099799676</v>
      </c>
      <c r="AC468" s="246">
        <f t="shared" si="190"/>
        <v>-215.08146146484663</v>
      </c>
      <c r="AD468" s="248">
        <f t="shared" si="191"/>
        <v>-22.100646752714987</v>
      </c>
      <c r="AE468" s="248">
        <f t="shared" si="192"/>
        <v>103.60283457389126</v>
      </c>
      <c r="AF468" s="246">
        <f t="shared" si="181"/>
        <v>-18.336717442735019</v>
      </c>
      <c r="AG468" s="246">
        <f t="shared" si="182"/>
        <v>-111.47862689095537</v>
      </c>
      <c r="AH468" s="249" t="str">
        <f t="shared" si="183"/>
        <v>0.0184665973845521-0.0763152450876938i</v>
      </c>
    </row>
    <row r="469" spans="9:34" x14ac:dyDescent="0.2">
      <c r="I469" s="246">
        <v>465</v>
      </c>
      <c r="J469" s="246">
        <f t="shared" si="171"/>
        <v>5.5338069749542811</v>
      </c>
      <c r="K469" s="246">
        <f t="shared" ref="K469:K504" si="193">10^(J469)</f>
        <v>341827.48126845621</v>
      </c>
      <c r="L469" s="246">
        <f t="shared" si="184"/>
        <v>2147765.4078961695</v>
      </c>
      <c r="M469" s="246">
        <f t="shared" si="172"/>
        <v>340770.04212399689</v>
      </c>
      <c r="N469" s="246">
        <f>SQRT((ABS(AC469)-171.5+'Small Signal'!C$59)^2)</f>
        <v>117.21535445272912</v>
      </c>
      <c r="O469" s="246">
        <f t="shared" si="185"/>
        <v>115.4033052446015</v>
      </c>
      <c r="P469" s="246">
        <f t="shared" si="186"/>
        <v>18.440385908193182</v>
      </c>
      <c r="Q469" s="246">
        <f t="shared" ref="Q469:Q504" si="194">K469</f>
        <v>341827.48126845621</v>
      </c>
      <c r="R469" s="246" t="str">
        <f t="shared" si="173"/>
        <v>0.161233333333333+10.094497417112i</v>
      </c>
      <c r="S469" s="246" t="str">
        <f t="shared" si="174"/>
        <v>0.025-0.0495319359983598i</v>
      </c>
      <c r="T469" s="246" t="str">
        <f t="shared" si="175"/>
        <v>0.0250758917367753-0.0494286953796475i</v>
      </c>
      <c r="U469" s="246" t="str">
        <f t="shared" si="176"/>
        <v>-0.14469814360744+0.224480599983007i</v>
      </c>
      <c r="V469" s="246">
        <f t="shared" si="187"/>
        <v>-11.467333011549508</v>
      </c>
      <c r="W469" s="246">
        <f t="shared" si="188"/>
        <v>-237.19454168799649</v>
      </c>
      <c r="X469" s="246" t="str">
        <f t="shared" si="177"/>
        <v>0.169094919464271-0.161239642832564i</v>
      </c>
      <c r="Y469" s="246" t="str">
        <f t="shared" si="178"/>
        <v>0.0333811860630241-2.37998607498369i</v>
      </c>
      <c r="Z469" s="246" t="str">
        <f t="shared" si="179"/>
        <v>-0.236545370994824-0.255140009367713i</v>
      </c>
      <c r="AA469" s="246" t="str">
        <f t="shared" si="180"/>
        <v>-1.21468975934095+0.973684567885952i</v>
      </c>
      <c r="AB469" s="246">
        <f t="shared" si="189"/>
        <v>3.8444891063768334</v>
      </c>
      <c r="AC469" s="246">
        <f t="shared" si="190"/>
        <v>-218.71535445272912</v>
      </c>
      <c r="AD469" s="248">
        <f t="shared" si="191"/>
        <v>-22.284875014570016</v>
      </c>
      <c r="AE469" s="248">
        <f t="shared" si="192"/>
        <v>103.31204920812762</v>
      </c>
      <c r="AF469" s="246">
        <f t="shared" si="181"/>
        <v>-18.440385908193182</v>
      </c>
      <c r="AG469" s="246">
        <f t="shared" si="182"/>
        <v>-115.4033052446015</v>
      </c>
      <c r="AH469" s="249" t="str">
        <f t="shared" si="183"/>
        <v>0.0176996292115588-0.0748044305730462i</v>
      </c>
    </row>
    <row r="470" spans="9:34" x14ac:dyDescent="0.2">
      <c r="I470" s="246">
        <v>466</v>
      </c>
      <c r="J470" s="246">
        <f t="shared" si="171"/>
        <v>5.543557097481064</v>
      </c>
      <c r="K470" s="246">
        <f t="shared" si="193"/>
        <v>349588.46760559571</v>
      </c>
      <c r="L470" s="246">
        <f t="shared" si="184"/>
        <v>2196529.1232189056</v>
      </c>
      <c r="M470" s="246">
        <f t="shared" si="172"/>
        <v>348707.23696462403</v>
      </c>
      <c r="N470" s="246">
        <f>SQRT((ABS(AC470)-171.5+'Small Signal'!C$59)^2)</f>
        <v>121.03845566079448</v>
      </c>
      <c r="O470" s="246">
        <f t="shared" si="185"/>
        <v>119.51143525247619</v>
      </c>
      <c r="P470" s="246">
        <f t="shared" si="186"/>
        <v>18.583141927430631</v>
      </c>
      <c r="Q470" s="246">
        <f t="shared" si="194"/>
        <v>349588.46760559571</v>
      </c>
      <c r="R470" s="246" t="str">
        <f t="shared" si="173"/>
        <v>0.161233333333333+10.3236868791289i</v>
      </c>
      <c r="S470" s="246" t="str">
        <f t="shared" si="174"/>
        <v>0.025-0.0484323096829717i</v>
      </c>
      <c r="T470" s="246" t="str">
        <f t="shared" si="175"/>
        <v>0.0250714172687724-0.0483313700622671i</v>
      </c>
      <c r="U470" s="246" t="str">
        <f t="shared" si="176"/>
        <v>-0.143608263600516+0.219514021391316i</v>
      </c>
      <c r="V470" s="246">
        <f t="shared" si="187"/>
        <v>-11.623500897003282</v>
      </c>
      <c r="W470" s="246">
        <f t="shared" si="188"/>
        <v>-236.80688797062845</v>
      </c>
      <c r="X470" s="246" t="str">
        <f t="shared" si="177"/>
        <v>0.130936201366552-0.164900491458265i</v>
      </c>
      <c r="Y470" s="246" t="str">
        <f t="shared" si="178"/>
        <v>0.0319151617846393-2.32715045328446i</v>
      </c>
      <c r="Z470" s="246" t="str">
        <f t="shared" si="179"/>
        <v>-0.237462445108409-0.193921023771821i</v>
      </c>
      <c r="AA470" s="246" t="str">
        <f t="shared" si="180"/>
        <v>-1.15261448202729+1.0576006379288i</v>
      </c>
      <c r="AB470" s="246">
        <f t="shared" si="189"/>
        <v>3.8864093602657319</v>
      </c>
      <c r="AC470" s="246">
        <f t="shared" si="190"/>
        <v>-222.53845566079448</v>
      </c>
      <c r="AD470" s="248">
        <f t="shared" si="191"/>
        <v>-22.469551287696362</v>
      </c>
      <c r="AE470" s="248">
        <f t="shared" si="192"/>
        <v>103.02702040831829</v>
      </c>
      <c r="AF470" s="246">
        <f t="shared" si="181"/>
        <v>-18.583141927430631</v>
      </c>
      <c r="AG470" s="246">
        <f t="shared" si="182"/>
        <v>-119.51143525247619</v>
      </c>
      <c r="AH470" s="249" t="str">
        <f t="shared" si="183"/>
        <v>0.0169627651817526-0.0733160456888139i</v>
      </c>
    </row>
    <row r="471" spans="9:34" x14ac:dyDescent="0.2">
      <c r="I471" s="246">
        <v>467</v>
      </c>
      <c r="J471" s="246">
        <f t="shared" si="171"/>
        <v>5.5533072200078477</v>
      </c>
      <c r="K471" s="246">
        <f t="shared" si="193"/>
        <v>357525.66244622285</v>
      </c>
      <c r="L471" s="246">
        <f t="shared" si="184"/>
        <v>2246399.9892217559</v>
      </c>
      <c r="M471" s="246">
        <f t="shared" si="172"/>
        <v>356824.64101629809</v>
      </c>
      <c r="N471" s="246">
        <f>SQRT((ABS(AC471)-171.5+'Small Signal'!C$59)^2)</f>
        <v>125.01908346086739</v>
      </c>
      <c r="O471" s="246">
        <f t="shared" si="185"/>
        <v>123.77142067450362</v>
      </c>
      <c r="P471" s="246">
        <f t="shared" si="186"/>
        <v>18.770797510276715</v>
      </c>
      <c r="Q471" s="246">
        <f t="shared" si="194"/>
        <v>357525.66244622285</v>
      </c>
      <c r="R471" s="246" t="str">
        <f t="shared" si="173"/>
        <v>0.161233333333333+10.5580799493423i</v>
      </c>
      <c r="S471" s="246" t="str">
        <f t="shared" si="174"/>
        <v>0.025-0.0473570954566554i</v>
      </c>
      <c r="T471" s="246" t="str">
        <f t="shared" si="175"/>
        <v>0.0250671392634529-0.0472584051634883i</v>
      </c>
      <c r="U471" s="246" t="str">
        <f t="shared" si="176"/>
        <v>-0.14256623400406+0.214656597046623i</v>
      </c>
      <c r="V471" s="246">
        <f t="shared" si="187"/>
        <v>-11.778150087640782</v>
      </c>
      <c r="W471" s="246">
        <f t="shared" si="188"/>
        <v>-236.40949470012055</v>
      </c>
      <c r="X471" s="246" t="str">
        <f t="shared" si="177"/>
        <v>0.091025071590325-0.168644457439134i</v>
      </c>
      <c r="Y471" s="246" t="str">
        <f t="shared" si="178"/>
        <v>0.0305135356712711-2.27548774161152i</v>
      </c>
      <c r="Z471" s="246" t="str">
        <f t="shared" si="179"/>
        <v>-0.238339234777965-0.132799736571039i</v>
      </c>
      <c r="AA471" s="246" t="str">
        <f t="shared" si="180"/>
        <v>-1.07610028160792+1.13472977490112i</v>
      </c>
      <c r="AB471" s="246">
        <f t="shared" si="189"/>
        <v>3.883860433696908</v>
      </c>
      <c r="AC471" s="246">
        <f t="shared" si="190"/>
        <v>-226.51908346086739</v>
      </c>
      <c r="AD471" s="248">
        <f t="shared" si="191"/>
        <v>-22.654657943973625</v>
      </c>
      <c r="AE471" s="248">
        <f t="shared" si="192"/>
        <v>102.74766278636378</v>
      </c>
      <c r="AF471" s="246">
        <f t="shared" si="181"/>
        <v>-18.770797510276715</v>
      </c>
      <c r="AG471" s="246">
        <f t="shared" si="182"/>
        <v>-123.77142067450362</v>
      </c>
      <c r="AH471" s="249" t="str">
        <f t="shared" si="183"/>
        <v>0.0162549668704576-0.0718502328522439i</v>
      </c>
    </row>
    <row r="472" spans="9:34" x14ac:dyDescent="0.2">
      <c r="I472" s="246">
        <v>468</v>
      </c>
      <c r="J472" s="246">
        <f t="shared" si="171"/>
        <v>5.5630573425346315</v>
      </c>
      <c r="K472" s="246">
        <f t="shared" si="193"/>
        <v>365643.06649789691</v>
      </c>
      <c r="L472" s="246">
        <f t="shared" si="184"/>
        <v>2297403.1430916744</v>
      </c>
      <c r="M472" s="246">
        <f t="shared" si="172"/>
        <v>365126.34582022321</v>
      </c>
      <c r="N472" s="246">
        <f>SQRT((ABS(AC472)-171.5+'Small Signal'!C$59)^2)</f>
        <v>129.11547135229452</v>
      </c>
      <c r="O472" s="246">
        <f t="shared" si="185"/>
        <v>128.14158095338018</v>
      </c>
      <c r="P472" s="246">
        <f t="shared" si="186"/>
        <v>19.00823897763102</v>
      </c>
      <c r="Q472" s="246">
        <f t="shared" si="194"/>
        <v>365643.06649789691</v>
      </c>
      <c r="R472" s="246" t="str">
        <f t="shared" si="173"/>
        <v>0.161233333333333+10.7977947725309i</v>
      </c>
      <c r="S472" s="246" t="str">
        <f t="shared" si="174"/>
        <v>0.025-0.0463057513624893i</v>
      </c>
      <c r="T472" s="246" t="str">
        <f t="shared" si="175"/>
        <v>0.025063049094698-0.0462092599117575i</v>
      </c>
      <c r="U472" s="246" t="str">
        <f t="shared" si="176"/>
        <v>-0.141569954142891+0.209905975722203i</v>
      </c>
      <c r="V472" s="246">
        <f t="shared" si="187"/>
        <v>-11.931245546059824</v>
      </c>
      <c r="W472" s="246">
        <f t="shared" si="188"/>
        <v>-236.0025166596069</v>
      </c>
      <c r="X472" s="246" t="str">
        <f t="shared" si="177"/>
        <v>0.049281051889881-0.172473427904477i</v>
      </c>
      <c r="Y472" s="246" t="str">
        <f t="shared" si="178"/>
        <v>0.029173477716693-2.22497190486591i</v>
      </c>
      <c r="Z472" s="246" t="str">
        <f t="shared" si="179"/>
        <v>-0.239177510326311-0.0717453429319874i</v>
      </c>
      <c r="AA472" s="246" t="str">
        <f t="shared" si="180"/>
        <v>-0.986378321551339+1.20149794417446i</v>
      </c>
      <c r="AB472" s="246">
        <f t="shared" si="189"/>
        <v>3.8319389892876159</v>
      </c>
      <c r="AC472" s="246">
        <f t="shared" si="190"/>
        <v>-230.61547135229452</v>
      </c>
      <c r="AD472" s="248">
        <f t="shared" si="191"/>
        <v>-22.840177966918635</v>
      </c>
      <c r="AE472" s="248">
        <f t="shared" si="192"/>
        <v>102.47389039891435</v>
      </c>
      <c r="AF472" s="246">
        <f t="shared" si="181"/>
        <v>-19.00823897763102</v>
      </c>
      <c r="AG472" s="246">
        <f t="shared" si="182"/>
        <v>-128.14158095338018</v>
      </c>
      <c r="AH472" s="249" t="str">
        <f t="shared" si="183"/>
        <v>0.0155752198649186-0.0704070977234159i</v>
      </c>
    </row>
    <row r="473" spans="9:34" x14ac:dyDescent="0.2">
      <c r="I473" s="246">
        <v>469</v>
      </c>
      <c r="J473" s="246">
        <f t="shared" si="171"/>
        <v>5.5728074650614143</v>
      </c>
      <c r="K473" s="246">
        <f t="shared" si="193"/>
        <v>373944.77130182204</v>
      </c>
      <c r="L473" s="246">
        <f t="shared" si="184"/>
        <v>2349564.2927402388</v>
      </c>
      <c r="M473" s="246">
        <f t="shared" si="172"/>
        <v>373616.53581357532</v>
      </c>
      <c r="N473" s="246">
        <f>SQRT((ABS(AC473)-171.5+'Small Signal'!C$59)^2)</f>
        <v>133.27748876765958</v>
      </c>
      <c r="O473" s="246">
        <f t="shared" si="185"/>
        <v>132.57187187870264</v>
      </c>
      <c r="P473" s="246">
        <f t="shared" si="186"/>
        <v>19.298924420321761</v>
      </c>
      <c r="Q473" s="246">
        <f t="shared" si="194"/>
        <v>373944.77130182204</v>
      </c>
      <c r="R473" s="246" t="str">
        <f t="shared" si="173"/>
        <v>0.161233333333333+11.0429521758791i</v>
      </c>
      <c r="S473" s="246" t="str">
        <f t="shared" si="174"/>
        <v>0.025-0.0452777474751851i</v>
      </c>
      <c r="T473" s="246" t="str">
        <f t="shared" si="175"/>
        <v>0.0250591385151315-0.0451834055383478i</v>
      </c>
      <c r="U473" s="246" t="str">
        <f t="shared" si="176"/>
        <v>-0.140617415549235+0.20525985369444i</v>
      </c>
      <c r="V473" s="246">
        <f t="shared" si="187"/>
        <v>-12.082752184980073</v>
      </c>
      <c r="W473" s="246">
        <f t="shared" si="188"/>
        <v>-235.58611785661955</v>
      </c>
      <c r="X473" s="246" t="str">
        <f t="shared" si="177"/>
        <v>0.00561996811397703-0.176389332829731i</v>
      </c>
      <c r="Y473" s="246" t="str">
        <f t="shared" si="178"/>
        <v>0.0278922823820305-2.17557748567637i</v>
      </c>
      <c r="Z473" s="246" t="str">
        <f t="shared" si="179"/>
        <v>-0.239978964214712-0.0107270715338663i</v>
      </c>
      <c r="AA473" s="246" t="str">
        <f t="shared" si="180"/>
        <v>-0.885826425841414+1.25469215192947i</v>
      </c>
      <c r="AB473" s="246">
        <f t="shared" si="189"/>
        <v>3.7271705169078744</v>
      </c>
      <c r="AC473" s="246">
        <f t="shared" si="190"/>
        <v>-234.77748876765958</v>
      </c>
      <c r="AD473" s="248">
        <f t="shared" si="191"/>
        <v>-23.026094937229637</v>
      </c>
      <c r="AE473" s="248">
        <f t="shared" si="192"/>
        <v>102.20561688895694</v>
      </c>
      <c r="AF473" s="246">
        <f t="shared" si="181"/>
        <v>-19.298924420321761</v>
      </c>
      <c r="AG473" s="246">
        <f t="shared" si="182"/>
        <v>-132.57187187870264</v>
      </c>
      <c r="AH473" s="249" t="str">
        <f t="shared" si="183"/>
        <v>0.0149225342460108-0.0689867114473851i</v>
      </c>
    </row>
    <row r="474" spans="9:34" x14ac:dyDescent="0.2">
      <c r="I474" s="246">
        <v>470</v>
      </c>
      <c r="J474" s="246">
        <f t="shared" si="171"/>
        <v>5.5825575875881981</v>
      </c>
      <c r="K474" s="246">
        <f t="shared" si="193"/>
        <v>382434.96129517414</v>
      </c>
      <c r="L474" s="246">
        <f t="shared" si="184"/>
        <v>2402909.7297616317</v>
      </c>
      <c r="M474" s="246">
        <f t="shared" si="172"/>
        <v>382299.49043864635</v>
      </c>
      <c r="N474" s="246">
        <f>SQRT((ABS(AC474)-171.5+'Small Signal'!C$59)^2)</f>
        <v>137.44966642584336</v>
      </c>
      <c r="O474" s="246">
        <f t="shared" si="185"/>
        <v>137.00691080714245</v>
      </c>
      <c r="P474" s="246">
        <f t="shared" si="186"/>
        <v>19.644487282431641</v>
      </c>
      <c r="Q474" s="246">
        <f t="shared" si="194"/>
        <v>382434.96129517414</v>
      </c>
      <c r="R474" s="246" t="str">
        <f t="shared" si="173"/>
        <v>0.161233333333333+11.2936757298797i</v>
      </c>
      <c r="S474" s="246" t="str">
        <f t="shared" si="174"/>
        <v>0.025-0.0442725656339814i</v>
      </c>
      <c r="T474" s="246" t="str">
        <f t="shared" si="175"/>
        <v>0.0250553996394915-0.044180325011052i</v>
      </c>
      <c r="U474" s="246" t="str">
        <f t="shared" si="176"/>
        <v>-0.139706697916589+0.200715973994349i</v>
      </c>
      <c r="V474" s="246">
        <f t="shared" si="187"/>
        <v>-12.23263495368033</v>
      </c>
      <c r="W474" s="246">
        <f t="shared" si="188"/>
        <v>-235.16047172690696</v>
      </c>
      <c r="X474" s="246" t="str">
        <f t="shared" si="177"/>
        <v>-0.0400462195259901-0.180394146009259i</v>
      </c>
      <c r="Y474" s="246" t="str">
        <f t="shared" si="178"/>
        <v>0.0266673631129614-2.12727959159103i</v>
      </c>
      <c r="Z474" s="246" t="str">
        <f t="shared" si="179"/>
        <v>-0.240745214472802+0.0502858309279144i</v>
      </c>
      <c r="AA474" s="246" t="str">
        <f t="shared" si="180"/>
        <v>-0.777801812313034+1.29190747871313i</v>
      </c>
      <c r="AB474" s="246">
        <f t="shared" si="189"/>
        <v>3.567905735647396</v>
      </c>
      <c r="AC474" s="246">
        <f t="shared" si="190"/>
        <v>-238.94966642584336</v>
      </c>
      <c r="AD474" s="248">
        <f t="shared" si="191"/>
        <v>-23.212393018079037</v>
      </c>
      <c r="AE474" s="248">
        <f t="shared" si="192"/>
        <v>101.94275561870093</v>
      </c>
      <c r="AF474" s="246">
        <f t="shared" si="181"/>
        <v>-19.644487282431641</v>
      </c>
      <c r="AG474" s="246">
        <f t="shared" si="182"/>
        <v>-137.00691080714245</v>
      </c>
      <c r="AH474" s="249" t="str">
        <f t="shared" si="183"/>
        <v>0.0142959449523885-0.0675891128213885i</v>
      </c>
    </row>
    <row r="475" spans="9:34" x14ac:dyDescent="0.2">
      <c r="I475" s="246">
        <v>471</v>
      </c>
      <c r="J475" s="246">
        <f t="shared" si="171"/>
        <v>5.592307710114981</v>
      </c>
      <c r="K475" s="246">
        <f t="shared" si="193"/>
        <v>391117.91592024517</v>
      </c>
      <c r="L475" s="246">
        <f t="shared" si="184"/>
        <v>2457466.3426847854</v>
      </c>
      <c r="M475" s="246">
        <f t="shared" si="172"/>
        <v>391179.58629988012</v>
      </c>
      <c r="N475" s="246">
        <f>SQRT((ABS(AC475)-171.5+'Small Signal'!C$59)^2)</f>
        <v>141.57513910195559</v>
      </c>
      <c r="O475" s="246">
        <f t="shared" si="185"/>
        <v>141.38991930789479</v>
      </c>
      <c r="P475" s="246">
        <f t="shared" si="186"/>
        <v>20.044534638053822</v>
      </c>
      <c r="Q475" s="246">
        <f t="shared" si="194"/>
        <v>391117.91592024517</v>
      </c>
      <c r="R475" s="246" t="str">
        <f t="shared" si="173"/>
        <v>0.161233333333333+11.5500918106185i</v>
      </c>
      <c r="S475" s="246" t="str">
        <f t="shared" si="174"/>
        <v>0.025-0.043289699181467i</v>
      </c>
      <c r="T475" s="246" t="str">
        <f t="shared" si="175"/>
        <v>0.025051824928731-0.0431995127737814i</v>
      </c>
      <c r="U475" s="246" t="str">
        <f t="shared" si="176"/>
        <v>-0.138835965230996+0.19627212565576i</v>
      </c>
      <c r="V475" s="246">
        <f t="shared" si="187"/>
        <v>-12.38085892782591</v>
      </c>
      <c r="W475" s="246">
        <f t="shared" si="188"/>
        <v>-234.72576130865463</v>
      </c>
      <c r="X475" s="246" t="str">
        <f t="shared" si="177"/>
        <v>-0.0878095939825401-0.184489886051232i</v>
      </c>
      <c r="Y475" s="246" t="str">
        <f t="shared" si="178"/>
        <v>0.0254962470989009-2.08005388255259i</v>
      </c>
      <c r="Z475" s="246" t="str">
        <f t="shared" si="179"/>
        <v>-0.241477807976981+0.111324115229879i</v>
      </c>
      <c r="AA475" s="246" t="str">
        <f t="shared" si="180"/>
        <v>-0.666274620865933+1.31188789990613i</v>
      </c>
      <c r="AB475" s="246">
        <f t="shared" si="189"/>
        <v>3.3545223021678678</v>
      </c>
      <c r="AC475" s="246">
        <f t="shared" si="190"/>
        <v>-243.07513910195559</v>
      </c>
      <c r="AD475" s="248">
        <f t="shared" si="191"/>
        <v>-23.399056940221691</v>
      </c>
      <c r="AE475" s="248">
        <f t="shared" si="192"/>
        <v>101.68521979406079</v>
      </c>
      <c r="AF475" s="246">
        <f t="shared" si="181"/>
        <v>-20.044534638053822</v>
      </c>
      <c r="AG475" s="246">
        <f t="shared" si="182"/>
        <v>-141.38991930789479</v>
      </c>
      <c r="AH475" s="249" t="str">
        <f t="shared" si="183"/>
        <v>0.0136945120367156-0.0662143103849305i</v>
      </c>
    </row>
    <row r="476" spans="9:34" x14ac:dyDescent="0.2">
      <c r="I476" s="246">
        <v>472</v>
      </c>
      <c r="J476" s="246">
        <f t="shared" si="171"/>
        <v>5.6020578326417656</v>
      </c>
      <c r="K476" s="246">
        <f t="shared" si="193"/>
        <v>399998.01178147894</v>
      </c>
      <c r="L476" s="246">
        <f t="shared" si="184"/>
        <v>2513261.6305264356</v>
      </c>
      <c r="M476" s="246">
        <f t="shared" si="172"/>
        <v>400261.29936987458</v>
      </c>
      <c r="N476" s="246">
        <f>SQRT((ABS(AC476)-171.5+'Small Signal'!C$59)^2)</f>
        <v>145.59983996409363</v>
      </c>
      <c r="O476" s="246">
        <f t="shared" si="185"/>
        <v>145.66691738304792</v>
      </c>
      <c r="P476" s="246">
        <f t="shared" si="186"/>
        <v>20.496688926077205</v>
      </c>
      <c r="Q476" s="246">
        <f t="shared" si="194"/>
        <v>399998.01178147894</v>
      </c>
      <c r="R476" s="246" t="str">
        <f t="shared" si="173"/>
        <v>0.161233333333333+11.8123296634742i</v>
      </c>
      <c r="S476" s="246" t="str">
        <f t="shared" si="174"/>
        <v>0.025-0.0423286527082025i</v>
      </c>
      <c r="T476" s="246" t="str">
        <f t="shared" si="175"/>
        <v>0.0250484071748178-0.0422404744919319i</v>
      </c>
      <c r="U476" s="246" t="str">
        <f t="shared" si="176"/>
        <v>-0.13800346207202+0.191926142961519i</v>
      </c>
      <c r="V476" s="246">
        <f t="shared" si="187"/>
        <v>-12.527389402439354</v>
      </c>
      <c r="W476" s="246">
        <f t="shared" si="188"/>
        <v>-234.28217938445005</v>
      </c>
      <c r="X476" s="246" t="str">
        <f t="shared" si="177"/>
        <v>-0.13776646705163-0.188678617395098i</v>
      </c>
      <c r="Y476" s="246" t="str">
        <f t="shared" si="178"/>
        <v>0.0243765702639571-2.03387655864999i</v>
      </c>
      <c r="Z476" s="246" t="str">
        <f t="shared" si="179"/>
        <v>-0.242178223583947+0.172418545108456i</v>
      </c>
      <c r="AA476" s="246" t="str">
        <f t="shared" si="180"/>
        <v>-0.555341318041044+1.31466678126088i</v>
      </c>
      <c r="AB476" s="246">
        <f t="shared" si="189"/>
        <v>3.0893830609025112</v>
      </c>
      <c r="AC476" s="246">
        <f t="shared" si="190"/>
        <v>-247.09983996409363</v>
      </c>
      <c r="AD476" s="248">
        <f t="shared" si="191"/>
        <v>-23.586071986979714</v>
      </c>
      <c r="AE476" s="248">
        <f t="shared" si="192"/>
        <v>101.43292258104572</v>
      </c>
      <c r="AF476" s="246">
        <f t="shared" si="181"/>
        <v>-20.496688926077205</v>
      </c>
      <c r="AG476" s="246">
        <f t="shared" si="182"/>
        <v>-145.66691738304792</v>
      </c>
      <c r="AH476" s="249" t="str">
        <f t="shared" si="183"/>
        <v>0.0131173208231974-0.0648622844312323i</v>
      </c>
    </row>
    <row r="477" spans="9:34" x14ac:dyDescent="0.2">
      <c r="I477" s="246">
        <v>473</v>
      </c>
      <c r="J477" s="246">
        <f t="shared" si="171"/>
        <v>5.6118079551685485</v>
      </c>
      <c r="K477" s="246">
        <f t="shared" si="193"/>
        <v>409079.72485147341</v>
      </c>
      <c r="L477" s="246">
        <f t="shared" si="184"/>
        <v>2570323.7166518457</v>
      </c>
      <c r="M477" s="246">
        <f t="shared" si="172"/>
        <v>409549.20724548411</v>
      </c>
      <c r="N477" s="246">
        <f>SQRT((ABS(AC477)-171.5+'Small Signal'!C$59)^2)</f>
        <v>149.4762000001804</v>
      </c>
      <c r="O477" s="246">
        <f t="shared" si="185"/>
        <v>149.79042278581477</v>
      </c>
      <c r="P477" s="246">
        <f t="shared" si="186"/>
        <v>20.996862883144583</v>
      </c>
      <c r="Q477" s="246">
        <f t="shared" si="194"/>
        <v>409079.72485147341</v>
      </c>
      <c r="R477" s="246" t="str">
        <f t="shared" si="173"/>
        <v>0.161233333333333+12.0805214682637i</v>
      </c>
      <c r="S477" s="246" t="str">
        <f t="shared" si="174"/>
        <v>0.025-0.0413889418030119i</v>
      </c>
      <c r="T477" s="246" t="str">
        <f t="shared" si="175"/>
        <v>0.0250451394862007-0.0413027268033983i</v>
      </c>
      <c r="U477" s="246" t="str">
        <f t="shared" si="176"/>
        <v>-0.137207510075938+0.187675904688967i</v>
      </c>
      <c r="V477" s="246">
        <f t="shared" si="187"/>
        <v>-12.672191987726141</v>
      </c>
      <c r="W477" s="246">
        <f t="shared" si="188"/>
        <v>-233.82992858843687</v>
      </c>
      <c r="X477" s="246" t="str">
        <f t="shared" si="177"/>
        <v>-0.19001757357908-0.192962451352157i</v>
      </c>
      <c r="Y477" s="246" t="str">
        <f t="shared" si="178"/>
        <v>0.0233060724788617-1.98872434814131i</v>
      </c>
      <c r="Z477" s="246" t="str">
        <f t="shared" si="179"/>
        <v>-0.242847875125856+0.233599912754946i</v>
      </c>
      <c r="AA477" s="246" t="str">
        <f t="shared" si="180"/>
        <v>-0.448738716500226+1.30147539286937i</v>
      </c>
      <c r="AB477" s="246">
        <f t="shared" si="189"/>
        <v>2.7765610960163061</v>
      </c>
      <c r="AC477" s="246">
        <f t="shared" si="190"/>
        <v>-250.9762000001804</v>
      </c>
      <c r="AD477" s="248">
        <f t="shared" si="191"/>
        <v>-23.773423979160889</v>
      </c>
      <c r="AE477" s="248">
        <f t="shared" si="192"/>
        <v>101.18577721436564</v>
      </c>
      <c r="AF477" s="246">
        <f t="shared" si="181"/>
        <v>-20.996862883144583</v>
      </c>
      <c r="AG477" s="246">
        <f t="shared" si="182"/>
        <v>-149.79042278581477</v>
      </c>
      <c r="AH477" s="249" t="str">
        <f t="shared" si="183"/>
        <v>0.012563481975181-0.0635329889391248i</v>
      </c>
    </row>
    <row r="478" spans="9:34" x14ac:dyDescent="0.2">
      <c r="I478" s="246">
        <v>474</v>
      </c>
      <c r="J478" s="246">
        <f t="shared" si="171"/>
        <v>5.6215580776953322</v>
      </c>
      <c r="K478" s="246">
        <f t="shared" si="193"/>
        <v>418367.63272708294</v>
      </c>
      <c r="L478" s="246">
        <f t="shared" si="184"/>
        <v>2628681.3629503129</v>
      </c>
      <c r="M478" s="246">
        <f t="shared" si="172"/>
        <v>419047.99145513133</v>
      </c>
      <c r="N478" s="246">
        <f>SQRT((ABS(AC478)-171.5+'Small Signal'!C$59)^2)</f>
        <v>153.16576298734918</v>
      </c>
      <c r="O478" s="246">
        <f t="shared" si="185"/>
        <v>153.72206588878043</v>
      </c>
      <c r="P478" s="246">
        <f t="shared" si="186"/>
        <v>21.539702527307035</v>
      </c>
      <c r="Q478" s="246">
        <f t="shared" si="194"/>
        <v>418367.63272708294</v>
      </c>
      <c r="R478" s="246" t="str">
        <f t="shared" si="173"/>
        <v>0.161233333333333+12.3548024058665i</v>
      </c>
      <c r="S478" s="246" t="str">
        <f t="shared" si="174"/>
        <v>0.025-0.0404700928088161i</v>
      </c>
      <c r="T478" s="246" t="str">
        <f t="shared" si="175"/>
        <v>0.0250420152739141-0.0403857970751022i</v>
      </c>
      <c r="U478" s="246" t="str">
        <f t="shared" si="176"/>
        <v>-0.136446504554074+0.183519333355864i</v>
      </c>
      <c r="V478" s="246">
        <f t="shared" si="187"/>
        <v>-12.81523270742149</v>
      </c>
      <c r="W478" s="246">
        <f t="shared" si="188"/>
        <v>-233.369221476196</v>
      </c>
      <c r="X478" s="246" t="str">
        <f t="shared" si="177"/>
        <v>-0.24466827458604-0.197343547169755i</v>
      </c>
      <c r="Y478" s="246" t="str">
        <f t="shared" si="178"/>
        <v>0.0222825929845306-1.94457449574146i</v>
      </c>
      <c r="Z478" s="246" t="str">
        <f t="shared" si="179"/>
        <v>-0.243488114273246+0.294899054325893i</v>
      </c>
      <c r="AA478" s="246" t="str">
        <f t="shared" si="180"/>
        <v>-0.349471993934442+1.27446186361169i</v>
      </c>
      <c r="AB478" s="246">
        <f t="shared" si="189"/>
        <v>2.4213967326542116</v>
      </c>
      <c r="AC478" s="246">
        <f t="shared" si="190"/>
        <v>-254.66576298734918</v>
      </c>
      <c r="AD478" s="248">
        <f t="shared" si="191"/>
        <v>-23.961099259961248</v>
      </c>
      <c r="AE478" s="248">
        <f t="shared" si="192"/>
        <v>100.94369709856873</v>
      </c>
      <c r="AF478" s="246">
        <f t="shared" si="181"/>
        <v>-21.539702527307035</v>
      </c>
      <c r="AG478" s="246">
        <f t="shared" si="182"/>
        <v>-153.72206588878043</v>
      </c>
      <c r="AH478" s="249" t="str">
        <f t="shared" si="183"/>
        <v>0.0120321314811462-0.0622263534250053i</v>
      </c>
    </row>
    <row r="479" spans="9:34" x14ac:dyDescent="0.2">
      <c r="I479" s="246">
        <v>475</v>
      </c>
      <c r="J479" s="246">
        <f t="shared" si="171"/>
        <v>5.6313082002221151</v>
      </c>
      <c r="K479" s="246">
        <f t="shared" si="193"/>
        <v>427866.41693673015</v>
      </c>
      <c r="L479" s="246">
        <f t="shared" si="184"/>
        <v>2688363.9843324376</v>
      </c>
      <c r="M479" s="246">
        <f t="shared" si="172"/>
        <v>428762.43981851247</v>
      </c>
      <c r="N479" s="246">
        <f>SQRT((ABS(AC479)-171.5+'Small Signal'!C$59)^2)</f>
        <v>156.64044506248956</v>
      </c>
      <c r="O479" s="246">
        <f t="shared" si="185"/>
        <v>157.43384916046367</v>
      </c>
      <c r="P479" s="246">
        <f t="shared" si="186"/>
        <v>22.119103238207327</v>
      </c>
      <c r="Q479" s="246">
        <f t="shared" si="194"/>
        <v>427866.41693673015</v>
      </c>
      <c r="R479" s="246" t="str">
        <f t="shared" si="173"/>
        <v>0.161233333333333+12.6353107263625i</v>
      </c>
      <c r="S479" s="246" t="str">
        <f t="shared" si="174"/>
        <v>0.025-0.0395716425838895i</v>
      </c>
      <c r="T479" s="246" t="str">
        <f t="shared" si="175"/>
        <v>0.0250390282382934-0.0394892231649221i</v>
      </c>
      <c r="U479" s="246" t="str">
        <f t="shared" si="176"/>
        <v>-0.135718911259465+0.179454394467828i</v>
      </c>
      <c r="V479" s="246">
        <f t="shared" si="187"/>
        <v>-12.956478099281908</v>
      </c>
      <c r="W479" s="246">
        <f t="shared" si="188"/>
        <v>-232.90028055504217</v>
      </c>
      <c r="X479" s="246" t="str">
        <f t="shared" si="177"/>
        <v>-0.30182876972285-0.201824113119642i</v>
      </c>
      <c r="Y479" s="246" t="str">
        <f t="shared" si="178"/>
        <v>0.0213040660174994-1.90140475116894i</v>
      </c>
      <c r="Z479" s="246" t="str">
        <f t="shared" si="179"/>
        <v>-0.244100233271561+0.356346865476332i</v>
      </c>
      <c r="AA479" s="246" t="str">
        <f t="shared" si="180"/>
        <v>-0.259620646495621+1.23631284375758i</v>
      </c>
      <c r="AB479" s="246">
        <f t="shared" si="189"/>
        <v>2.0299814416907203</v>
      </c>
      <c r="AC479" s="246">
        <f t="shared" si="190"/>
        <v>-258.14044506248956</v>
      </c>
      <c r="AD479" s="248">
        <f t="shared" si="191"/>
        <v>-24.149084679898046</v>
      </c>
      <c r="AE479" s="248">
        <f t="shared" si="192"/>
        <v>100.7065959020259</v>
      </c>
      <c r="AF479" s="246">
        <f t="shared" si="181"/>
        <v>-22.119103238207327</v>
      </c>
      <c r="AG479" s="246">
        <f t="shared" si="182"/>
        <v>-157.43384916046367</v>
      </c>
      <c r="AH479" s="249" t="str">
        <f t="shared" si="183"/>
        <v>0.0115224305669515-0.060942284714952i</v>
      </c>
    </row>
    <row r="480" spans="9:34" x14ac:dyDescent="0.2">
      <c r="I480" s="246">
        <v>476</v>
      </c>
      <c r="J480" s="246">
        <f t="shared" si="171"/>
        <v>5.6410583227488988</v>
      </c>
      <c r="K480" s="246">
        <f t="shared" si="193"/>
        <v>437580.8653001113</v>
      </c>
      <c r="L480" s="246">
        <f t="shared" si="184"/>
        <v>2749401.6635565888</v>
      </c>
      <c r="M480" s="246">
        <f t="shared" si="172"/>
        <v>438697.44885987294</v>
      </c>
      <c r="N480" s="246">
        <f>SQRT((ABS(AC480)-171.5+'Small Signal'!C$59)^2)</f>
        <v>159.8825076903567</v>
      </c>
      <c r="O480" s="246">
        <f t="shared" si="185"/>
        <v>160.90812004628157</v>
      </c>
      <c r="P480" s="246">
        <f t="shared" si="186"/>
        <v>22.728706323881944</v>
      </c>
      <c r="Q480" s="246">
        <f t="shared" si="194"/>
        <v>437580.8653001113</v>
      </c>
      <c r="R480" s="246" t="str">
        <f t="shared" si="173"/>
        <v>0.161233333333333+12.922187818716i</v>
      </c>
      <c r="S480" s="246" t="str">
        <f t="shared" si="174"/>
        <v>0.025-0.0386931382684147i</v>
      </c>
      <c r="T480" s="246" t="str">
        <f t="shared" si="175"/>
        <v>0.025036172356272-0.0386125531888974i</v>
      </c>
      <c r="U480" s="246" t="str">
        <f t="shared" si="176"/>
        <v>-0.135023263295353+0.175479095768194i</v>
      </c>
      <c r="V480" s="246">
        <f t="shared" si="187"/>
        <v>-13.095895317305025</v>
      </c>
      <c r="W480" s="246">
        <f t="shared" si="188"/>
        <v>-232.4233382725877</v>
      </c>
      <c r="X480" s="246" t="str">
        <f t="shared" si="177"/>
        <v>-0.36161431947942-0.206406407611046i</v>
      </c>
      <c r="Y480" s="246" t="str">
        <f t="shared" si="178"/>
        <v>0.0203685166284249-1.8591933579461i</v>
      </c>
      <c r="Z480" s="246" t="str">
        <f t="shared" si="179"/>
        <v>-0.244685467556919+0.417974316923358i</v>
      </c>
      <c r="AA480" s="246" t="str">
        <f t="shared" si="180"/>
        <v>-0.180323661870938+1.18987760111411i</v>
      </c>
      <c r="AB480" s="246">
        <f t="shared" si="189"/>
        <v>1.6086612579333426</v>
      </c>
      <c r="AC480" s="246">
        <f t="shared" si="190"/>
        <v>-261.3825076903567</v>
      </c>
      <c r="AD480" s="248">
        <f t="shared" si="191"/>
        <v>-24.337367581815286</v>
      </c>
      <c r="AE480" s="248">
        <f t="shared" si="192"/>
        <v>100.47438764407514</v>
      </c>
      <c r="AF480" s="246">
        <f t="shared" si="181"/>
        <v>-22.728706323881944</v>
      </c>
      <c r="AG480" s="246">
        <f t="shared" si="182"/>
        <v>-160.90812004628157</v>
      </c>
      <c r="AH480" s="249" t="str">
        <f t="shared" si="183"/>
        <v>0.0110335655417434-0.0596806686374994i</v>
      </c>
    </row>
    <row r="481" spans="9:34" x14ac:dyDescent="0.2">
      <c r="I481" s="246">
        <v>477</v>
      </c>
      <c r="J481" s="246">
        <f t="shared" si="171"/>
        <v>5.6508084452756817</v>
      </c>
      <c r="K481" s="246">
        <f t="shared" si="193"/>
        <v>447515.87434147176</v>
      </c>
      <c r="L481" s="246">
        <f t="shared" si="184"/>
        <v>2811825.1663919613</v>
      </c>
      <c r="M481" s="246">
        <f t="shared" si="172"/>
        <v>448858.02627608657</v>
      </c>
      <c r="N481" s="246">
        <f>SQRT((ABS(AC481)-171.5+'Small Signal'!C$59)^2)</f>
        <v>162.88355286643866</v>
      </c>
      <c r="O481" s="246">
        <f t="shared" si="185"/>
        <v>164.13656609080147</v>
      </c>
      <c r="P481" s="246">
        <f t="shared" si="186"/>
        <v>23.362309869620926</v>
      </c>
      <c r="Q481" s="246">
        <f t="shared" si="194"/>
        <v>447515.87434147176</v>
      </c>
      <c r="R481" s="246" t="str">
        <f t="shared" si="173"/>
        <v>0.161233333333333+13.2155782820422i</v>
      </c>
      <c r="S481" s="246" t="str">
        <f t="shared" si="174"/>
        <v>0.025-0.0378341370562208i</v>
      </c>
      <c r="T481" s="246" t="str">
        <f t="shared" si="175"/>
        <v>0.025033441869238-0.0377553452935954i</v>
      </c>
      <c r="U481" s="246" t="str">
        <f t="shared" si="176"/>
        <v>-0.134358158159303+0.171591486491238i</v>
      </c>
      <c r="V481" s="246">
        <f t="shared" si="187"/>
        <v>-13.23345223521623</v>
      </c>
      <c r="W481" s="246">
        <f t="shared" si="188"/>
        <v>-231.93863696164934</v>
      </c>
      <c r="X481" s="246" t="str">
        <f t="shared" si="177"/>
        <v>-0.42414547760079-0.211092740329009i</v>
      </c>
      <c r="Y481" s="246" t="str">
        <f t="shared" si="178"/>
        <v>0.0194740566851522-1.81791904244726i</v>
      </c>
      <c r="Z481" s="246" t="str">
        <f t="shared" si="179"/>
        <v>-0.245244998256474+0.479812470048538i</v>
      </c>
      <c r="AA481" s="246" t="str">
        <f t="shared" si="180"/>
        <v>-0.111898584646718+1.13786667489725i</v>
      </c>
      <c r="AB481" s="246">
        <f t="shared" si="189"/>
        <v>1.1636259163776752</v>
      </c>
      <c r="AC481" s="246">
        <f t="shared" si="190"/>
        <v>-264.38355286643866</v>
      </c>
      <c r="AD481" s="248">
        <f t="shared" si="191"/>
        <v>-24.525935785998602</v>
      </c>
      <c r="AE481" s="248">
        <f t="shared" si="192"/>
        <v>100.2469867756372</v>
      </c>
      <c r="AF481" s="246">
        <f t="shared" si="181"/>
        <v>-23.362309869620926</v>
      </c>
      <c r="AG481" s="246">
        <f t="shared" si="182"/>
        <v>-164.13656609080147</v>
      </c>
      <c r="AH481" s="249" t="str">
        <f t="shared" si="183"/>
        <v>0.0105647475844898-0.0584413716379485i</v>
      </c>
    </row>
    <row r="482" spans="9:34" x14ac:dyDescent="0.2">
      <c r="I482" s="246">
        <v>478</v>
      </c>
      <c r="J482" s="246">
        <f t="shared" si="171"/>
        <v>5.6605585678024655</v>
      </c>
      <c r="K482" s="246">
        <f t="shared" si="193"/>
        <v>457676.4517576854</v>
      </c>
      <c r="L482" s="246">
        <f t="shared" si="184"/>
        <v>2875665.9571259758</v>
      </c>
      <c r="M482" s="246">
        <f t="shared" si="172"/>
        <v>459249.29346075241</v>
      </c>
      <c r="N482" s="246">
        <f>SQRT((ABS(AC482)-171.5+'Small Signal'!C$59)^2)</f>
        <v>165.64294225373482</v>
      </c>
      <c r="O482" s="246">
        <f t="shared" si="185"/>
        <v>167.11863400012595</v>
      </c>
      <c r="P482" s="246">
        <f t="shared" si="186"/>
        <v>24.014162721530944</v>
      </c>
      <c r="Q482" s="246">
        <f t="shared" si="194"/>
        <v>457676.4517576854</v>
      </c>
      <c r="R482" s="246" t="str">
        <f t="shared" si="173"/>
        <v>0.161233333333333+13.5156299984921i</v>
      </c>
      <c r="S482" s="246" t="str">
        <f t="shared" si="174"/>
        <v>0.025-0.0369942059715887i</v>
      </c>
      <c r="T482" s="246" t="str">
        <f t="shared" si="175"/>
        <v>0.0250308312714224-0.0369171674335248i</v>
      </c>
      <c r="U482" s="246" t="str">
        <f t="shared" si="176"/>
        <v>-0.133722254916986+0.167789656619521i</v>
      </c>
      <c r="V482" s="246">
        <f t="shared" si="187"/>
        <v>-13.369117550726164</v>
      </c>
      <c r="W482" s="246">
        <f t="shared" si="188"/>
        <v>-231.4464287398078</v>
      </c>
      <c r="X482" s="246" t="str">
        <f t="shared" si="177"/>
        <v>-0.48954833417602-0.215885473398578i</v>
      </c>
      <c r="Y482" s="246" t="str">
        <f t="shared" si="178"/>
        <v>0.0186188810520249-1.77756100318913i</v>
      </c>
      <c r="Z482" s="246" t="str">
        <f t="shared" si="179"/>
        <v>-0.245779954578456+0.541892492546353i</v>
      </c>
      <c r="AA482" s="246" t="str">
        <f t="shared" si="180"/>
        <v>-0.0540315135164393+1.08265622373228i</v>
      </c>
      <c r="AB482" s="246">
        <f t="shared" si="189"/>
        <v>0.70061485390285549</v>
      </c>
      <c r="AC482" s="246">
        <f t="shared" si="190"/>
        <v>-267.14294225373482</v>
      </c>
      <c r="AD482" s="248">
        <f t="shared" si="191"/>
        <v>-24.7147775754338</v>
      </c>
      <c r="AE482" s="248">
        <f t="shared" si="192"/>
        <v>100.02430825360887</v>
      </c>
      <c r="AF482" s="246">
        <f t="shared" si="181"/>
        <v>-24.014162721530944</v>
      </c>
      <c r="AG482" s="246">
        <f t="shared" si="182"/>
        <v>-167.11863400012595</v>
      </c>
      <c r="AH482" s="249" t="str">
        <f t="shared" si="183"/>
        <v>0.0101152124776526-0.0572242423153869i</v>
      </c>
    </row>
    <row r="483" spans="9:34" x14ac:dyDescent="0.2">
      <c r="I483" s="246">
        <v>479</v>
      </c>
      <c r="J483" s="246">
        <f t="shared" si="171"/>
        <v>5.6703086903292483</v>
      </c>
      <c r="K483" s="246">
        <f t="shared" si="193"/>
        <v>468067.71894235123</v>
      </c>
      <c r="L483" s="246">
        <f t="shared" si="184"/>
        <v>2940956.2144236453</v>
      </c>
      <c r="M483" s="246">
        <f t="shared" si="172"/>
        <v>469876.48808561848</v>
      </c>
      <c r="N483" s="246">
        <f>SQRT((ABS(AC483)-171.5+'Small Signal'!C$59)^2)</f>
        <v>168.16601077225215</v>
      </c>
      <c r="O483" s="246">
        <f t="shared" si="185"/>
        <v>169.85974316291572</v>
      </c>
      <c r="P483" s="246">
        <f t="shared" si="186"/>
        <v>24.679140810391218</v>
      </c>
      <c r="Q483" s="246">
        <f t="shared" si="194"/>
        <v>468067.71894235123</v>
      </c>
      <c r="R483" s="246" t="str">
        <f t="shared" si="173"/>
        <v>0.161233333333333+13.8224942077911i</v>
      </c>
      <c r="S483" s="246" t="str">
        <f t="shared" si="174"/>
        <v>0.025-0.0361729216510123i</v>
      </c>
      <c r="T483" s="246" t="str">
        <f t="shared" si="175"/>
        <v>0.025028335298798-0.036097597153485i</v>
      </c>
      <c r="U483" s="246" t="str">
        <f t="shared" si="176"/>
        <v>-0.133114271499956+0.164071736146085i</v>
      </c>
      <c r="V483" s="246">
        <f t="shared" si="187"/>
        <v>-13.502860890025584</v>
      </c>
      <c r="W483" s="246">
        <f t="shared" si="188"/>
        <v>-230.9469753622094</v>
      </c>
      <c r="X483" s="246" t="str">
        <f t="shared" si="177"/>
        <v>-0.55795476989082-0.22078702257542i</v>
      </c>
      <c r="Y483" s="246" t="str">
        <f t="shared" si="178"/>
        <v>0.0178012639377314-1.73809890035851i</v>
      </c>
      <c r="Z483" s="246" t="str">
        <f t="shared" si="179"/>
        <v>-0.246291416096829+0.604245674126862i</v>
      </c>
      <c r="AA483" s="246" t="str">
        <f t="shared" si="180"/>
        <v>-0.00598197248654007+1.02619445799462i</v>
      </c>
      <c r="AB483" s="246">
        <f t="shared" si="189"/>
        <v>0.22474087084633038</v>
      </c>
      <c r="AC483" s="246">
        <f t="shared" si="190"/>
        <v>-269.66601077225215</v>
      </c>
      <c r="AD483" s="248">
        <f t="shared" si="191"/>
        <v>-24.903881681237547</v>
      </c>
      <c r="AE483" s="248">
        <f t="shared" si="192"/>
        <v>99.806267609336444</v>
      </c>
      <c r="AF483" s="246">
        <f t="shared" si="181"/>
        <v>-24.679140810391218</v>
      </c>
      <c r="AG483" s="246">
        <f t="shared" si="182"/>
        <v>-169.85974316291572</v>
      </c>
      <c r="AH483" s="249" t="str">
        <f t="shared" si="183"/>
        <v>0.0096842202940874-0.056029112883876i</v>
      </c>
    </row>
    <row r="484" spans="9:34" x14ac:dyDescent="0.2">
      <c r="I484" s="246">
        <v>480</v>
      </c>
      <c r="J484" s="246">
        <f t="shared" si="171"/>
        <v>5.6800588128560321</v>
      </c>
      <c r="K484" s="246">
        <f t="shared" si="193"/>
        <v>478694.9135672173</v>
      </c>
      <c r="L484" s="246">
        <f t="shared" si="184"/>
        <v>3007728.8475471418</v>
      </c>
      <c r="M484" s="246">
        <f t="shared" si="172"/>
        <v>480744.96674060391</v>
      </c>
      <c r="N484" s="246">
        <f>SQRT((ABS(AC484)-171.5+'Small Signal'!C$59)^2)</f>
        <v>170.46234653358465</v>
      </c>
      <c r="O484" s="246">
        <f t="shared" si="185"/>
        <v>172.36956552212052</v>
      </c>
      <c r="P484" s="246">
        <f t="shared" si="186"/>
        <v>25.352824161451867</v>
      </c>
      <c r="Q484" s="246">
        <f t="shared" si="194"/>
        <v>478694.9135672173</v>
      </c>
      <c r="R484" s="246" t="str">
        <f t="shared" si="173"/>
        <v>0.161233333333333+14.1363255834716i</v>
      </c>
      <c r="S484" s="246" t="str">
        <f t="shared" si="174"/>
        <v>0.025-0.035369870129803i</v>
      </c>
      <c r="T484" s="246" t="str">
        <f t="shared" si="175"/>
        <v>0.0250259489184655-0.0352962213757399i</v>
      </c>
      <c r="U484" s="246" t="str">
        <f t="shared" si="176"/>
        <v>-0.132532982121978+0.160435894342132i</v>
      </c>
      <c r="V484" s="246">
        <f t="shared" si="187"/>
        <v>-13.634652911953564</v>
      </c>
      <c r="W484" s="246">
        <f t="shared" si="188"/>
        <v>-230.44054802650621</v>
      </c>
      <c r="X484" s="246" t="str">
        <f t="shared" si="177"/>
        <v>-0.62950272195645-0.225799858463473i</v>
      </c>
      <c r="Y484" s="246" t="str">
        <f t="shared" si="178"/>
        <v>0.0170195554042026-1.6995128455716i</v>
      </c>
      <c r="Z484" s="246" t="str">
        <f t="shared" si="179"/>
        <v>-0.246780414935177+0.666903442280198i</v>
      </c>
      <c r="AA484" s="246" t="str">
        <f t="shared" si="180"/>
        <v>0.0332344744852398+0.969986940279715i</v>
      </c>
      <c r="AB484" s="246">
        <f t="shared" si="189"/>
        <v>-0.25958689316395428</v>
      </c>
      <c r="AC484" s="246">
        <f t="shared" si="190"/>
        <v>-271.96234653358465</v>
      </c>
      <c r="AD484" s="248">
        <f t="shared" si="191"/>
        <v>-25.093237268287911</v>
      </c>
      <c r="AE484" s="248">
        <f t="shared" si="192"/>
        <v>99.592781011464112</v>
      </c>
      <c r="AF484" s="246">
        <f t="shared" si="181"/>
        <v>-25.352824161451867</v>
      </c>
      <c r="AG484" s="246">
        <f t="shared" si="182"/>
        <v>-172.36956552212052</v>
      </c>
      <c r="AH484" s="249" t="str">
        <f t="shared" si="183"/>
        <v>0.00927105504283243-0.0548558005594682i</v>
      </c>
    </row>
    <row r="485" spans="9:34" x14ac:dyDescent="0.2">
      <c r="I485" s="246">
        <v>481</v>
      </c>
      <c r="J485" s="246">
        <f t="shared" si="171"/>
        <v>5.6898089353828158</v>
      </c>
      <c r="K485" s="246">
        <f t="shared" si="193"/>
        <v>489563.39222220273</v>
      </c>
      <c r="L485" s="246">
        <f t="shared" si="184"/>
        <v>3076017.5129435412</v>
      </c>
      <c r="M485" s="246">
        <f t="shared" si="172"/>
        <v>491860.2076337614</v>
      </c>
      <c r="N485" s="246">
        <f>SQRT((ABS(AC485)-171.5+'Small Signal'!C$59)^2)</f>
        <v>172.54429643120716</v>
      </c>
      <c r="O485" s="246">
        <f t="shared" si="185"/>
        <v>174.66053110776096</v>
      </c>
      <c r="P485" s="246">
        <f t="shared" si="186"/>
        <v>26.031500730413093</v>
      </c>
      <c r="Q485" s="246">
        <f t="shared" si="194"/>
        <v>489563.39222220273</v>
      </c>
      <c r="R485" s="246" t="str">
        <f t="shared" si="173"/>
        <v>0.161233333333333+14.4572823108346i</v>
      </c>
      <c r="S485" s="246" t="str">
        <f t="shared" si="174"/>
        <v>0.025-0.0345846466334331i</v>
      </c>
      <c r="T485" s="246" t="str">
        <f t="shared" si="175"/>
        <v>0.0250236673185051-0.034512636191913i</v>
      </c>
      <c r="U485" s="246" t="str">
        <f t="shared" si="176"/>
        <v>-0.131977214808717+0.156880339030826i</v>
      </c>
      <c r="V485" s="246">
        <f t="shared" si="187"/>
        <v>-13.764465411245062</v>
      </c>
      <c r="W485" s="246">
        <f t="shared" si="188"/>
        <v>-229.92742712918124</v>
      </c>
      <c r="X485" s="246" t="str">
        <f t="shared" si="177"/>
        <v>-0.70433646225146-0.230926507760248i</v>
      </c>
      <c r="Y485" s="246" t="str">
        <f t="shared" si="178"/>
        <v>0.0162721780293755-1.66178339186031i</v>
      </c>
      <c r="Z485" s="246" t="str">
        <f t="shared" si="179"/>
        <v>-0.247247937854331+0.729897378111303i</v>
      </c>
      <c r="AA485" s="246" t="str">
        <f t="shared" si="180"/>
        <v>0.0647032815811466+0.915132207312486i</v>
      </c>
      <c r="AB485" s="246">
        <f t="shared" si="189"/>
        <v>-0.74866680933720275</v>
      </c>
      <c r="AC485" s="246">
        <f t="shared" si="190"/>
        <v>-274.04429643120716</v>
      </c>
      <c r="AD485" s="248">
        <f t="shared" si="191"/>
        <v>-25.282833921075891</v>
      </c>
      <c r="AE485" s="248">
        <f t="shared" si="192"/>
        <v>99.383765323446212</v>
      </c>
      <c r="AF485" s="246">
        <f t="shared" si="181"/>
        <v>-26.031500730413093</v>
      </c>
      <c r="AG485" s="246">
        <f t="shared" si="182"/>
        <v>-174.66053110776096</v>
      </c>
      <c r="AH485" s="249" t="str">
        <f t="shared" si="183"/>
        <v>0.00887502427904981-0.0537041088749281i</v>
      </c>
    </row>
    <row r="486" spans="9:34" x14ac:dyDescent="0.2">
      <c r="I486" s="246">
        <v>482</v>
      </c>
      <c r="J486" s="246">
        <f t="shared" si="171"/>
        <v>5.6995590579095987</v>
      </c>
      <c r="K486" s="246">
        <f t="shared" si="193"/>
        <v>500678.63311536022</v>
      </c>
      <c r="L486" s="246">
        <f t="shared" si="184"/>
        <v>3145856.63120919</v>
      </c>
      <c r="M486" s="246">
        <f t="shared" si="172"/>
        <v>503227.81335254968</v>
      </c>
      <c r="N486" s="246">
        <f>SQRT((ABS(AC486)-171.5+'Small Signal'!C$59)^2)</f>
        <v>174.42576285188159</v>
      </c>
      <c r="O486" s="246">
        <f t="shared" si="185"/>
        <v>176.7466246958777</v>
      </c>
      <c r="P486" s="246">
        <f t="shared" si="186"/>
        <v>26.712122912478527</v>
      </c>
      <c r="Q486" s="246">
        <f t="shared" si="194"/>
        <v>500678.63311536022</v>
      </c>
      <c r="R486" s="246" t="str">
        <f t="shared" si="173"/>
        <v>0.161233333333333+14.7855261666832i</v>
      </c>
      <c r="S486" s="246" t="str">
        <f t="shared" si="174"/>
        <v>0.025-0.0338168553735118i</v>
      </c>
      <c r="T486" s="246" t="str">
        <f t="shared" si="175"/>
        <v>0.0250214858982749-0.0337464466594976i</v>
      </c>
      <c r="U486" s="246" t="str">
        <f t="shared" si="176"/>
        <v>-0.131445849035811+0.15340331586769i</v>
      </c>
      <c r="V486" s="246">
        <f t="shared" si="187"/>
        <v>-13.892271420245033</v>
      </c>
      <c r="W486" s="246">
        <f t="shared" si="188"/>
        <v>-229.40790197285526</v>
      </c>
      <c r="X486" s="246" t="str">
        <f t="shared" si="177"/>
        <v>-0.78260688823655-0.236169554530391i</v>
      </c>
      <c r="Y486" s="246" t="str">
        <f t="shared" si="178"/>
        <v>0.0155576237171422-1.62489152388015i</v>
      </c>
      <c r="Z486" s="246" t="str">
        <f t="shared" si="179"/>
        <v>-0.247694928247964+0.793259232252097i</v>
      </c>
      <c r="AA486" s="246" t="str">
        <f t="shared" si="180"/>
        <v>0.0895105144141561+0.862382746874309i</v>
      </c>
      <c r="AB486" s="246">
        <f t="shared" si="189"/>
        <v>-1.2394612826789884</v>
      </c>
      <c r="AC486" s="246">
        <f t="shared" si="190"/>
        <v>-275.92576285188159</v>
      </c>
      <c r="AD486" s="248">
        <f t="shared" si="191"/>
        <v>-25.472661629799539</v>
      </c>
      <c r="AE486" s="248">
        <f t="shared" si="192"/>
        <v>99.179138156003901</v>
      </c>
      <c r="AF486" s="246">
        <f t="shared" si="181"/>
        <v>-26.712122912478527</v>
      </c>
      <c r="AG486" s="246">
        <f t="shared" si="182"/>
        <v>-176.7466246958777</v>
      </c>
      <c r="AH486" s="249" t="str">
        <f t="shared" si="183"/>
        <v>0.00849545868298682-0.0525738289241608i</v>
      </c>
    </row>
    <row r="487" spans="9:34" x14ac:dyDescent="0.2">
      <c r="I487" s="246">
        <v>483</v>
      </c>
      <c r="J487" s="246">
        <f t="shared" si="171"/>
        <v>5.7093091804363825</v>
      </c>
      <c r="K487" s="246">
        <f t="shared" si="193"/>
        <v>512046.23883414851</v>
      </c>
      <c r="L487" s="246">
        <f t="shared" si="184"/>
        <v>3217281.404439291</v>
      </c>
      <c r="M487" s="246">
        <f t="shared" si="172"/>
        <v>514853.51368778455</v>
      </c>
      <c r="N487" s="246">
        <f>SQRT((ABS(AC487)-171.5+'Small Signal'!C$59)^2)</f>
        <v>176.12129344942883</v>
      </c>
      <c r="O487" s="246">
        <f t="shared" si="185"/>
        <v>178.64247553462917</v>
      </c>
      <c r="P487" s="246">
        <f t="shared" si="186"/>
        <v>27.39223804368504</v>
      </c>
      <c r="Q487" s="246">
        <f t="shared" si="194"/>
        <v>512046.23883414851</v>
      </c>
      <c r="R487" s="246" t="str">
        <f t="shared" si="173"/>
        <v>0.161233333333333+15.1212226008647i</v>
      </c>
      <c r="S487" s="246" t="str">
        <f t="shared" si="174"/>
        <v>0.025-0.0330661093482884i</v>
      </c>
      <c r="T487" s="246" t="str">
        <f t="shared" si="175"/>
        <v>0.0250194002591336-0.0329972666028772i</v>
      </c>
      <c r="U487" s="246" t="str">
        <f t="shared" si="176"/>
        <v>-0.13093781347058+0.150003107628087i</v>
      </c>
      <c r="V487" s="246">
        <f t="shared" si="187"/>
        <v>-14.018045308457207</v>
      </c>
      <c r="W487" s="246">
        <f t="shared" si="188"/>
        <v>-228.88227042457115</v>
      </c>
      <c r="X487" s="246" t="str">
        <f t="shared" si="177"/>
        <v>-0.86447182722984-0.241531641508176i</v>
      </c>
      <c r="Y487" s="246" t="str">
        <f t="shared" si="178"/>
        <v>0.0148744506477805-1.58881864833511i</v>
      </c>
      <c r="Z487" s="246" t="str">
        <f t="shared" si="179"/>
        <v>-0.24812228805023+0.85702094085991i</v>
      </c>
      <c r="AA487" s="246" t="str">
        <f t="shared" si="180"/>
        <v>0.108679651888445+0.812213442230009i</v>
      </c>
      <c r="AB487" s="246">
        <f t="shared" si="189"/>
        <v>-1.7295272669683701</v>
      </c>
      <c r="AC487" s="246">
        <f t="shared" si="190"/>
        <v>-277.62129344942883</v>
      </c>
      <c r="AD487" s="248">
        <f t="shared" si="191"/>
        <v>-25.662710776716672</v>
      </c>
      <c r="AE487" s="248">
        <f t="shared" si="192"/>
        <v>98.978817914799677</v>
      </c>
      <c r="AF487" s="246">
        <f t="shared" si="181"/>
        <v>-27.39223804368504</v>
      </c>
      <c r="AG487" s="246">
        <f t="shared" si="182"/>
        <v>-178.64247553462917</v>
      </c>
      <c r="AH487" s="249" t="str">
        <f t="shared" si="183"/>
        <v>0.00813171161245597-0.0514647405384924i</v>
      </c>
    </row>
    <row r="488" spans="9:34" x14ac:dyDescent="0.2">
      <c r="I488" s="246">
        <v>484</v>
      </c>
      <c r="J488" s="246">
        <f t="shared" si="171"/>
        <v>5.7190593029631653</v>
      </c>
      <c r="K488" s="246">
        <f t="shared" si="193"/>
        <v>523671.93916938337</v>
      </c>
      <c r="L488" s="246">
        <f t="shared" si="184"/>
        <v>3290327.8339713118</v>
      </c>
      <c r="M488" s="246">
        <f t="shared" si="172"/>
        <v>526743.16852172522</v>
      </c>
      <c r="N488" s="246">
        <f>SQRT((ABS(AC488)-171.5+'Small Signal'!C$59)^2)</f>
        <v>177.64543080879605</v>
      </c>
      <c r="O488" s="246">
        <f t="shared" si="185"/>
        <v>180.3627069652029</v>
      </c>
      <c r="P488" s="246">
        <f t="shared" si="186"/>
        <v>28.069908405906531</v>
      </c>
      <c r="Q488" s="246">
        <f t="shared" si="194"/>
        <v>523671.93916938337</v>
      </c>
      <c r="R488" s="246" t="str">
        <f t="shared" si="173"/>
        <v>0.161233333333333+15.4645408196652i</v>
      </c>
      <c r="S488" s="246" t="str">
        <f t="shared" si="174"/>
        <v>0.025-0.0323320301475868i</v>
      </c>
      <c r="T488" s="246" t="str">
        <f t="shared" si="175"/>
        <v>0.0250174061955721-0.0322647184187618i</v>
      </c>
      <c r="U488" s="246" t="str">
        <f t="shared" si="176"/>
        <v>-0.130452083812821+0.146678033502242i</v>
      </c>
      <c r="V488" s="246">
        <f t="shared" si="187"/>
        <v>-14.141762879284466</v>
      </c>
      <c r="W488" s="246">
        <f t="shared" si="188"/>
        <v>-228.35083852546836</v>
      </c>
      <c r="X488" s="246" t="str">
        <f t="shared" si="177"/>
        <v>-0.95009635465545-0.247015471429562i</v>
      </c>
      <c r="Y488" s="246" t="str">
        <f t="shared" si="178"/>
        <v>0.0142212803628869-1.55354658461459i</v>
      </c>
      <c r="Z488" s="246" t="str">
        <f t="shared" si="179"/>
        <v>-0.248530879559374+0.921214641709456i</v>
      </c>
      <c r="AA488" s="246" t="str">
        <f t="shared" si="180"/>
        <v>0.123137123320631+0.764886655091957i</v>
      </c>
      <c r="AB488" s="246">
        <f t="shared" si="189"/>
        <v>-2.2169362831358521</v>
      </c>
      <c r="AC488" s="246">
        <f t="shared" si="190"/>
        <v>-279.14543080879605</v>
      </c>
      <c r="AD488" s="248">
        <f t="shared" si="191"/>
        <v>-25.85297212277068</v>
      </c>
      <c r="AE488" s="248">
        <f t="shared" si="192"/>
        <v>98.782723843593146</v>
      </c>
      <c r="AF488" s="246">
        <f t="shared" si="181"/>
        <v>-28.069908405906531</v>
      </c>
      <c r="AG488" s="246">
        <f t="shared" si="182"/>
        <v>-180.3627069652029</v>
      </c>
      <c r="AH488" s="249" t="str">
        <f t="shared" si="183"/>
        <v>0.00778315863297371-0.0503766133970343i</v>
      </c>
    </row>
    <row r="489" spans="9:34" x14ac:dyDescent="0.2">
      <c r="I489" s="246">
        <v>485</v>
      </c>
      <c r="J489" s="246">
        <f t="shared" si="171"/>
        <v>5.7288094254899491</v>
      </c>
      <c r="K489" s="246">
        <f t="shared" si="193"/>
        <v>535561.59400332405</v>
      </c>
      <c r="L489" s="246">
        <f t="shared" si="184"/>
        <v>3365032.7385313646</v>
      </c>
      <c r="M489" s="246">
        <f t="shared" si="172"/>
        <v>538902.77078170888</v>
      </c>
      <c r="N489" s="246">
        <f>SQRT((ABS(AC489)-171.5+'Small Signal'!C$59)^2)</f>
        <v>179.01227462653384</v>
      </c>
      <c r="O489" s="246">
        <f t="shared" si="185"/>
        <v>181.9214985634008</v>
      </c>
      <c r="P489" s="246">
        <f t="shared" si="186"/>
        <v>28.743630867791257</v>
      </c>
      <c r="Q489" s="246">
        <f t="shared" si="194"/>
        <v>535561.59400332405</v>
      </c>
      <c r="R489" s="246" t="str">
        <f t="shared" si="173"/>
        <v>0.161233333333333+15.8156538710974i</v>
      </c>
      <c r="S489" s="246" t="str">
        <f t="shared" si="174"/>
        <v>0.025-0.0316142477620691i</v>
      </c>
      <c r="T489" s="246" t="str">
        <f t="shared" si="175"/>
        <v>0.025015499686733-0.0315484328859384i</v>
      </c>
      <c r="U489" s="246" t="str">
        <f t="shared" si="176"/>
        <v>-0.129987680730358+0.143426448398123i</v>
      </c>
      <c r="V489" s="246">
        <f t="shared" si="187"/>
        <v>-14.263401463316562</v>
      </c>
      <c r="W489" s="246">
        <f t="shared" si="188"/>
        <v>-227.81392005266213</v>
      </c>
      <c r="X489" s="246" t="str">
        <f t="shared" si="177"/>
        <v>-1.0396531269076-0.252623808394492i</v>
      </c>
      <c r="Y489" s="246" t="str">
        <f t="shared" si="178"/>
        <v>0.0135967949785951-1.51905755563774i</v>
      </c>
      <c r="Z489" s="246" t="str">
        <f t="shared" si="179"/>
        <v>-0.248921527180931+0.985872690386962i</v>
      </c>
      <c r="AA489" s="246" t="str">
        <f t="shared" si="180"/>
        <v>0.133698039552145+0.720508593128841i</v>
      </c>
      <c r="AB489" s="246">
        <f t="shared" si="189"/>
        <v>-2.7001940732881784</v>
      </c>
      <c r="AC489" s="246">
        <f t="shared" si="190"/>
        <v>-280.51227462653384</v>
      </c>
      <c r="AD489" s="248">
        <f t="shared" si="191"/>
        <v>-26.04343679450308</v>
      </c>
      <c r="AE489" s="248">
        <f t="shared" si="192"/>
        <v>98.590776063133035</v>
      </c>
      <c r="AF489" s="246">
        <f t="shared" si="181"/>
        <v>-28.743630867791257</v>
      </c>
      <c r="AG489" s="246">
        <f t="shared" si="182"/>
        <v>-181.9214985634008</v>
      </c>
      <c r="AH489" s="249" t="str">
        <f t="shared" si="183"/>
        <v>0.00744919702935817-0.0493092080734242i</v>
      </c>
    </row>
    <row r="490" spans="9:34" x14ac:dyDescent="0.2">
      <c r="I490" s="246">
        <v>486</v>
      </c>
      <c r="J490" s="246">
        <f t="shared" si="171"/>
        <v>5.738559548016732</v>
      </c>
      <c r="K490" s="246">
        <f t="shared" si="193"/>
        <v>547721.19626330771</v>
      </c>
      <c r="L490" s="246">
        <f t="shared" si="184"/>
        <v>3441433.7727924413</v>
      </c>
      <c r="M490" s="246">
        <f t="shared" si="172"/>
        <v>551338.44946086931</v>
      </c>
      <c r="N490" s="246">
        <f>SQRT((ABS(AC490)-171.5+'Small Signal'!C$59)^2)</f>
        <v>180.2352077376616</v>
      </c>
      <c r="O490" s="246">
        <f t="shared" si="185"/>
        <v>183.33231213162861</v>
      </c>
      <c r="P490" s="246">
        <f t="shared" si="186"/>
        <v>29.412262052930323</v>
      </c>
      <c r="Q490" s="246">
        <f t="shared" si="194"/>
        <v>547721.19626330771</v>
      </c>
      <c r="R490" s="246" t="str">
        <f t="shared" si="173"/>
        <v>0.161233333333333+16.1747387321245i</v>
      </c>
      <c r="S490" s="246" t="str">
        <f t="shared" si="174"/>
        <v>0.025-0.0309124003967345i</v>
      </c>
      <c r="T490" s="246" t="str">
        <f t="shared" si="175"/>
        <v>0.025013676888304-0.0308480489792409i</v>
      </c>
      <c r="U490" s="246" t="str">
        <f t="shared" si="176"/>
        <v>-0.129543667885174+0.14024674225256i</v>
      </c>
      <c r="V490" s="246">
        <f t="shared" si="187"/>
        <v>-14.382940007521617</v>
      </c>
      <c r="W490" s="246">
        <f t="shared" si="188"/>
        <v>-227.27183603460156</v>
      </c>
      <c r="X490" s="246" t="str">
        <f t="shared" si="177"/>
        <v>-1.13332272950121-0.25835947926013i</v>
      </c>
      <c r="Y490" s="246" t="str">
        <f t="shared" si="178"/>
        <v>0.0129997345216984-1.4853341789007i</v>
      </c>
      <c r="Z490" s="246" t="str">
        <f t="shared" si="179"/>
        <v>-0.249295019094224+1.05102767659438i</v>
      </c>
      <c r="AA490" s="246" t="str">
        <f t="shared" si="180"/>
        <v>0.141064953645057+0.679075216739207i</v>
      </c>
      <c r="AB490" s="246">
        <f t="shared" si="189"/>
        <v>-3.1781657816701596</v>
      </c>
      <c r="AC490" s="246">
        <f t="shared" si="190"/>
        <v>-281.7352077376616</v>
      </c>
      <c r="AD490" s="248">
        <f t="shared" si="191"/>
        <v>-26.234096271260164</v>
      </c>
      <c r="AE490" s="248">
        <f t="shared" si="192"/>
        <v>98.40289560603297</v>
      </c>
      <c r="AF490" s="246">
        <f t="shared" si="181"/>
        <v>-29.412262052930323</v>
      </c>
      <c r="AG490" s="246">
        <f t="shared" si="182"/>
        <v>-183.33231213162861</v>
      </c>
      <c r="AH490" s="249" t="str">
        <f t="shared" si="183"/>
        <v>0.00712924530227064-0.048262277021309i</v>
      </c>
    </row>
    <row r="491" spans="9:34" x14ac:dyDescent="0.2">
      <c r="I491" s="246">
        <v>487</v>
      </c>
      <c r="J491" s="246">
        <f t="shared" si="171"/>
        <v>5.7483096705435157</v>
      </c>
      <c r="K491" s="246">
        <f t="shared" si="193"/>
        <v>560156.87494246813</v>
      </c>
      <c r="L491" s="246">
        <f t="shared" si="184"/>
        <v>3519569.4463541489</v>
      </c>
      <c r="M491" s="246">
        <f t="shared" si="172"/>
        <v>564056.47270742338</v>
      </c>
      <c r="N491" s="246">
        <f>SQRT((ABS(AC491)-171.5+'Small Signal'!C$59)^2)</f>
        <v>181.32674264847481</v>
      </c>
      <c r="O491" s="246">
        <f t="shared" si="185"/>
        <v>184.60773820060945</v>
      </c>
      <c r="P491" s="246">
        <f t="shared" si="186"/>
        <v>30.074951926560544</v>
      </c>
      <c r="Q491" s="246">
        <f t="shared" si="194"/>
        <v>560156.87494246813</v>
      </c>
      <c r="R491" s="246" t="str">
        <f t="shared" si="173"/>
        <v>0.161233333333333+16.5419763978645i</v>
      </c>
      <c r="S491" s="246" t="str">
        <f t="shared" si="174"/>
        <v>0.025-0.0302261342885574i</v>
      </c>
      <c r="T491" s="246" t="str">
        <f t="shared" si="175"/>
        <v>0.0250119341247658-0.0301632136876465i</v>
      </c>
      <c r="U491" s="246" t="str">
        <f t="shared" si="176"/>
        <v>-0.129119150046166+0.137137339350869i</v>
      </c>
      <c r="V491" s="246">
        <f t="shared" si="187"/>
        <v>-14.500359159710053</v>
      </c>
      <c r="W491" s="246">
        <f t="shared" si="188"/>
        <v>-226.72491422159874</v>
      </c>
      <c r="X491" s="246" t="str">
        <f t="shared" si="177"/>
        <v>-1.23129404121111-0.264225375065721i</v>
      </c>
      <c r="Y491" s="246" t="str">
        <f t="shared" si="178"/>
        <v>0.0124288943830099-1.45235945772216i</v>
      </c>
      <c r="Z491" s="246" t="str">
        <f t="shared" si="179"/>
        <v>-0.249652108845387+1.1167124405719i</v>
      </c>
      <c r="AA491" s="246" t="str">
        <f t="shared" si="180"/>
        <v>0.145834266592582+0.640507997011831i</v>
      </c>
      <c r="AB491" s="246">
        <f t="shared" si="189"/>
        <v>-3.6500095538559862</v>
      </c>
      <c r="AC491" s="246">
        <f t="shared" si="190"/>
        <v>-282.82674264847481</v>
      </c>
      <c r="AD491" s="248">
        <f t="shared" si="191"/>
        <v>-26.424942372704557</v>
      </c>
      <c r="AE491" s="248">
        <f t="shared" si="192"/>
        <v>98.219004447865373</v>
      </c>
      <c r="AF491" s="246">
        <f t="shared" si="181"/>
        <v>-30.074951926560544</v>
      </c>
      <c r="AG491" s="246">
        <f t="shared" si="182"/>
        <v>-184.60773820060945</v>
      </c>
      <c r="AH491" s="249" t="str">
        <f t="shared" si="183"/>
        <v>0.00682274265287432-0.0472355655009313i</v>
      </c>
    </row>
    <row r="492" spans="9:34" x14ac:dyDescent="0.2">
      <c r="I492" s="246">
        <v>488</v>
      </c>
      <c r="J492" s="246">
        <f t="shared" si="171"/>
        <v>5.7580597930702986</v>
      </c>
      <c r="K492" s="246">
        <f t="shared" si="193"/>
        <v>572874.89818902221</v>
      </c>
      <c r="L492" s="246">
        <f t="shared" si="184"/>
        <v>3599479.1431532656</v>
      </c>
      <c r="M492" s="246">
        <f t="shared" si="172"/>
        <v>577063.25098410656</v>
      </c>
      <c r="N492" s="246">
        <f>SQRT((ABS(AC492)-171.5+'Small Signal'!C$59)^2)</f>
        <v>182.29845306930474</v>
      </c>
      <c r="O492" s="246">
        <f t="shared" si="185"/>
        <v>185.75942753460146</v>
      </c>
      <c r="P492" s="246">
        <f t="shared" si="186"/>
        <v>30.731086751465991</v>
      </c>
      <c r="Q492" s="246">
        <f t="shared" si="194"/>
        <v>572874.89818902221</v>
      </c>
      <c r="R492" s="246" t="str">
        <f t="shared" si="173"/>
        <v>0.161233333333333+16.9175519728203i</v>
      </c>
      <c r="S492" s="246" t="str">
        <f t="shared" si="174"/>
        <v>0.025-0.0295551035281758i</v>
      </c>
      <c r="T492" s="246" t="str">
        <f t="shared" si="175"/>
        <v>0.0250102678819809-0.0294935818364079i</v>
      </c>
      <c r="U492" s="246" t="str">
        <f t="shared" si="176"/>
        <v>-0.128713271284718+0.134096697655235i</v>
      </c>
      <c r="V492" s="246">
        <f t="shared" si="187"/>
        <v>-14.615641347657709</v>
      </c>
      <c r="W492" s="246">
        <f t="shared" si="188"/>
        <v>-226.17348851366353</v>
      </c>
      <c r="X492" s="246" t="str">
        <f t="shared" si="177"/>
        <v>-1.33376461493393-0.270224452489809i</v>
      </c>
      <c r="Y492" s="246" t="str">
        <f t="shared" si="178"/>
        <v>0.0118831228828916-1.42011677268298i</v>
      </c>
      <c r="Z492" s="246" t="str">
        <f t="shared" si="179"/>
        <v>-0.249993516870268+1.182960089647i</v>
      </c>
      <c r="AA492" s="246" t="str">
        <f t="shared" si="180"/>
        <v>0.148506542672091+0.604680814145083i</v>
      </c>
      <c r="AB492" s="246">
        <f t="shared" si="189"/>
        <v>-4.1151195048298099</v>
      </c>
      <c r="AC492" s="246">
        <f t="shared" si="190"/>
        <v>-283.79845306930474</v>
      </c>
      <c r="AD492" s="248">
        <f t="shared" si="191"/>
        <v>-26.615967246636181</v>
      </c>
      <c r="AE492" s="248">
        <f t="shared" si="192"/>
        <v>98.039025534703271</v>
      </c>
      <c r="AF492" s="246">
        <f t="shared" si="181"/>
        <v>-30.731086751465991</v>
      </c>
      <c r="AG492" s="246">
        <f t="shared" si="182"/>
        <v>-185.75942753460146</v>
      </c>
      <c r="AH492" s="249" t="str">
        <f t="shared" si="183"/>
        <v>0.00652914845850643-0.0462288124492176i</v>
      </c>
    </row>
    <row r="493" spans="9:34" x14ac:dyDescent="0.2">
      <c r="I493" s="246">
        <v>489</v>
      </c>
      <c r="J493" s="246">
        <f t="shared" si="171"/>
        <v>5.7678099155970832</v>
      </c>
      <c r="K493" s="246">
        <f t="shared" si="193"/>
        <v>585881.67646570539</v>
      </c>
      <c r="L493" s="246">
        <f t="shared" si="184"/>
        <v>3681203.1413150639</v>
      </c>
      <c r="M493" s="246">
        <f t="shared" si="172"/>
        <v>590365.34029932844</v>
      </c>
      <c r="N493" s="246">
        <f>SQRT((ABS(AC493)-171.5+'Small Signal'!C$59)^2)</f>
        <v>183.16096294897289</v>
      </c>
      <c r="O493" s="246">
        <f t="shared" si="185"/>
        <v>186.79808014164698</v>
      </c>
      <c r="P493" s="246">
        <f t="shared" si="186"/>
        <v>31.380241217041792</v>
      </c>
      <c r="Q493" s="246">
        <f t="shared" si="194"/>
        <v>585881.67646570539</v>
      </c>
      <c r="R493" s="246" t="str">
        <f t="shared" si="173"/>
        <v>0.161233333333333+17.3016547641808i</v>
      </c>
      <c r="S493" s="246" t="str">
        <f t="shared" si="174"/>
        <v>0.025-0.0288989698855359i</v>
      </c>
      <c r="T493" s="246" t="str">
        <f t="shared" si="175"/>
        <v>0.0250086748001086-0.0288388159131295i</v>
      </c>
      <c r="U493" s="246" t="str">
        <f t="shared" si="176"/>
        <v>-0.128325213249454+0.131123308142079i</v>
      </c>
      <c r="V493" s="246">
        <f t="shared" si="187"/>
        <v>-14.728770852300721</v>
      </c>
      <c r="W493" s="246">
        <f t="shared" si="188"/>
        <v>-225.61789834820459</v>
      </c>
      <c r="X493" s="246" t="str">
        <f t="shared" si="177"/>
        <v>-1.440941076041-0.27635973534054i</v>
      </c>
      <c r="Y493" s="246" t="str">
        <f t="shared" si="178"/>
        <v>0.0113613189440058-1.3885898732554i</v>
      </c>
      <c r="Z493" s="246" t="str">
        <f t="shared" si="179"/>
        <v>-0.250319931950266+1.24980401491837i</v>
      </c>
      <c r="AA493" s="246" t="str">
        <f t="shared" si="180"/>
        <v>0.149498315573622+0.571439602965271i</v>
      </c>
      <c r="AB493" s="246">
        <f t="shared" si="189"/>
        <v>-4.5730778599143553</v>
      </c>
      <c r="AC493" s="246">
        <f t="shared" si="190"/>
        <v>-284.66096294897289</v>
      </c>
      <c r="AD493" s="248">
        <f t="shared" si="191"/>
        <v>-26.807163357127436</v>
      </c>
      <c r="AE493" s="248">
        <f t="shared" si="192"/>
        <v>97.862882807325917</v>
      </c>
      <c r="AF493" s="246">
        <f t="shared" si="181"/>
        <v>-31.380241217041792</v>
      </c>
      <c r="AG493" s="246">
        <f t="shared" si="182"/>
        <v>-186.79808014164698</v>
      </c>
      <c r="AH493" s="249" t="str">
        <f t="shared" si="183"/>
        <v>0.00624794174198612-0.0452417512957527i</v>
      </c>
    </row>
    <row r="494" spans="9:34" x14ac:dyDescent="0.2">
      <c r="I494" s="246">
        <v>490</v>
      </c>
      <c r="J494" s="246">
        <f t="shared" si="171"/>
        <v>5.7775600381238661</v>
      </c>
      <c r="K494" s="246">
        <f t="shared" si="193"/>
        <v>599183.76578092726</v>
      </c>
      <c r="L494" s="246">
        <f t="shared" si="184"/>
        <v>3764782.6334552569</v>
      </c>
      <c r="M494" s="246">
        <f t="shared" si="172"/>
        <v>603969.44551171735</v>
      </c>
      <c r="N494" s="246">
        <f>SQRT((ABS(AC494)-171.5+'Small Signal'!C$59)^2)</f>
        <v>183.92397258532969</v>
      </c>
      <c r="O494" s="246">
        <f t="shared" si="185"/>
        <v>187.73347136303181</v>
      </c>
      <c r="P494" s="246">
        <f t="shared" si="186"/>
        <v>32.022138943006247</v>
      </c>
      <c r="Q494" s="246">
        <f t="shared" si="194"/>
        <v>599183.76578092726</v>
      </c>
      <c r="R494" s="246" t="str">
        <f t="shared" si="173"/>
        <v>0.161233333333333+17.6944783772397i</v>
      </c>
      <c r="S494" s="246" t="str">
        <f t="shared" si="174"/>
        <v>0.025-0.0282574026394102i</v>
      </c>
      <c r="T494" s="246" t="str">
        <f t="shared" si="175"/>
        <v>0.0250071516668293-0.0281985858977037i</v>
      </c>
      <c r="U494" s="246" t="str">
        <f t="shared" si="176"/>
        <v>-0.127954193516716+0.128215694148608i</v>
      </c>
      <c r="V494" s="246">
        <f t="shared" si="187"/>
        <v>-14.839733874447273</v>
      </c>
      <c r="W494" s="246">
        <f t="shared" si="188"/>
        <v>-225.05848805056542</v>
      </c>
      <c r="X494" s="246" t="str">
        <f t="shared" si="177"/>
        <v>-1.55303953902517-0.282634316079789i</v>
      </c>
      <c r="Y494" s="246" t="str">
        <f t="shared" si="178"/>
        <v>0.0108624298665047-1.35776286961796i</v>
      </c>
      <c r="Z494" s="246" t="str">
        <f t="shared" si="179"/>
        <v>-0.250632012604073+1.31727790808322i</v>
      </c>
      <c r="AA494" s="246" t="str">
        <f t="shared" si="180"/>
        <v>0.14915392592207+0.540616314105104i</v>
      </c>
      <c r="AB494" s="246">
        <f t="shared" si="189"/>
        <v>-5.0236154700301396</v>
      </c>
      <c r="AC494" s="246">
        <f t="shared" si="190"/>
        <v>-285.42397258532969</v>
      </c>
      <c r="AD494" s="248">
        <f t="shared" si="191"/>
        <v>-26.99852347297611</v>
      </c>
      <c r="AE494" s="248">
        <f t="shared" si="192"/>
        <v>97.690501222297897</v>
      </c>
      <c r="AF494" s="246">
        <f t="shared" si="181"/>
        <v>-32.022138943006247</v>
      </c>
      <c r="AG494" s="246">
        <f t="shared" si="182"/>
        <v>-187.73347136303181</v>
      </c>
      <c r="AH494" s="249" t="str">
        <f t="shared" si="183"/>
        <v>0.00597862063693247-0.0442741107270054i</v>
      </c>
    </row>
    <row r="495" spans="9:34" x14ac:dyDescent="0.2">
      <c r="I495" s="246">
        <v>491</v>
      </c>
      <c r="J495" s="246">
        <f t="shared" si="171"/>
        <v>5.7873101606506498</v>
      </c>
      <c r="K495" s="246">
        <f t="shared" si="193"/>
        <v>612787.87099331617</v>
      </c>
      <c r="L495" s="246">
        <f t="shared" si="184"/>
        <v>3850259.7474430641</v>
      </c>
      <c r="M495" s="246">
        <f t="shared" si="172"/>
        <v>617882.42370965483</v>
      </c>
      <c r="N495" s="246">
        <f>SQRT((ABS(AC495)-171.5+'Small Signal'!C$59)^2)</f>
        <v>184.59630714520961</v>
      </c>
      <c r="O495" s="246">
        <f t="shared" si="185"/>
        <v>188.57450037508872</v>
      </c>
      <c r="P495" s="246">
        <f t="shared" si="186"/>
        <v>32.656620303473154</v>
      </c>
      <c r="Q495" s="246">
        <f t="shared" si="194"/>
        <v>612787.87099331617</v>
      </c>
      <c r="R495" s="246" t="str">
        <f t="shared" si="173"/>
        <v>0.161233333333333+18.0962208129824i</v>
      </c>
      <c r="S495" s="246" t="str">
        <f t="shared" si="174"/>
        <v>0.025-0.0276300784106975i</v>
      </c>
      <c r="T495" s="246" t="str">
        <f t="shared" si="175"/>
        <v>0.0250056954108682-0.0275725690960176i</v>
      </c>
      <c r="U495" s="246" t="str">
        <f t="shared" si="176"/>
        <v>-0.127599464013428+0.125372410728668i</v>
      </c>
      <c r="V495" s="246">
        <f t="shared" si="187"/>
        <v>-14.948518594495074</v>
      </c>
      <c r="W495" s="246">
        <f t="shared" si="188"/>
        <v>-224.49560615074725</v>
      </c>
      <c r="X495" s="246" t="str">
        <f t="shared" si="177"/>
        <v>-1.67028604328193-0.289051357381918i</v>
      </c>
      <c r="Y495" s="246" t="str">
        <f t="shared" si="178"/>
        <v>0.0103854492011614-1.3276202246516i</v>
      </c>
      <c r="Z495" s="246" t="str">
        <f t="shared" si="179"/>
        <v>-0.250930388418127+1.38541577841616i</v>
      </c>
      <c r="AA495" s="246" t="str">
        <f t="shared" si="180"/>
        <v>0.147756585308932+0.512038560126435i</v>
      </c>
      <c r="AB495" s="246">
        <f t="shared" si="189"/>
        <v>-5.4665796469954566</v>
      </c>
      <c r="AC495" s="246">
        <f t="shared" si="190"/>
        <v>-286.09630714520961</v>
      </c>
      <c r="AD495" s="248">
        <f t="shared" si="191"/>
        <v>-27.190040656477699</v>
      </c>
      <c r="AE495" s="248">
        <f t="shared" si="192"/>
        <v>97.521806770120889</v>
      </c>
      <c r="AF495" s="246">
        <f t="shared" si="181"/>
        <v>-32.656620303473154</v>
      </c>
      <c r="AG495" s="246">
        <f t="shared" si="182"/>
        <v>-188.57450037508872</v>
      </c>
      <c r="AH495" s="249" t="str">
        <f t="shared" si="183"/>
        <v>0.00572070185123121-0.0433256154011465i</v>
      </c>
    </row>
    <row r="496" spans="9:34" x14ac:dyDescent="0.2">
      <c r="I496" s="246">
        <v>492</v>
      </c>
      <c r="J496" s="246">
        <f t="shared" si="171"/>
        <v>5.7970602831774327</v>
      </c>
      <c r="K496" s="246">
        <f t="shared" si="193"/>
        <v>626700.84919125366</v>
      </c>
      <c r="L496" s="246">
        <f t="shared" si="184"/>
        <v>3937677.5676354547</v>
      </c>
      <c r="M496" s="246">
        <f t="shared" si="172"/>
        <v>632111.28766757518</v>
      </c>
      <c r="N496" s="246">
        <f>SQRT((ABS(AC496)-171.5+'Small Signal'!C$59)^2)</f>
        <v>185.18597737612697</v>
      </c>
      <c r="O496" s="246">
        <f t="shared" si="185"/>
        <v>189.32925088547901</v>
      </c>
      <c r="P496" s="246">
        <f t="shared" si="186"/>
        <v>33.283616466744078</v>
      </c>
      <c r="Q496" s="246">
        <f t="shared" si="194"/>
        <v>626700.84919125366</v>
      </c>
      <c r="R496" s="246" t="str">
        <f t="shared" si="173"/>
        <v>0.161233333333333+18.5070845678866i</v>
      </c>
      <c r="S496" s="246" t="str">
        <f t="shared" si="174"/>
        <v>0.025-0.0270166809994264i</v>
      </c>
      <c r="T496" s="246" t="str">
        <f t="shared" si="175"/>
        <v>0.0250043030958018-0.026960449977352i</v>
      </c>
      <c r="U496" s="246" t="str">
        <f t="shared" si="176"/>
        <v>-0.127260309509167+0.122592044018079i</v>
      </c>
      <c r="V496" s="246">
        <f t="shared" si="187"/>
        <v>-15.055115224687928</v>
      </c>
      <c r="W496" s="246">
        <f t="shared" si="188"/>
        <v>-223.92960467004676</v>
      </c>
      <c r="X496" s="246" t="str">
        <f t="shared" si="177"/>
        <v>-1.79291700890339-0.29561409372789i</v>
      </c>
      <c r="Y496" s="246" t="str">
        <f t="shared" si="178"/>
        <v>0.00992941471613869-1.29814674611345i</v>
      </c>
      <c r="Z496" s="246" t="str">
        <f t="shared" si="179"/>
        <v>-0.251215661318543+1.45425196990853i</v>
      </c>
      <c r="AA496" s="246" t="str">
        <f t="shared" si="180"/>
        <v>0.14553828417483+0.485536066853489i</v>
      </c>
      <c r="AB496" s="246">
        <f t="shared" si="189"/>
        <v>-5.9019082142272019</v>
      </c>
      <c r="AC496" s="246">
        <f t="shared" si="190"/>
        <v>-286.68597737612697</v>
      </c>
      <c r="AD496" s="248">
        <f t="shared" si="191"/>
        <v>-27.381708252516873</v>
      </c>
      <c r="AE496" s="248">
        <f t="shared" si="192"/>
        <v>97.356726490647958</v>
      </c>
      <c r="AF496" s="246">
        <f t="shared" si="181"/>
        <v>-33.283616466744078</v>
      </c>
      <c r="AG496" s="246">
        <f t="shared" si="182"/>
        <v>-189.32925088547901</v>
      </c>
      <c r="AH496" s="249" t="str">
        <f t="shared" si="183"/>
        <v>0.005473720130571-0.042395986615766i</v>
      </c>
    </row>
    <row r="497" spans="9:34" x14ac:dyDescent="0.2">
      <c r="I497" s="246">
        <v>493</v>
      </c>
      <c r="J497" s="246">
        <f t="shared" si="171"/>
        <v>5.8068104057042165</v>
      </c>
      <c r="K497" s="246">
        <f t="shared" si="193"/>
        <v>640929.713149174</v>
      </c>
      <c r="L497" s="246">
        <f t="shared" si="184"/>
        <v>4027080.1565937167</v>
      </c>
      <c r="M497" s="246">
        <f t="shared" si="172"/>
        <v>646663.20938071248</v>
      </c>
      <c r="N497" s="246">
        <f>SQRT((ABS(AC497)-171.5+'Small Signal'!C$59)^2)</f>
        <v>185.70024560265375</v>
      </c>
      <c r="O497" s="246">
        <f t="shared" si="185"/>
        <v>190.00505711671201</v>
      </c>
      <c r="P497" s="246">
        <f t="shared" si="186"/>
        <v>33.903128607175894</v>
      </c>
      <c r="Q497" s="246">
        <f t="shared" si="194"/>
        <v>640929.713149174</v>
      </c>
      <c r="R497" s="246" t="str">
        <f t="shared" si="173"/>
        <v>0.161233333333333+18.9272767359905i</v>
      </c>
      <c r="S497" s="246" t="str">
        <f t="shared" si="174"/>
        <v>0.025-0.0264169012253751i</v>
      </c>
      <c r="T497" s="246" t="str">
        <f t="shared" si="175"/>
        <v>0.0250029719141377-0.0263619200153842i</v>
      </c>
      <c r="U497" s="246" t="str">
        <f t="shared" si="176"/>
        <v>-0.126936046174439+0.119873210609518i</v>
      </c>
      <c r="V497" s="246">
        <f t="shared" si="187"/>
        <v>-15.159516053500614</v>
      </c>
      <c r="W497" s="246">
        <f t="shared" si="188"/>
        <v>-223.3608383816337</v>
      </c>
      <c r="X497" s="246" t="str">
        <f t="shared" si="177"/>
        <v>-1.92117971340432-0.30232583303561i</v>
      </c>
      <c r="Y497" s="246" t="str">
        <f t="shared" si="178"/>
        <v>0.00949340645324942-1.26932757898387i</v>
      </c>
      <c r="Z497" s="246" t="str">
        <f t="shared" si="179"/>
        <v>-0.251488406787046+1.52382117857649i</v>
      </c>
      <c r="AA497" s="246" t="str">
        <f t="shared" si="180"/>
        <v>0.142688418660567+0.460944808479941i</v>
      </c>
      <c r="AB497" s="246">
        <f t="shared" si="189"/>
        <v>-6.3296087291970737</v>
      </c>
      <c r="AC497" s="246">
        <f t="shared" si="190"/>
        <v>-287.20024560265375</v>
      </c>
      <c r="AD497" s="248">
        <f t="shared" si="191"/>
        <v>-27.573519877978821</v>
      </c>
      <c r="AE497" s="248">
        <f t="shared" si="192"/>
        <v>97.195188485941756</v>
      </c>
      <c r="AF497" s="246">
        <f t="shared" si="181"/>
        <v>-33.903128607175894</v>
      </c>
      <c r="AG497" s="246">
        <f t="shared" si="182"/>
        <v>-190.00505711671201</v>
      </c>
      <c r="AH497" s="249" t="str">
        <f t="shared" si="183"/>
        <v>0.00523722772376556-0.04148494293074i</v>
      </c>
    </row>
    <row r="498" spans="9:34" x14ac:dyDescent="0.2">
      <c r="I498" s="246">
        <v>494</v>
      </c>
      <c r="J498" s="246">
        <f t="shared" si="171"/>
        <v>5.8165605282310002</v>
      </c>
      <c r="K498" s="246">
        <f t="shared" si="193"/>
        <v>655481.6348623113</v>
      </c>
      <c r="L498" s="246">
        <f t="shared" si="184"/>
        <v>4118512.5772929289</v>
      </c>
      <c r="M498" s="246">
        <f t="shared" si="172"/>
        <v>661545.52368012071</v>
      </c>
      <c r="N498" s="246">
        <f>SQRT((ABS(AC498)-171.5+'Small Signal'!C$59)^2)</f>
        <v>186.14569249408976</v>
      </c>
      <c r="O498" s="246">
        <f t="shared" si="185"/>
        <v>190.60857056334117</v>
      </c>
      <c r="P498" s="246">
        <f t="shared" si="186"/>
        <v>34.515211358800769</v>
      </c>
      <c r="Q498" s="246">
        <f t="shared" si="194"/>
        <v>655481.6348623113</v>
      </c>
      <c r="R498" s="246" t="str">
        <f t="shared" si="173"/>
        <v>0.161233333333333+19.3570091132768i</v>
      </c>
      <c r="S498" s="246" t="str">
        <f t="shared" si="174"/>
        <v>0.025-0.0258304367722313i</v>
      </c>
      <c r="T498" s="246" t="str">
        <f t="shared" si="175"/>
        <v>0.0250016991816527-0.0257766775327218i</v>
      </c>
      <c r="U498" s="246" t="str">
        <f t="shared" si="176"/>
        <v>-0.126626020202203+0.117214556937054i</v>
      </c>
      <c r="V498" s="246">
        <f t="shared" si="187"/>
        <v>-15.261715481802424</v>
      </c>
      <c r="W498" s="246">
        <f t="shared" si="188"/>
        <v>-222.78966404941241</v>
      </c>
      <c r="X498" s="246" t="str">
        <f t="shared" si="177"/>
        <v>-2.05533279034148-0.309189958327253i</v>
      </c>
      <c r="Y498" s="246" t="str">
        <f t="shared" si="178"/>
        <v>0.00907654486968793-1.24114819798336i</v>
      </c>
      <c r="Z498" s="246" t="str">
        <f t="shared" si="179"/>
        <v>-0.251749175023336+1.59415846994693i</v>
      </c>
      <c r="AA498" s="246" t="str">
        <f t="shared" si="180"/>
        <v>0.139361158987639+0.43810949524734i</v>
      </c>
      <c r="AB498" s="246">
        <f t="shared" si="189"/>
        <v>-6.7497419473228124</v>
      </c>
      <c r="AC498" s="246">
        <f t="shared" si="190"/>
        <v>-287.64569249408976</v>
      </c>
      <c r="AD498" s="248">
        <f t="shared" si="191"/>
        <v>-27.765469411477955</v>
      </c>
      <c r="AE498" s="248">
        <f t="shared" si="192"/>
        <v>97.037121930748583</v>
      </c>
      <c r="AF498" s="246">
        <f t="shared" si="181"/>
        <v>-34.515211358800769</v>
      </c>
      <c r="AG498" s="246">
        <f t="shared" si="182"/>
        <v>-190.60857056334117</v>
      </c>
      <c r="AH498" s="249" t="str">
        <f t="shared" si="183"/>
        <v>0.00501079385139074-0.0405922007484582i</v>
      </c>
    </row>
    <row r="499" spans="9:34" x14ac:dyDescent="0.2">
      <c r="I499" s="246">
        <v>495</v>
      </c>
      <c r="J499" s="246">
        <f t="shared" si="171"/>
        <v>5.8263106507577831</v>
      </c>
      <c r="K499" s="246">
        <f t="shared" si="193"/>
        <v>670363.94916171953</v>
      </c>
      <c r="L499" s="246">
        <f t="shared" si="184"/>
        <v>4212020.9158357996</v>
      </c>
      <c r="M499" s="246">
        <f t="shared" si="172"/>
        <v>676765.73192975949</v>
      </c>
      <c r="N499" s="246">
        <f>SQRT((ABS(AC499)-171.5+'Small Signal'!C$59)^2)</f>
        <v>186.52828177954154</v>
      </c>
      <c r="O499" s="246">
        <f t="shared" si="185"/>
        <v>191.14582469878832</v>
      </c>
      <c r="P499" s="246">
        <f t="shared" si="186"/>
        <v>35.119959711109402</v>
      </c>
      <c r="Q499" s="246">
        <f t="shared" si="194"/>
        <v>670363.94916171953</v>
      </c>
      <c r="R499" s="246" t="str">
        <f t="shared" si="173"/>
        <v>0.161233333333333+19.7964983044283i</v>
      </c>
      <c r="S499" s="246" t="str">
        <f t="shared" si="174"/>
        <v>0.025-0.0252569920352104i</v>
      </c>
      <c r="T499" s="246" t="str">
        <f t="shared" si="175"/>
        <v>0.0250004823319814-0.025204427548883i</v>
      </c>
      <c r="U499" s="246" t="str">
        <f t="shared" si="176"/>
        <v>-0.126329606489917+0.1146147586704i</v>
      </c>
      <c r="V499" s="246">
        <f t="shared" si="187"/>
        <v>-15.361710050511736</v>
      </c>
      <c r="W499" s="246">
        <f t="shared" si="188"/>
        <v>-222.21643964972333</v>
      </c>
      <c r="X499" s="246" t="str">
        <f t="shared" si="177"/>
        <v>-2.19564675083164-0.316209929434474i</v>
      </c>
      <c r="Y499" s="246" t="str">
        <f t="shared" si="178"/>
        <v>0.00867798906164983-1.2135944002552i</v>
      </c>
      <c r="Z499" s="246" t="str">
        <f t="shared" si="179"/>
        <v>-0.251998492056422+1.66529929672951i</v>
      </c>
      <c r="AA499" s="246" t="str">
        <f t="shared" si="180"/>
        <v>0.135681658619024+0.416884911614779i</v>
      </c>
      <c r="AB499" s="246">
        <f t="shared" si="189"/>
        <v>-7.1624087277076658</v>
      </c>
      <c r="AC499" s="246">
        <f t="shared" si="190"/>
        <v>-288.02828177954154</v>
      </c>
      <c r="AD499" s="248">
        <f t="shared" si="191"/>
        <v>-27.957550983401735</v>
      </c>
      <c r="AE499" s="248">
        <f t="shared" si="192"/>
        <v>96.882457080753227</v>
      </c>
      <c r="AF499" s="246">
        <f t="shared" si="181"/>
        <v>-35.119959711109402</v>
      </c>
      <c r="AG499" s="246">
        <f t="shared" si="182"/>
        <v>-191.14582469878832</v>
      </c>
      <c r="AH499" s="249" t="str">
        <f t="shared" si="183"/>
        <v>0.00479400417909154-0.039717474853558i</v>
      </c>
    </row>
    <row r="500" spans="9:34" x14ac:dyDescent="0.2">
      <c r="I500" s="246">
        <v>496</v>
      </c>
      <c r="J500" s="246">
        <f t="shared" si="171"/>
        <v>5.8360607732845668</v>
      </c>
      <c r="K500" s="246">
        <f t="shared" si="193"/>
        <v>685584.15741135832</v>
      </c>
      <c r="L500" s="246">
        <f t="shared" si="184"/>
        <v>4307652.304682143</v>
      </c>
      <c r="M500" s="246">
        <f t="shared" si="172"/>
        <v>692331.50580751768</v>
      </c>
      <c r="N500" s="246">
        <f>SQRT((ABS(AC500)-171.5+'Small Signal'!C$59)^2)</f>
        <v>186.85342125326611</v>
      </c>
      <c r="O500" s="246">
        <f t="shared" si="185"/>
        <v>191.62229597449704</v>
      </c>
      <c r="P500" s="246">
        <f t="shared" si="186"/>
        <v>35.717498676340696</v>
      </c>
      <c r="Q500" s="246">
        <f t="shared" si="194"/>
        <v>685584.15741135832</v>
      </c>
      <c r="R500" s="246" t="str">
        <f t="shared" si="173"/>
        <v>0.161233333333333+20.2459658320061i</v>
      </c>
      <c r="S500" s="246" t="str">
        <f t="shared" si="174"/>
        <v>0.025-0.0246962779720575i</v>
      </c>
      <c r="T500" s="246" t="str">
        <f t="shared" si="175"/>
        <v>0.0249993189114407-0.0246448816316517i</v>
      </c>
      <c r="U500" s="246" t="str">
        <f t="shared" si="176"/>
        <v>-0.12604620737942+0.112072520118894i</v>
      </c>
      <c r="V500" s="246">
        <f t="shared" si="187"/>
        <v>-15.45949845952733</v>
      </c>
      <c r="W500" s="246">
        <f t="shared" si="188"/>
        <v>-221.6415235806422</v>
      </c>
      <c r="X500" s="246" t="str">
        <f t="shared" si="177"/>
        <v>-2.34240452902002-0.32338928474231i</v>
      </c>
      <c r="Y500" s="246" t="str">
        <f t="shared" si="178"/>
        <v>0.00829693506600212-1.18665229821045i</v>
      </c>
      <c r="Z500" s="246" t="str">
        <f t="shared" si="179"/>
        <v>-0.252236860806937+1.73727951668432i</v>
      </c>
      <c r="AA500" s="246" t="str">
        <f t="shared" si="180"/>
        <v>0.131751236719056+0.397136469154534i</v>
      </c>
      <c r="AB500" s="246">
        <f t="shared" si="189"/>
        <v>-7.5677397100737007</v>
      </c>
      <c r="AC500" s="246">
        <f t="shared" si="190"/>
        <v>-288.35342125326611</v>
      </c>
      <c r="AD500" s="248">
        <f t="shared" si="191"/>
        <v>-28.149758966266994</v>
      </c>
      <c r="AE500" s="248">
        <f t="shared" si="192"/>
        <v>96.731125278769056</v>
      </c>
      <c r="AF500" s="246">
        <f t="shared" si="181"/>
        <v>-35.717498676340696</v>
      </c>
      <c r="AG500" s="246">
        <f t="shared" si="182"/>
        <v>-191.62229597449704</v>
      </c>
      <c r="AH500" s="249" t="str">
        <f t="shared" si="183"/>
        <v>0.00458646029675094-0.038860478914249i</v>
      </c>
    </row>
    <row r="501" spans="9:34" x14ac:dyDescent="0.2">
      <c r="I501" s="246">
        <v>497</v>
      </c>
      <c r="J501" s="246">
        <f t="shared" si="171"/>
        <v>5.8458108958113497</v>
      </c>
      <c r="K501" s="246">
        <f t="shared" si="193"/>
        <v>701149.9312891165</v>
      </c>
      <c r="L501" s="246">
        <f t="shared" si="184"/>
        <v>4405454.9464057535</v>
      </c>
      <c r="M501" s="246">
        <f t="shared" si="172"/>
        <v>708250.69117210212</v>
      </c>
      <c r="N501" s="246">
        <f>SQRT((ABS(AC501)-171.5+'Small Signal'!C$59)^2)</f>
        <v>187.12601920124138</v>
      </c>
      <c r="O501" s="246">
        <f t="shared" si="185"/>
        <v>192.04296024223098</v>
      </c>
      <c r="P501" s="246">
        <f t="shared" si="186"/>
        <v>36.307975175176786</v>
      </c>
      <c r="Q501" s="246">
        <f t="shared" si="194"/>
        <v>701149.9312891165</v>
      </c>
      <c r="R501" s="246" t="str">
        <f t="shared" si="173"/>
        <v>0.161233333333333+20.705638248107i</v>
      </c>
      <c r="S501" s="246" t="str">
        <f t="shared" si="174"/>
        <v>0.025-0.0241480119573571i</v>
      </c>
      <c r="T501" s="246" t="str">
        <f t="shared" si="175"/>
        <v>0.0249982065740826-0.0240977577517297i</v>
      </c>
      <c r="U501" s="246" t="str">
        <f t="shared" si="176"/>
        <v>-0.125775251452126+0.109586573645281i</v>
      </c>
      <c r="V501" s="246">
        <f t="shared" si="187"/>
        <v>-15.555081577790222</v>
      </c>
      <c r="W501" s="246">
        <f t="shared" si="188"/>
        <v>-221.06527386378184</v>
      </c>
      <c r="X501" s="246" t="str">
        <f t="shared" si="177"/>
        <v>-2.49590205259899-0.330731642972692i</v>
      </c>
      <c r="Y501" s="246" t="str">
        <f t="shared" si="178"/>
        <v>0.00793261423674054-1.16030831253158i</v>
      </c>
      <c r="Z501" s="246" t="str">
        <f t="shared" si="179"/>
        <v>-0.252464762102805+1.81013541069371i</v>
      </c>
      <c r="AA501" s="246" t="str">
        <f t="shared" si="180"/>
        <v>0.127651674348686+0.378740236688547i</v>
      </c>
      <c r="AB501" s="246">
        <f t="shared" si="189"/>
        <v>-7.9658872097924904</v>
      </c>
      <c r="AC501" s="246">
        <f t="shared" si="190"/>
        <v>-288.62601920124138</v>
      </c>
      <c r="AD501" s="248">
        <f t="shared" si="191"/>
        <v>-28.342087965384298</v>
      </c>
      <c r="AE501" s="248">
        <f t="shared" si="192"/>
        <v>96.583058959010401</v>
      </c>
      <c r="AF501" s="246">
        <f t="shared" si="181"/>
        <v>-36.307975175176786</v>
      </c>
      <c r="AG501" s="246">
        <f t="shared" si="182"/>
        <v>-192.04296024223098</v>
      </c>
      <c r="AH501" s="249" t="str">
        <f t="shared" si="183"/>
        <v>0.00438777920456593-0.0380209259472511i</v>
      </c>
    </row>
    <row r="502" spans="9:34" x14ac:dyDescent="0.2">
      <c r="I502" s="246">
        <v>498</v>
      </c>
      <c r="J502" s="246">
        <f t="shared" si="171"/>
        <v>5.8555610183381335</v>
      </c>
      <c r="K502" s="246">
        <f t="shared" si="193"/>
        <v>717069.11665370094</v>
      </c>
      <c r="L502" s="246">
        <f t="shared" si="184"/>
        <v>4505478.1379907783</v>
      </c>
      <c r="M502" s="246">
        <f t="shared" si="172"/>
        <v>724531.31201769016</v>
      </c>
      <c r="N502" s="246">
        <f>SQRT((ABS(AC502)-171.5+'Small Signal'!C$59)^2)</f>
        <v>187.35053589917618</v>
      </c>
      <c r="O502" s="246">
        <f t="shared" si="185"/>
        <v>192.41234424958725</v>
      </c>
      <c r="P502" s="246">
        <f t="shared" si="186"/>
        <v>36.891551690144134</v>
      </c>
      <c r="Q502" s="246">
        <f t="shared" si="194"/>
        <v>717069.11665370094</v>
      </c>
      <c r="R502" s="246" t="str">
        <f t="shared" si="173"/>
        <v>0.161233333333333+21.1757472485567i</v>
      </c>
      <c r="S502" s="246" t="str">
        <f t="shared" si="174"/>
        <v>0.025-0.0236119176400767i</v>
      </c>
      <c r="T502" s="246" t="str">
        <f t="shared" si="175"/>
        <v>0.0249971430769636-0.0235627801406148i</v>
      </c>
      <c r="U502" s="246" t="str">
        <f t="shared" si="176"/>
        <v>-0.125516192377099+0.107155679089261i</v>
      </c>
      <c r="V502" s="246">
        <f t="shared" si="187"/>
        <v>-15.64846244440821</v>
      </c>
      <c r="W502" s="246">
        <f t="shared" si="188"/>
        <v>-220.48804734356577</v>
      </c>
      <c r="X502" s="246" t="str">
        <f t="shared" si="177"/>
        <v>-2.65644883952726-0.338240705008448i</v>
      </c>
      <c r="Y502" s="246" t="str">
        <f t="shared" si="178"/>
        <v>0.0075842916928222-1.13454916533121i</v>
      </c>
      <c r="Z502" s="246" t="str">
        <f t="shared" si="179"/>
        <v>-0.252682655650154+1.88390370104747i</v>
      </c>
      <c r="AA502" s="246" t="str">
        <f t="shared" si="180"/>
        <v>0.123448758916648+0.361582634326801i</v>
      </c>
      <c r="AB502" s="246">
        <f t="shared" si="189"/>
        <v>-8.3570188803177725</v>
      </c>
      <c r="AC502" s="246">
        <f t="shared" si="190"/>
        <v>-288.85053589917618</v>
      </c>
      <c r="AD502" s="248">
        <f t="shared" si="191"/>
        <v>-28.534532809826359</v>
      </c>
      <c r="AE502" s="248">
        <f t="shared" si="192"/>
        <v>96.438191649588916</v>
      </c>
      <c r="AF502" s="246">
        <f t="shared" si="181"/>
        <v>-36.891551690144134</v>
      </c>
      <c r="AG502" s="246">
        <f t="shared" si="182"/>
        <v>-192.41234424958725</v>
      </c>
      <c r="AH502" s="249" t="str">
        <f t="shared" si="183"/>
        <v>0.0041975928069399-0.0371985287482965i</v>
      </c>
    </row>
    <row r="503" spans="9:34" x14ac:dyDescent="0.2">
      <c r="I503" s="246">
        <v>499</v>
      </c>
      <c r="J503" s="246">
        <f t="shared" si="171"/>
        <v>5.8653111408649163</v>
      </c>
      <c r="K503" s="246">
        <f t="shared" si="193"/>
        <v>733349.73749928898</v>
      </c>
      <c r="L503" s="246">
        <f t="shared" si="184"/>
        <v>4607772.2956795385</v>
      </c>
      <c r="M503" s="246">
        <f t="shared" si="172"/>
        <v>741181.57451840164</v>
      </c>
      <c r="N503" s="246">
        <f>SQRT((ABS(AC503)-171.5+'Small Signal'!C$59)^2)</f>
        <v>187.53103016386086</v>
      </c>
      <c r="O503" s="246">
        <f t="shared" si="185"/>
        <v>192.7345721904976</v>
      </c>
      <c r="P503" s="246">
        <f t="shared" si="186"/>
        <v>37.468401322607775</v>
      </c>
      <c r="Q503" s="246">
        <f t="shared" si="194"/>
        <v>733349.73749928898</v>
      </c>
      <c r="R503" s="246" t="str">
        <f t="shared" si="173"/>
        <v>0.161233333333333+21.6565297896938i</v>
      </c>
      <c r="S503" s="246" t="str">
        <f t="shared" si="174"/>
        <v>0.025-0.0230877248042734i</v>
      </c>
      <c r="T503" s="246" t="str">
        <f t="shared" si="175"/>
        <v>0.0249961262756225-0.0230396791516311i</v>
      </c>
      <c r="U503" s="246" t="str">
        <f t="shared" si="176"/>
        <v>-0.12526850780969+0.104778623200817i</v>
      </c>
      <c r="V503" s="246">
        <f t="shared" si="187"/>
        <v>-15.739646260848517</v>
      </c>
      <c r="W503" s="246">
        <f t="shared" si="188"/>
        <v>-219.91019888898427</v>
      </c>
      <c r="X503" s="246" t="str">
        <f t="shared" si="177"/>
        <v>-2.82436862215306-0.345920255758709i</v>
      </c>
      <c r="Y503" s="246" t="str">
        <f t="shared" si="178"/>
        <v>0.00725126483433724-1.10936187346261i</v>
      </c>
      <c r="Z503" s="246" t="str">
        <f t="shared" si="179"/>
        <v>-0.252890980961621+1.95862156995069i</v>
      </c>
      <c r="AA503" s="246" t="str">
        <f t="shared" si="180"/>
        <v>0.119195198744417+0.345559922366377i</v>
      </c>
      <c r="AB503" s="246">
        <f t="shared" si="189"/>
        <v>-8.7413127789123166</v>
      </c>
      <c r="AC503" s="246">
        <f t="shared" si="190"/>
        <v>-289.03103016386086</v>
      </c>
      <c r="AD503" s="248">
        <f t="shared" si="191"/>
        <v>-28.727088543695455</v>
      </c>
      <c r="AE503" s="248">
        <f t="shared" si="192"/>
        <v>96.296457973363275</v>
      </c>
      <c r="AF503" s="246">
        <f t="shared" si="181"/>
        <v>-37.468401322607775</v>
      </c>
      <c r="AG503" s="246">
        <f t="shared" si="182"/>
        <v>-192.7345721904976</v>
      </c>
      <c r="AH503" s="249" t="str">
        <f t="shared" si="183"/>
        <v>0.00401554741497343-0.0363930002900791i</v>
      </c>
    </row>
    <row r="504" spans="9:34" x14ac:dyDescent="0.2">
      <c r="I504" s="246">
        <v>500</v>
      </c>
      <c r="J504" s="246">
        <f t="shared" si="171"/>
        <v>5.8750612633917001</v>
      </c>
      <c r="K504" s="246">
        <f t="shared" si="193"/>
        <v>750000.00000000047</v>
      </c>
      <c r="L504" s="246">
        <f>2*PI()*K504</f>
        <v>4712388.9803846925</v>
      </c>
      <c r="M504" s="246">
        <f t="shared" si="172"/>
        <v>8818.4254815988115</v>
      </c>
      <c r="N504" s="246">
        <f>SQRT((ABS(AC504)-171.5+'Small Signal'!C$59)^2)</f>
        <v>187.4043548410466</v>
      </c>
      <c r="O504" s="246">
        <f t="shared" si="185"/>
        <v>192.74656119377789</v>
      </c>
      <c r="P504" s="246">
        <f t="shared" si="186"/>
        <v>38.057523674230502</v>
      </c>
      <c r="Q504" s="246">
        <f t="shared" si="194"/>
        <v>750000.00000000047</v>
      </c>
      <c r="R504" s="246" t="str">
        <f>IMSUM(COMPLEX(DCRss,Lss*L504),COMPLEX(Rdsonss,0),COMPLEX(Risense,0))</f>
        <v>0.0379+22.1482282078081i</v>
      </c>
      <c r="S504" s="246" t="str">
        <f t="shared" si="174"/>
        <v>0.025-0.0225751692328929i</v>
      </c>
      <c r="T504" s="246" t="str">
        <f t="shared" si="175"/>
        <v>0.0249951541197559-0.0225281911240447i</v>
      </c>
      <c r="U504" s="246" t="str">
        <f t="shared" si="176"/>
        <v>-0.125063384621351+0.102482313297823i</v>
      </c>
      <c r="V504" s="246">
        <f t="shared" si="187"/>
        <v>-15.826366911287575</v>
      </c>
      <c r="W504" s="246">
        <f t="shared" si="188"/>
        <v>-219.33266431900645</v>
      </c>
      <c r="X504" s="246" t="str">
        <f t="shared" si="177"/>
        <v>-3-0.353774166066682i</v>
      </c>
      <c r="Y504" s="246" t="str">
        <f t="shared" si="178"/>
        <v>0.000892296797584578-1.0847829825628i</v>
      </c>
      <c r="Z504" s="246" t="str">
        <f t="shared" si="179"/>
        <v>-0.241763941091159+2.03575602065288i</v>
      </c>
      <c r="AA504" s="246" t="str">
        <f t="shared" si="180"/>
        <v>0.113146738349976+0.33039263363704i</v>
      </c>
      <c r="AB504" s="246">
        <f t="shared" si="189"/>
        <v>-9.1377732565456977</v>
      </c>
      <c r="AC504" s="246">
        <f t="shared" si="190"/>
        <v>-288.9043548410466</v>
      </c>
      <c r="AD504" s="248">
        <f t="shared" si="191"/>
        <v>-28.919750417684803</v>
      </c>
      <c r="AE504" s="248">
        <f t="shared" si="192"/>
        <v>96.157793647268718</v>
      </c>
      <c r="AF504" s="246">
        <f t="shared" si="181"/>
        <v>-38.057523674230502</v>
      </c>
      <c r="AG504" s="246">
        <f t="shared" si="182"/>
        <v>-192.74656119377789</v>
      </c>
      <c r="AH504" s="249" t="str">
        <f t="shared" si="183"/>
        <v>0.00384130325822303-0.0356040540894614i</v>
      </c>
    </row>
    <row r="505" spans="9:34" x14ac:dyDescent="0.2">
      <c r="AF505" s="251" t="s">
        <v>121</v>
      </c>
    </row>
    <row r="507" spans="9:34" x14ac:dyDescent="0.2">
      <c r="I507" s="246" t="s">
        <v>175</v>
      </c>
      <c r="M507" s="246" t="s">
        <v>173</v>
      </c>
      <c r="Q507" s="246" t="s">
        <v>174</v>
      </c>
    </row>
    <row r="508" spans="9:34" ht="15" x14ac:dyDescent="0.25">
      <c r="I508" s="246" t="s">
        <v>329</v>
      </c>
      <c r="M508" s="246" t="s">
        <v>329</v>
      </c>
      <c r="N508" s="252"/>
      <c r="O508" s="252"/>
      <c r="P508" s="252"/>
      <c r="Q508" s="252" t="s">
        <v>169</v>
      </c>
    </row>
    <row r="509" spans="9:34" ht="15" x14ac:dyDescent="0.25">
      <c r="I509" s="246" t="s">
        <v>331</v>
      </c>
      <c r="M509" s="246" t="s">
        <v>330</v>
      </c>
      <c r="N509" s="252"/>
      <c r="O509" s="252"/>
      <c r="P509" s="252"/>
      <c r="Q509" s="252" t="s">
        <v>327</v>
      </c>
    </row>
    <row r="510" spans="9:34" ht="15" x14ac:dyDescent="0.25">
      <c r="I510" s="246" t="s">
        <v>170</v>
      </c>
      <c r="J510" s="246" t="s">
        <v>171</v>
      </c>
      <c r="K510" s="246" t="s">
        <v>172</v>
      </c>
      <c r="M510" s="246" t="s">
        <v>170</v>
      </c>
      <c r="N510" s="252" t="s">
        <v>171</v>
      </c>
      <c r="O510" s="252" t="s">
        <v>172</v>
      </c>
      <c r="P510" s="252"/>
      <c r="Q510" s="252" t="s">
        <v>170</v>
      </c>
      <c r="R510" s="246" t="s">
        <v>171</v>
      </c>
      <c r="S510" s="246" t="s">
        <v>172</v>
      </c>
    </row>
    <row r="511" spans="9:34" ht="15" x14ac:dyDescent="0.25">
      <c r="I511" s="246">
        <v>10</v>
      </c>
      <c r="J511" s="246">
        <v>37.660600000000002</v>
      </c>
      <c r="K511" s="246">
        <v>174.03</v>
      </c>
      <c r="M511" s="246">
        <v>10</v>
      </c>
      <c r="N511" s="252">
        <v>18.21</v>
      </c>
      <c r="O511" s="252">
        <v>0.85629999999999995</v>
      </c>
      <c r="P511" s="252"/>
      <c r="Q511" s="252"/>
    </row>
    <row r="512" spans="9:34" ht="15" x14ac:dyDescent="0.25">
      <c r="I512" s="246">
        <v>12.59</v>
      </c>
      <c r="J512" s="246">
        <v>40.938000000000002</v>
      </c>
      <c r="K512" s="246">
        <v>10.471</v>
      </c>
      <c r="M512" s="246">
        <v>12.59</v>
      </c>
      <c r="N512" s="252">
        <v>18.2605</v>
      </c>
      <c r="O512" s="252">
        <v>0.83806000000000003</v>
      </c>
      <c r="P512" s="252"/>
      <c r="Q512" s="252"/>
    </row>
    <row r="513" spans="9:17" ht="15" x14ac:dyDescent="0.25">
      <c r="I513" s="246">
        <v>15.85</v>
      </c>
      <c r="J513" s="246">
        <v>45.019300000000001</v>
      </c>
      <c r="K513" s="246">
        <v>156.11000000000001</v>
      </c>
      <c r="M513" s="246">
        <v>15.85</v>
      </c>
      <c r="N513" s="252">
        <v>18.195399999999999</v>
      </c>
      <c r="O513" s="252">
        <v>-1.2109000000000001</v>
      </c>
      <c r="P513" s="252"/>
      <c r="Q513" s="252"/>
    </row>
    <row r="514" spans="9:17" ht="15" x14ac:dyDescent="0.25">
      <c r="I514" s="246">
        <v>19.95</v>
      </c>
      <c r="J514" s="246">
        <v>41.562100000000001</v>
      </c>
      <c r="K514" s="246">
        <v>-168.2</v>
      </c>
      <c r="M514" s="246">
        <v>19.95</v>
      </c>
      <c r="N514" s="252">
        <v>18.6417</v>
      </c>
      <c r="O514" s="252">
        <v>-0.48448999999999998</v>
      </c>
      <c r="P514" s="252"/>
      <c r="Q514" s="252"/>
    </row>
    <row r="515" spans="9:17" ht="15" x14ac:dyDescent="0.25">
      <c r="I515" s="246">
        <v>25.12</v>
      </c>
      <c r="J515" s="246">
        <v>43.169699999999999</v>
      </c>
      <c r="K515" s="246">
        <v>173.51</v>
      </c>
      <c r="M515" s="246">
        <v>25.12</v>
      </c>
      <c r="N515" s="252">
        <v>18.401</v>
      </c>
      <c r="O515" s="252">
        <v>-0.98385999999999996</v>
      </c>
      <c r="P515" s="252"/>
      <c r="Q515" s="252"/>
    </row>
    <row r="516" spans="9:17" ht="15" x14ac:dyDescent="0.25">
      <c r="I516" s="246">
        <v>31.62</v>
      </c>
      <c r="J516" s="246">
        <v>42.245800000000003</v>
      </c>
      <c r="K516" s="246">
        <v>139.72999999999999</v>
      </c>
      <c r="M516" s="246">
        <v>31.62</v>
      </c>
      <c r="N516" s="252">
        <v>18.456</v>
      </c>
      <c r="O516" s="252">
        <v>0.32150000000000001</v>
      </c>
      <c r="P516" s="252"/>
      <c r="Q516" s="252"/>
    </row>
    <row r="517" spans="9:17" ht="15" x14ac:dyDescent="0.25">
      <c r="I517" s="246">
        <v>39.81</v>
      </c>
      <c r="J517" s="246">
        <v>41.420299999999997</v>
      </c>
      <c r="K517" s="246">
        <v>136.25</v>
      </c>
      <c r="M517" s="246">
        <v>39.81</v>
      </c>
      <c r="N517" s="252">
        <v>18.449200000000001</v>
      </c>
      <c r="O517" s="252">
        <v>-0.60572000000000004</v>
      </c>
      <c r="P517" s="252"/>
      <c r="Q517" s="252"/>
    </row>
    <row r="518" spans="9:17" ht="15" x14ac:dyDescent="0.25">
      <c r="I518" s="246">
        <v>50.12</v>
      </c>
      <c r="J518" s="246">
        <v>41.924500000000002</v>
      </c>
      <c r="K518" s="246">
        <v>127.18</v>
      </c>
      <c r="M518" s="246">
        <v>50.12</v>
      </c>
      <c r="N518" s="252">
        <v>18.566299999999998</v>
      </c>
      <c r="O518" s="252">
        <v>-1.2511000000000001</v>
      </c>
      <c r="P518" s="252"/>
      <c r="Q518" s="252"/>
    </row>
    <row r="519" spans="9:17" ht="15" x14ac:dyDescent="0.25">
      <c r="I519" s="246">
        <v>63.1</v>
      </c>
      <c r="J519" s="246">
        <v>40.187199999999997</v>
      </c>
      <c r="K519" s="246">
        <v>123.47</v>
      </c>
      <c r="M519" s="246">
        <v>63.1</v>
      </c>
      <c r="N519" s="252">
        <v>18.429400000000001</v>
      </c>
      <c r="O519" s="252">
        <v>-0.94950999999999997</v>
      </c>
      <c r="P519" s="252"/>
      <c r="Q519" s="252"/>
    </row>
    <row r="520" spans="9:17" ht="15" x14ac:dyDescent="0.25">
      <c r="I520" s="246">
        <v>79.44</v>
      </c>
      <c r="J520" s="246">
        <v>38.4514</v>
      </c>
      <c r="K520" s="246">
        <v>118.43</v>
      </c>
      <c r="M520" s="246">
        <v>79.44</v>
      </c>
      <c r="N520" s="252">
        <v>18.380700000000001</v>
      </c>
      <c r="O520" s="252">
        <v>-1.4977</v>
      </c>
      <c r="P520" s="252"/>
      <c r="Q520" s="252"/>
    </row>
    <row r="521" spans="9:17" ht="15" x14ac:dyDescent="0.25">
      <c r="I521" s="246">
        <v>100</v>
      </c>
      <c r="J521" s="246">
        <v>36.996499999999997</v>
      </c>
      <c r="K521" s="246">
        <v>113.19</v>
      </c>
      <c r="M521" s="246">
        <v>100</v>
      </c>
      <c r="N521" s="252">
        <v>18.421800000000001</v>
      </c>
      <c r="O521" s="252">
        <v>-2.1703000000000001</v>
      </c>
      <c r="P521" s="252"/>
      <c r="Q521" s="252"/>
    </row>
    <row r="522" spans="9:17" ht="15" x14ac:dyDescent="0.25">
      <c r="I522" s="246">
        <v>125.9</v>
      </c>
      <c r="J522" s="246">
        <v>35.101599999999998</v>
      </c>
      <c r="K522" s="246">
        <v>107.02</v>
      </c>
      <c r="M522" s="246">
        <v>125.9</v>
      </c>
      <c r="N522" s="252">
        <v>18.415299999999998</v>
      </c>
      <c r="O522" s="252">
        <v>-2.3035999999999999</v>
      </c>
      <c r="P522" s="252"/>
      <c r="Q522" s="252"/>
    </row>
    <row r="523" spans="9:17" ht="15" x14ac:dyDescent="0.25">
      <c r="I523" s="246">
        <v>158.5</v>
      </c>
      <c r="J523" s="246">
        <v>33.128500000000003</v>
      </c>
      <c r="K523" s="246">
        <v>106.26</v>
      </c>
      <c r="M523" s="246">
        <v>158.5</v>
      </c>
      <c r="N523" s="252">
        <v>18.372299999999999</v>
      </c>
      <c r="O523" s="252">
        <v>-3.1655000000000002</v>
      </c>
      <c r="P523" s="252"/>
      <c r="Q523" s="252"/>
    </row>
    <row r="524" spans="9:17" ht="15" x14ac:dyDescent="0.25">
      <c r="I524" s="246">
        <v>199.5</v>
      </c>
      <c r="J524" s="246">
        <v>31.1892</v>
      </c>
      <c r="K524" s="246">
        <v>104.03</v>
      </c>
      <c r="M524" s="246">
        <v>199.5</v>
      </c>
      <c r="N524" s="252">
        <v>18.3811</v>
      </c>
      <c r="O524" s="252">
        <v>-3.6356999999999999</v>
      </c>
      <c r="P524" s="252"/>
      <c r="Q524" s="252"/>
    </row>
    <row r="525" spans="9:17" ht="15" x14ac:dyDescent="0.25">
      <c r="I525" s="246">
        <v>251.2</v>
      </c>
      <c r="J525" s="246">
        <v>29.313400000000001</v>
      </c>
      <c r="K525" s="246">
        <v>103.26</v>
      </c>
      <c r="M525" s="246">
        <v>251.2</v>
      </c>
      <c r="N525" s="252">
        <v>18.360399999999998</v>
      </c>
      <c r="O525" s="252">
        <v>-4.6921999999999997</v>
      </c>
      <c r="P525" s="252"/>
      <c r="Q525" s="252"/>
    </row>
    <row r="526" spans="9:17" ht="15" x14ac:dyDescent="0.25">
      <c r="I526" s="246">
        <v>316.2</v>
      </c>
      <c r="J526" s="246">
        <v>27.4208</v>
      </c>
      <c r="K526" s="246">
        <v>103.39</v>
      </c>
      <c r="M526" s="246">
        <v>316.2</v>
      </c>
      <c r="N526" s="252">
        <v>18.352900000000002</v>
      </c>
      <c r="O526" s="252">
        <v>-5.5035999999999996</v>
      </c>
      <c r="P526" s="252"/>
      <c r="Q526" s="252"/>
    </row>
    <row r="527" spans="9:17" ht="15" x14ac:dyDescent="0.25">
      <c r="I527" s="246">
        <v>398.1</v>
      </c>
      <c r="J527" s="246">
        <v>25.543299999999999</v>
      </c>
      <c r="K527" s="246">
        <v>103.34</v>
      </c>
      <c r="M527" s="246">
        <v>398.1</v>
      </c>
      <c r="N527" s="252">
        <v>18.329999999999998</v>
      </c>
      <c r="O527" s="252">
        <v>-6.8949999999999996</v>
      </c>
      <c r="P527" s="252"/>
      <c r="Q527" s="252"/>
    </row>
    <row r="528" spans="9:17" ht="15" x14ac:dyDescent="0.25">
      <c r="I528" s="246">
        <v>501.2</v>
      </c>
      <c r="J528" s="246">
        <v>23.7925</v>
      </c>
      <c r="K528" s="246">
        <v>104.35</v>
      </c>
      <c r="M528" s="246">
        <v>501.2</v>
      </c>
      <c r="N528" s="252">
        <v>18.350000000000001</v>
      </c>
      <c r="O528" s="252">
        <v>-8.4138999999999999</v>
      </c>
      <c r="P528" s="252"/>
      <c r="Q528" s="252"/>
    </row>
    <row r="529" spans="9:17" ht="15" x14ac:dyDescent="0.25">
      <c r="I529" s="246">
        <v>631</v>
      </c>
      <c r="J529" s="246">
        <v>22.151800000000001</v>
      </c>
      <c r="K529" s="246">
        <v>105.57</v>
      </c>
      <c r="M529" s="246">
        <v>631</v>
      </c>
      <c r="N529" s="252">
        <v>18.415500000000002</v>
      </c>
      <c r="O529" s="252">
        <v>-10.231999999999999</v>
      </c>
      <c r="P529" s="252"/>
      <c r="Q529" s="252"/>
    </row>
    <row r="530" spans="9:17" ht="15" x14ac:dyDescent="0.25">
      <c r="I530" s="246">
        <v>794.4</v>
      </c>
      <c r="J530" s="246">
        <v>20.708300000000001</v>
      </c>
      <c r="K530" s="246">
        <v>106.78</v>
      </c>
      <c r="M530" s="246">
        <v>794.4</v>
      </c>
      <c r="N530" s="252">
        <v>18.587599999999998</v>
      </c>
      <c r="O530" s="252">
        <v>-13.294</v>
      </c>
      <c r="P530" s="252"/>
      <c r="Q530" s="252"/>
    </row>
    <row r="531" spans="9:17" ht="15" x14ac:dyDescent="0.25">
      <c r="I531" s="246">
        <v>1000</v>
      </c>
      <c r="J531" s="246">
        <v>19.408200000000001</v>
      </c>
      <c r="K531" s="246">
        <v>106.81</v>
      </c>
      <c r="M531" s="246">
        <v>1000</v>
      </c>
      <c r="N531" s="252">
        <v>18.744800000000001</v>
      </c>
      <c r="O531" s="252">
        <v>-18.077000000000002</v>
      </c>
      <c r="P531" s="252"/>
      <c r="Q531" s="252"/>
    </row>
    <row r="532" spans="9:17" ht="15" x14ac:dyDescent="0.25">
      <c r="I532" s="246">
        <v>1259</v>
      </c>
      <c r="J532" s="246">
        <v>18.206299999999999</v>
      </c>
      <c r="K532" s="246">
        <v>105.07</v>
      </c>
      <c r="M532" s="246">
        <v>1259</v>
      </c>
      <c r="N532" s="252">
        <v>18.844999999999999</v>
      </c>
      <c r="O532" s="252">
        <v>-25.614000000000001</v>
      </c>
      <c r="P532" s="252"/>
      <c r="Q532" s="252"/>
    </row>
    <row r="533" spans="9:17" ht="15" x14ac:dyDescent="0.25">
      <c r="I533" s="246">
        <v>1585</v>
      </c>
      <c r="J533" s="246">
        <v>16.799600000000002</v>
      </c>
      <c r="K533" s="246">
        <v>101.35</v>
      </c>
      <c r="M533" s="246">
        <v>1585</v>
      </c>
      <c r="N533" s="252">
        <v>18.576599999999999</v>
      </c>
      <c r="O533" s="252">
        <v>-35.216999999999999</v>
      </c>
      <c r="P533" s="252"/>
      <c r="Q533" s="252"/>
    </row>
    <row r="534" spans="9:17" ht="15" x14ac:dyDescent="0.25">
      <c r="I534" s="246">
        <v>1995</v>
      </c>
      <c r="J534" s="246">
        <v>15.136699999999999</v>
      </c>
      <c r="K534" s="246">
        <v>96.534999999999997</v>
      </c>
      <c r="M534" s="246">
        <v>1995</v>
      </c>
      <c r="N534" s="252">
        <v>17.8185</v>
      </c>
      <c r="O534" s="252">
        <v>-46.118000000000002</v>
      </c>
      <c r="P534" s="252"/>
      <c r="Q534" s="252"/>
    </row>
    <row r="535" spans="9:17" ht="15" x14ac:dyDescent="0.25">
      <c r="I535" s="246">
        <v>2512</v>
      </c>
      <c r="J535" s="246">
        <v>13.201000000000001</v>
      </c>
      <c r="K535" s="246">
        <v>92.039000000000001</v>
      </c>
      <c r="M535" s="246">
        <v>2512</v>
      </c>
      <c r="N535" s="252">
        <v>16.533100000000001</v>
      </c>
      <c r="O535" s="252">
        <v>-56.924999999999997</v>
      </c>
      <c r="P535" s="252"/>
      <c r="Q535" s="252"/>
    </row>
    <row r="536" spans="9:17" ht="15" x14ac:dyDescent="0.25">
      <c r="I536" s="246">
        <v>3162</v>
      </c>
      <c r="J536" s="246">
        <v>11.1213</v>
      </c>
      <c r="K536" s="246">
        <v>88.516999999999996</v>
      </c>
      <c r="M536" s="246">
        <v>3162</v>
      </c>
      <c r="N536" s="252">
        <v>14.869</v>
      </c>
      <c r="O536" s="252">
        <v>-65.897000000000006</v>
      </c>
      <c r="P536" s="252"/>
      <c r="Q536" s="252"/>
    </row>
    <row r="537" spans="9:17" ht="15" x14ac:dyDescent="0.25">
      <c r="I537" s="246">
        <v>3981</v>
      </c>
      <c r="J537" s="246">
        <v>9.0173299999999994</v>
      </c>
      <c r="K537" s="246">
        <v>85.623999999999995</v>
      </c>
      <c r="M537" s="246">
        <v>3981</v>
      </c>
      <c r="N537" s="252">
        <v>13.0419</v>
      </c>
      <c r="O537" s="252">
        <v>-73.241</v>
      </c>
      <c r="P537" s="252"/>
      <c r="Q537" s="252"/>
    </row>
    <row r="538" spans="9:17" ht="15" x14ac:dyDescent="0.25">
      <c r="I538" s="246">
        <v>5012</v>
      </c>
      <c r="J538" s="246">
        <v>6.94102</v>
      </c>
      <c r="K538" s="246">
        <v>83.033000000000001</v>
      </c>
      <c r="M538" s="246">
        <v>5012</v>
      </c>
      <c r="N538" s="252">
        <v>11.1648</v>
      </c>
      <c r="O538" s="252">
        <v>-79.396000000000001</v>
      </c>
      <c r="P538" s="252"/>
      <c r="Q538" s="252"/>
    </row>
    <row r="539" spans="9:17" ht="15" x14ac:dyDescent="0.25">
      <c r="I539" s="246">
        <v>6310</v>
      </c>
      <c r="J539" s="246">
        <v>4.9103399999999997</v>
      </c>
      <c r="K539" s="246">
        <v>80.275000000000006</v>
      </c>
      <c r="M539" s="246">
        <v>6310</v>
      </c>
      <c r="N539" s="252">
        <v>9.2243700000000004</v>
      </c>
      <c r="O539" s="252">
        <v>-84.641000000000005</v>
      </c>
      <c r="P539" s="252"/>
      <c r="Q539" s="252"/>
    </row>
    <row r="540" spans="9:17" ht="15" x14ac:dyDescent="0.25">
      <c r="I540" s="246">
        <v>7944</v>
      </c>
      <c r="J540" s="246">
        <v>2.9131499999999999</v>
      </c>
      <c r="K540" s="246">
        <v>77.093000000000004</v>
      </c>
      <c r="M540" s="246">
        <v>7944</v>
      </c>
      <c r="N540" s="252">
        <v>7.2900400000000003</v>
      </c>
      <c r="O540" s="252">
        <v>-89.700999999999993</v>
      </c>
      <c r="P540" s="252"/>
      <c r="Q540" s="252"/>
    </row>
    <row r="541" spans="9:17" ht="15" x14ac:dyDescent="0.25">
      <c r="I541" s="246">
        <v>10000</v>
      </c>
      <c r="J541" s="246">
        <v>0.95159800000000005</v>
      </c>
      <c r="K541" s="246">
        <v>73.228999999999999</v>
      </c>
      <c r="M541" s="246">
        <v>10000</v>
      </c>
      <c r="N541" s="252">
        <v>5.4023700000000003</v>
      </c>
      <c r="O541" s="252">
        <v>-94.709000000000003</v>
      </c>
      <c r="P541" s="252"/>
      <c r="Q541" s="252"/>
    </row>
    <row r="542" spans="9:17" ht="15" x14ac:dyDescent="0.25">
      <c r="I542" s="246">
        <v>12590</v>
      </c>
      <c r="J542" s="246">
        <v>-0.97999400000000003</v>
      </c>
      <c r="K542" s="246">
        <v>68.453999999999994</v>
      </c>
      <c r="M542" s="246">
        <v>12590</v>
      </c>
      <c r="N542" s="252">
        <v>3.5295200000000002</v>
      </c>
      <c r="O542" s="252">
        <v>-99.733000000000004</v>
      </c>
      <c r="P542" s="252"/>
      <c r="Q542" s="252"/>
    </row>
    <row r="543" spans="9:17" ht="15" x14ac:dyDescent="0.25">
      <c r="I543" s="246">
        <v>15850</v>
      </c>
      <c r="J543" s="246">
        <v>-3.0378500000000002</v>
      </c>
      <c r="K543" s="246">
        <v>63.189</v>
      </c>
      <c r="M543" s="246">
        <v>15850</v>
      </c>
      <c r="N543" s="252">
        <v>1.69167</v>
      </c>
      <c r="O543" s="252">
        <v>-105.45</v>
      </c>
      <c r="P543" s="252"/>
      <c r="Q543" s="252"/>
    </row>
    <row r="544" spans="9:17" ht="15" x14ac:dyDescent="0.25">
      <c r="I544" s="246">
        <v>19950</v>
      </c>
      <c r="J544" s="246">
        <v>-5.0957600000000003</v>
      </c>
      <c r="K544" s="246">
        <v>56.701000000000001</v>
      </c>
      <c r="M544" s="246">
        <v>19950</v>
      </c>
      <c r="N544" s="252">
        <v>-7.7088799999999999E-2</v>
      </c>
      <c r="O544" s="252">
        <v>-111.88</v>
      </c>
      <c r="P544" s="252"/>
      <c r="Q544" s="252"/>
    </row>
    <row r="545" spans="9:17" ht="15" x14ac:dyDescent="0.25">
      <c r="I545" s="246">
        <v>25120</v>
      </c>
      <c r="J545" s="246">
        <v>-6.9738800000000003</v>
      </c>
      <c r="K545" s="246">
        <v>48.667000000000002</v>
      </c>
      <c r="M545" s="246">
        <v>25120</v>
      </c>
      <c r="N545" s="252">
        <v>-1.73281</v>
      </c>
      <c r="O545" s="252">
        <v>-118.42</v>
      </c>
      <c r="P545" s="252"/>
      <c r="Q545" s="252"/>
    </row>
    <row r="546" spans="9:17" ht="15" x14ac:dyDescent="0.25">
      <c r="I546" s="246">
        <v>31620</v>
      </c>
      <c r="J546" s="246">
        <v>-8.6015200000000007</v>
      </c>
      <c r="K546" s="246">
        <v>39.034999999999997</v>
      </c>
      <c r="M546" s="246">
        <v>31620</v>
      </c>
      <c r="N546" s="252">
        <v>-3.2250700000000001</v>
      </c>
      <c r="O546" s="252">
        <v>-126.06</v>
      </c>
      <c r="P546" s="252"/>
      <c r="Q546" s="252"/>
    </row>
    <row r="547" spans="9:17" ht="15" x14ac:dyDescent="0.25">
      <c r="I547" s="246">
        <v>39810</v>
      </c>
      <c r="J547" s="246">
        <v>-9.9493500000000008</v>
      </c>
      <c r="K547" s="246">
        <v>27.765000000000001</v>
      </c>
      <c r="M547" s="246">
        <v>39810</v>
      </c>
      <c r="N547" s="252">
        <v>-4.5564999999999998</v>
      </c>
      <c r="O547" s="252">
        <v>-133.94999999999999</v>
      </c>
      <c r="P547" s="252"/>
      <c r="Q547" s="252"/>
    </row>
    <row r="548" spans="9:17" ht="15" x14ac:dyDescent="0.25">
      <c r="I548" s="246">
        <v>50120</v>
      </c>
      <c r="J548" s="246">
        <v>-10.9834</v>
      </c>
      <c r="K548" s="246">
        <v>15.042999999999999</v>
      </c>
      <c r="M548" s="246">
        <v>50120</v>
      </c>
      <c r="N548" s="252">
        <v>-5.5935600000000001</v>
      </c>
      <c r="O548" s="252">
        <v>-142.86000000000001</v>
      </c>
      <c r="P548" s="252"/>
      <c r="Q548" s="252"/>
    </row>
    <row r="549" spans="9:17" ht="15" x14ac:dyDescent="0.25">
      <c r="I549" s="246">
        <v>63100</v>
      </c>
      <c r="J549" s="246">
        <v>-11.75</v>
      </c>
      <c r="K549" s="246">
        <v>-1.2692000000000001</v>
      </c>
      <c r="M549" s="246">
        <v>63100</v>
      </c>
      <c r="N549" s="252">
        <v>-6.4191700000000003</v>
      </c>
      <c r="O549" s="252">
        <v>-151.83000000000001</v>
      </c>
      <c r="P549" s="252"/>
      <c r="Q549" s="252"/>
    </row>
    <row r="550" spans="9:17" ht="15" x14ac:dyDescent="0.25">
      <c r="I550" s="246">
        <v>79440</v>
      </c>
      <c r="J550" s="246">
        <v>-12.6732</v>
      </c>
      <c r="K550" s="246">
        <v>-16.631</v>
      </c>
      <c r="M550" s="246">
        <v>79440</v>
      </c>
      <c r="N550" s="252">
        <v>-6.9911099999999999</v>
      </c>
      <c r="O550" s="252">
        <v>-161.02000000000001</v>
      </c>
      <c r="P550" s="252"/>
      <c r="Q550" s="252"/>
    </row>
    <row r="551" spans="9:17" ht="15" x14ac:dyDescent="0.25">
      <c r="I551" s="246">
        <v>100000</v>
      </c>
      <c r="J551" s="246">
        <v>-13.494400000000001</v>
      </c>
      <c r="K551" s="246">
        <v>-32.988999999999997</v>
      </c>
      <c r="M551" s="246">
        <v>100000</v>
      </c>
      <c r="N551" s="252">
        <v>-7.3113000000000001</v>
      </c>
      <c r="O551" s="252">
        <v>-169.62</v>
      </c>
      <c r="P551" s="252"/>
      <c r="Q551" s="252"/>
    </row>
    <row r="552" spans="9:17" ht="15" x14ac:dyDescent="0.25">
      <c r="I552" s="246">
        <v>125900</v>
      </c>
      <c r="J552" s="246">
        <v>-14.252599999999999</v>
      </c>
      <c r="K552" s="246">
        <v>-50.472999999999999</v>
      </c>
      <c r="M552" s="246">
        <v>125900</v>
      </c>
      <c r="N552" s="252">
        <v>-7.4893900000000002</v>
      </c>
      <c r="O552" s="252">
        <v>-179.77</v>
      </c>
      <c r="P552" s="252"/>
      <c r="Q552" s="252"/>
    </row>
    <row r="553" spans="9:17" ht="15" x14ac:dyDescent="0.25">
      <c r="I553" s="246">
        <v>158500</v>
      </c>
      <c r="J553" s="246">
        <v>-14.984500000000001</v>
      </c>
      <c r="K553" s="246">
        <v>-69.144000000000005</v>
      </c>
      <c r="M553" s="246">
        <v>158500</v>
      </c>
      <c r="N553" s="252">
        <v>-7.4759000000000002</v>
      </c>
      <c r="O553" s="252">
        <v>169.67</v>
      </c>
      <c r="P553" s="252"/>
      <c r="Q553" s="252"/>
    </row>
    <row r="554" spans="9:17" ht="15" x14ac:dyDescent="0.25">
      <c r="I554" s="246">
        <v>199500</v>
      </c>
      <c r="J554" s="246">
        <v>-15.6913</v>
      </c>
      <c r="K554" s="246">
        <v>-89.822000000000003</v>
      </c>
      <c r="M554" s="246">
        <v>199500</v>
      </c>
      <c r="N554" s="252">
        <v>-7.1994300000000004</v>
      </c>
      <c r="O554" s="252">
        <v>156.46</v>
      </c>
      <c r="P554" s="252"/>
      <c r="Q554" s="252"/>
    </row>
    <row r="555" spans="9:17" ht="15" x14ac:dyDescent="0.25">
      <c r="I555" s="246">
        <v>251200</v>
      </c>
      <c r="J555" s="246">
        <v>-16.584</v>
      </c>
      <c r="K555" s="246">
        <v>-113.72</v>
      </c>
      <c r="M555" s="246">
        <v>251200</v>
      </c>
      <c r="N555" s="252">
        <v>-6.92408</v>
      </c>
      <c r="O555" s="252">
        <v>139.71</v>
      </c>
      <c r="P555" s="252"/>
      <c r="Q555" s="252"/>
    </row>
    <row r="556" spans="9:17" ht="15" x14ac:dyDescent="0.25">
      <c r="I556" s="246">
        <v>316200</v>
      </c>
      <c r="J556" s="246">
        <v>-18.080200000000001</v>
      </c>
      <c r="K556" s="246">
        <v>-145.29</v>
      </c>
      <c r="M556" s="246">
        <v>316200</v>
      </c>
      <c r="N556" s="252">
        <v>-6.6042899999999998</v>
      </c>
      <c r="O556" s="252">
        <v>112.86</v>
      </c>
      <c r="P556" s="252"/>
      <c r="Q556" s="252"/>
    </row>
    <row r="557" spans="9:17" ht="15" x14ac:dyDescent="0.25">
      <c r="I557" s="246">
        <v>398100</v>
      </c>
      <c r="J557" s="246">
        <v>-23.304200000000002</v>
      </c>
      <c r="K557" s="246">
        <v>176.66</v>
      </c>
      <c r="M557" s="246">
        <v>398100</v>
      </c>
      <c r="N557" s="252">
        <v>-8.0669299999999993</v>
      </c>
      <c r="O557" s="252">
        <v>73.507000000000005</v>
      </c>
      <c r="P557" s="252"/>
      <c r="Q557" s="252"/>
    </row>
    <row r="558" spans="9:17" ht="15" x14ac:dyDescent="0.25">
      <c r="I558" s="246">
        <v>501200</v>
      </c>
      <c r="J558" s="246">
        <v>-38.991999999999997</v>
      </c>
      <c r="K558" s="246">
        <v>-165.65</v>
      </c>
      <c r="M558" s="246">
        <v>501200</v>
      </c>
      <c r="N558" s="252">
        <v>-13.757400000000001</v>
      </c>
      <c r="O558" s="252">
        <v>30.117999999999999</v>
      </c>
      <c r="P558" s="252"/>
      <c r="Q558" s="252"/>
    </row>
    <row r="559" spans="9:17" ht="15" x14ac:dyDescent="0.25">
      <c r="I559" s="246">
        <v>631000</v>
      </c>
      <c r="J559" s="246">
        <v>-30.333600000000001</v>
      </c>
      <c r="K559" s="246">
        <v>-88.369</v>
      </c>
      <c r="M559" s="246">
        <v>631000</v>
      </c>
      <c r="N559" s="252">
        <v>-23.852499999999999</v>
      </c>
      <c r="O559" s="252">
        <v>-3.9874999999999998</v>
      </c>
      <c r="P559" s="252"/>
      <c r="Q559" s="252"/>
    </row>
    <row r="560" spans="9:17" ht="15" x14ac:dyDescent="0.25">
      <c r="I560" s="246">
        <v>794400</v>
      </c>
      <c r="J560" s="246">
        <v>-25.927700000000002</v>
      </c>
      <c r="K560" s="246">
        <v>-95.198999999999998</v>
      </c>
      <c r="M560" s="246">
        <v>794400</v>
      </c>
      <c r="N560" s="252">
        <v>-23.9956</v>
      </c>
      <c r="O560" s="252">
        <v>159.97</v>
      </c>
      <c r="P560" s="252"/>
      <c r="Q560" s="252"/>
    </row>
    <row r="561" spans="9:17" ht="15" x14ac:dyDescent="0.25">
      <c r="I561" s="253">
        <v>1000000</v>
      </c>
      <c r="J561" s="246">
        <v>-25.588000000000001</v>
      </c>
      <c r="K561" s="246">
        <v>-97.18</v>
      </c>
      <c r="M561" s="253">
        <v>1000000</v>
      </c>
      <c r="N561" s="252">
        <v>-14.6715</v>
      </c>
      <c r="O561" s="252">
        <v>91.450999999999993</v>
      </c>
      <c r="P561" s="252"/>
      <c r="Q561" s="254"/>
    </row>
    <row r="562" spans="9:17" ht="15" x14ac:dyDescent="0.25">
      <c r="N562" s="252"/>
      <c r="O562" s="252"/>
      <c r="P562" s="252"/>
      <c r="Q562" s="252"/>
    </row>
    <row r="563" spans="9:17" ht="15" x14ac:dyDescent="0.25">
      <c r="K563" s="253"/>
      <c r="L563" s="253"/>
      <c r="N563" s="252"/>
      <c r="O563" s="252"/>
      <c r="P563" s="252"/>
      <c r="Q563" s="252"/>
    </row>
    <row r="564" spans="9:17" ht="15" x14ac:dyDescent="0.25">
      <c r="N564" s="252"/>
      <c r="O564" s="252"/>
      <c r="P564" s="252"/>
      <c r="Q564" s="252"/>
    </row>
    <row r="565" spans="9:17" ht="15" x14ac:dyDescent="0.25">
      <c r="N565" s="252"/>
      <c r="O565" s="252"/>
      <c r="P565" s="252"/>
      <c r="Q565" s="252"/>
    </row>
    <row r="566" spans="9:17" ht="15" x14ac:dyDescent="0.25">
      <c r="N566" s="252"/>
      <c r="O566" s="252"/>
      <c r="P566" s="252"/>
      <c r="Q566" s="252"/>
    </row>
    <row r="567" spans="9:17" ht="15" x14ac:dyDescent="0.25">
      <c r="N567" s="252"/>
      <c r="O567" s="252"/>
      <c r="P567" s="252"/>
      <c r="Q567" s="252"/>
    </row>
    <row r="568" spans="9:17" ht="15" x14ac:dyDescent="0.25">
      <c r="N568" s="252"/>
      <c r="O568" s="252"/>
      <c r="P568" s="252"/>
      <c r="Q568" s="252"/>
    </row>
    <row r="569" spans="9:17" ht="15" x14ac:dyDescent="0.25">
      <c r="N569" s="252"/>
      <c r="O569" s="252"/>
      <c r="P569" s="252"/>
      <c r="Q569" s="252"/>
    </row>
    <row r="570" spans="9:17" ht="15" x14ac:dyDescent="0.25">
      <c r="N570" s="252"/>
      <c r="O570" s="252"/>
      <c r="P570" s="252"/>
      <c r="Q570" s="252"/>
    </row>
    <row r="571" spans="9:17" ht="15" x14ac:dyDescent="0.25">
      <c r="N571" s="252"/>
      <c r="O571" s="252"/>
      <c r="P571" s="252"/>
      <c r="Q571" s="252"/>
    </row>
    <row r="572" spans="9:17" ht="15" x14ac:dyDescent="0.25">
      <c r="N572" s="252"/>
      <c r="O572" s="252"/>
      <c r="P572" s="252"/>
      <c r="Q572" s="252"/>
    </row>
    <row r="573" spans="9:17" ht="15" x14ac:dyDescent="0.25">
      <c r="N573" s="252"/>
      <c r="O573" s="252"/>
      <c r="P573" s="252"/>
      <c r="Q573" s="252"/>
    </row>
    <row r="574" spans="9:17" ht="15" x14ac:dyDescent="0.25">
      <c r="N574" s="252"/>
      <c r="O574" s="252"/>
      <c r="P574" s="252"/>
      <c r="Q574" s="252"/>
    </row>
    <row r="575" spans="9:17" ht="15" x14ac:dyDescent="0.25">
      <c r="N575" s="252"/>
      <c r="O575" s="252"/>
      <c r="P575" s="252"/>
      <c r="Q575" s="252"/>
    </row>
    <row r="576" spans="9:17" ht="15" x14ac:dyDescent="0.25">
      <c r="N576" s="252"/>
      <c r="O576" s="252"/>
      <c r="P576" s="252"/>
      <c r="Q576" s="252"/>
    </row>
    <row r="577" spans="14:17" ht="15" x14ac:dyDescent="0.25">
      <c r="N577" s="252"/>
      <c r="O577" s="252"/>
      <c r="P577" s="252"/>
      <c r="Q577" s="252"/>
    </row>
    <row r="578" spans="14:17" ht="15" x14ac:dyDescent="0.25">
      <c r="N578" s="252"/>
      <c r="O578" s="252"/>
      <c r="P578" s="252"/>
      <c r="Q578" s="252"/>
    </row>
    <row r="579" spans="14:17" ht="15" x14ac:dyDescent="0.25">
      <c r="N579" s="252"/>
      <c r="O579" s="252"/>
      <c r="P579" s="252"/>
      <c r="Q579" s="252"/>
    </row>
    <row r="580" spans="14:17" ht="15" x14ac:dyDescent="0.25">
      <c r="N580" s="252"/>
      <c r="O580" s="252"/>
      <c r="P580" s="252"/>
      <c r="Q580" s="252"/>
    </row>
    <row r="581" spans="14:17" ht="15" x14ac:dyDescent="0.25">
      <c r="N581" s="252"/>
      <c r="O581" s="252"/>
      <c r="P581" s="252"/>
      <c r="Q581" s="252"/>
    </row>
    <row r="582" spans="14:17" ht="15" x14ac:dyDescent="0.25">
      <c r="N582" s="252"/>
      <c r="O582" s="252"/>
      <c r="P582" s="252"/>
      <c r="Q582" s="252"/>
    </row>
    <row r="583" spans="14:17" ht="15" x14ac:dyDescent="0.25">
      <c r="N583" s="252"/>
      <c r="O583" s="252"/>
      <c r="P583" s="252"/>
      <c r="Q583" s="252"/>
    </row>
    <row r="584" spans="14:17" ht="15" x14ac:dyDescent="0.25">
      <c r="N584" s="252"/>
      <c r="O584" s="252"/>
      <c r="P584" s="252"/>
      <c r="Q584" s="252"/>
    </row>
    <row r="585" spans="14:17" ht="15" x14ac:dyDescent="0.25">
      <c r="N585" s="252"/>
      <c r="O585" s="252"/>
      <c r="P585" s="252"/>
      <c r="Q585" s="252"/>
    </row>
    <row r="586" spans="14:17" ht="15" x14ac:dyDescent="0.25">
      <c r="N586" s="252"/>
      <c r="O586" s="252"/>
      <c r="P586" s="252"/>
      <c r="Q586" s="252"/>
    </row>
    <row r="587" spans="14:17" ht="15" x14ac:dyDescent="0.25">
      <c r="N587" s="252"/>
      <c r="O587" s="252"/>
      <c r="P587" s="252"/>
      <c r="Q587" s="252"/>
    </row>
    <row r="588" spans="14:17" ht="15" x14ac:dyDescent="0.25">
      <c r="N588" s="252"/>
      <c r="O588" s="252"/>
      <c r="P588" s="252"/>
      <c r="Q588" s="252"/>
    </row>
    <row r="589" spans="14:17" ht="15" x14ac:dyDescent="0.25">
      <c r="N589" s="252"/>
      <c r="O589" s="252"/>
      <c r="P589" s="252"/>
      <c r="Q589" s="252"/>
    </row>
    <row r="590" spans="14:17" ht="15" x14ac:dyDescent="0.25">
      <c r="N590" s="252"/>
      <c r="O590" s="252"/>
      <c r="P590" s="252"/>
      <c r="Q590" s="252"/>
    </row>
    <row r="591" spans="14:17" ht="15" x14ac:dyDescent="0.25">
      <c r="N591" s="252"/>
      <c r="O591" s="252"/>
      <c r="P591" s="252"/>
      <c r="Q591" s="252"/>
    </row>
    <row r="592" spans="14:17" ht="15" x14ac:dyDescent="0.25">
      <c r="N592" s="252"/>
      <c r="O592" s="252"/>
      <c r="P592" s="252"/>
      <c r="Q592" s="252"/>
    </row>
    <row r="593" spans="14:17" ht="15" x14ac:dyDescent="0.25">
      <c r="N593" s="252"/>
      <c r="O593" s="252"/>
      <c r="P593" s="252"/>
      <c r="Q593" s="252"/>
    </row>
    <row r="612" spans="9:17" x14ac:dyDescent="0.2">
      <c r="I612" s="253"/>
      <c r="M612" s="253"/>
      <c r="Q612" s="253"/>
    </row>
  </sheetData>
  <sheetProtection sheet="1"/>
  <mergeCells count="5">
    <mergeCell ref="C20:D20"/>
    <mergeCell ref="B2:D2"/>
    <mergeCell ref="E2:G2"/>
    <mergeCell ref="E26:G26"/>
    <mergeCell ref="E21:G21"/>
  </mergeCells>
  <phoneticPr fontId="0" type="noConversion"/>
  <conditionalFormatting sqref="F23">
    <cfRule type="cellIs" dxfId="1" priority="1" stopIfTrue="1" operator="lessThan">
      <formula>60</formula>
    </cfRule>
  </conditionalFormatting>
  <conditionalFormatting sqref="F24">
    <cfRule type="cellIs" dxfId="0" priority="1" stopIfTrue="1" operator="greaterThan">
      <formula>-10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61D64-F6B9-41E4-9047-93D90D515103}">
  <sheetPr>
    <pageSetUpPr fitToPage="1"/>
  </sheetPr>
  <dimension ref="A1:Q146"/>
  <sheetViews>
    <sheetView zoomScaleNormal="100" workbookViewId="0">
      <selection activeCell="B42" sqref="B42"/>
    </sheetView>
  </sheetViews>
  <sheetFormatPr defaultRowHeight="12.75" x14ac:dyDescent="0.2"/>
  <cols>
    <col min="1" max="1" width="9.140625" style="12" customWidth="1"/>
    <col min="2" max="2" width="19.28515625" style="12" bestFit="1" customWidth="1"/>
    <col min="3" max="3" width="12.42578125" style="12" bestFit="1" customWidth="1"/>
    <col min="4" max="4" width="7.7109375" style="12" customWidth="1"/>
    <col min="5" max="5" width="8.7109375" style="3" customWidth="1"/>
    <col min="6" max="8" width="8.7109375" style="5" customWidth="1"/>
    <col min="9" max="9" width="8.7109375" style="6" customWidth="1"/>
    <col min="10" max="11" width="9.140625" style="39" customWidth="1"/>
    <col min="12" max="12" width="4.7109375" style="39" bestFit="1" customWidth="1"/>
    <col min="13" max="17" width="9.140625" style="3" customWidth="1"/>
    <col min="18" max="16384" width="9.140625" style="7"/>
  </cols>
  <sheetData>
    <row r="1" spans="1:17" ht="18" x14ac:dyDescent="0.25">
      <c r="A1" s="78" t="s">
        <v>102</v>
      </c>
      <c r="J1" s="79"/>
      <c r="K1" s="79"/>
      <c r="L1" s="79"/>
      <c r="M1" s="5"/>
    </row>
    <row r="2" spans="1:17" ht="18.75" thickBot="1" x14ac:dyDescent="0.3">
      <c r="A2" s="2"/>
      <c r="B2" s="3"/>
      <c r="C2" s="3"/>
      <c r="D2" s="3"/>
      <c r="E2" s="4" t="s">
        <v>70</v>
      </c>
      <c r="J2" s="4" t="s">
        <v>71</v>
      </c>
      <c r="K2" s="28"/>
      <c r="L2" s="28"/>
      <c r="N2" s="7"/>
      <c r="O2" s="7"/>
      <c r="P2" s="7"/>
      <c r="Q2" s="7"/>
    </row>
    <row r="3" spans="1:17" ht="13.5" thickBot="1" x14ac:dyDescent="0.25">
      <c r="A3" s="3"/>
      <c r="B3" s="8" t="s">
        <v>72</v>
      </c>
      <c r="C3" s="9">
        <v>100</v>
      </c>
      <c r="D3" s="31">
        <f>(IF((10^(LOG(C3)-INT(LOG(C3)))*100)-VLOOKUP((10^(LOG(C3)-INT(LOG(C3)))*100),E96_s:E96_f,1)&lt;VLOOKUP((10^(LOG(C3)-INT(LOG(C3)))*100),E96_s:E96_f,2)-(10^(LOG(C3)-INT(LOG(C3)))*100),VLOOKUP((10^(LOG(C3)-INT(LOG(C3)))*100),E96_s:E96_f,1),VLOOKUP((10^(LOG(C3)-INT(LOG(C3)))*100),E96_s:E96_f,2)))*10^INT(LOG(C3))/100</f>
        <v>100</v>
      </c>
      <c r="E3" s="294" t="s">
        <v>73</v>
      </c>
      <c r="F3" s="295"/>
      <c r="G3" s="296" t="s">
        <v>74</v>
      </c>
      <c r="H3" s="297"/>
      <c r="J3" s="10" t="s">
        <v>75</v>
      </c>
      <c r="K3" s="51">
        <v>6.8999999999999994E-11</v>
      </c>
      <c r="L3" s="11" t="s">
        <v>7</v>
      </c>
      <c r="N3" s="7"/>
      <c r="O3" s="7"/>
      <c r="P3" s="7"/>
      <c r="Q3" s="7"/>
    </row>
    <row r="4" spans="1:17" ht="13.5" thickBot="1" x14ac:dyDescent="0.25">
      <c r="B4" s="3"/>
      <c r="E4" s="13">
        <v>100</v>
      </c>
      <c r="F4" s="14">
        <v>150</v>
      </c>
      <c r="G4" s="15">
        <v>100</v>
      </c>
      <c r="H4" s="16">
        <v>102</v>
      </c>
      <c r="J4" s="10"/>
      <c r="K4" s="50">
        <f>IF(K3*10^12&lt;10000,IF((10^(LOG(K3*10^12)-INT(LOG(K3*10^12))))-VLOOKUP((10^(LOG(K3*10^12)-INT(LOG(K3*10^12)))),c_s1:C_f1,1)&lt;VLOOKUP((10^(LOG(K3*10^12)-INT(LOG(K3*10^12)))),c_s1:C_f1,2)-(10^(LOG(K3*10^12)-INT(LOG(K3*10^12)))),VLOOKUP((10^(LOG(K3*10^12)-INT(LOG(K3*10^12)))),c_s1:C_f1,1),VLOOKUP((10^(LOG(K3*10^12)-INT(LOG(K3*10^12)))),c_s1:C_f1,2))*10^INT(LOG(K3*10^12)),IF((10^(LOG(K3*10^12)-INT(LOG(K3*10^12))))-VLOOKUP((10^(LOG(K3*10^12)-INT(LOG(K3*10^12)))),C_s2:C_f2,1)&lt;VLOOKUP((10^(LOG(K3*10^12)-INT(LOG(K3*10^12)))),C_s2:C_f2,2)-(10^(LOG(K3*10^12)-INT(LOG(K3*10^12)))),VLOOKUP((10^(LOG(K3*10^12)-INT(LOG(K3*10^12)))),C_s2:C_f2,1),VLOOKUP((10^(LOG(K3*10^12)-INT(LOG(K3*10^12)))),C_s2:C_f2,2))*10^INT(LOG(K3*10^12)))*10^-12</f>
        <v>6.7999999999999998E-11</v>
      </c>
      <c r="L4" s="17" t="s">
        <v>7</v>
      </c>
      <c r="N4" s="7"/>
      <c r="O4" s="7"/>
      <c r="P4" s="7"/>
      <c r="Q4" s="7"/>
    </row>
    <row r="5" spans="1:17" ht="13.5" thickBot="1" x14ac:dyDescent="0.25">
      <c r="B5" s="18" t="s">
        <v>76</v>
      </c>
      <c r="C5" s="19">
        <f>(IF((10^(LOG(C3)-INT(LOG(C3)))*100)-VLOOKUP((10^(LOG(C3)-INT(LOG(C3)))*100),E6_s:E6_f,1)&lt;VLOOKUP((10^(LOG(C3)-INT(LOG(C3)))*100),E6_s:E6_f,2)-(10^(LOG(C3)-INT(LOG(C3)))*100),VLOOKUP((10^(LOG(C3)-INT(LOG(C3)))*100),E6_s:E6_f,1),VLOOKUP((10^(LOG(C3)-INT(LOG(C3)))*100),E6_s:E6_f,2)))*10^INT(LOG(C3))/100</f>
        <v>100</v>
      </c>
      <c r="E5" s="14">
        <v>150</v>
      </c>
      <c r="F5" s="13">
        <v>220</v>
      </c>
      <c r="G5" s="16">
        <v>102</v>
      </c>
      <c r="H5" s="15">
        <v>105</v>
      </c>
      <c r="J5" s="20"/>
      <c r="K5" s="21"/>
      <c r="L5" s="22"/>
      <c r="M5" s="5"/>
      <c r="N5" s="7"/>
      <c r="O5" s="7"/>
      <c r="P5" s="7"/>
      <c r="Q5" s="7"/>
    </row>
    <row r="6" spans="1:17" ht="13.5" thickBot="1" x14ac:dyDescent="0.25">
      <c r="B6" s="23" t="s">
        <v>77</v>
      </c>
      <c r="C6" s="24">
        <f>(IF((10^(LOG(C3)-INT(LOG(C3)))*100)-VLOOKUP((10^(LOG(C3)-INT(LOG(C3)))*100),E12_s:E12_f,1)&lt;VLOOKUP((10^(LOG(C3)-INT(LOG(C3)))*100),E12_s:E12_f,2)-(10^(LOG(C3)-INT(LOG(C3)))*100),VLOOKUP((10^(LOG(C3)-INT(LOG(C3)))*100),E12_s:E12_f,1),VLOOKUP((10^(LOG(C3)-INT(LOG(C3)))*100),E12_s:E12_f,2)))*10^INT(LOG(C3))/100</f>
        <v>100</v>
      </c>
      <c r="E6" s="13">
        <v>220</v>
      </c>
      <c r="F6" s="14">
        <v>330</v>
      </c>
      <c r="G6" s="15">
        <v>105</v>
      </c>
      <c r="H6" s="16">
        <v>107</v>
      </c>
      <c r="J6" s="25" t="s">
        <v>78</v>
      </c>
      <c r="K6" s="26"/>
      <c r="L6" s="5"/>
      <c r="N6" s="7"/>
      <c r="O6" s="7"/>
      <c r="P6" s="7"/>
      <c r="Q6" s="7"/>
    </row>
    <row r="7" spans="1:17" ht="13.5" thickBot="1" x14ac:dyDescent="0.25">
      <c r="B7" s="23" t="s">
        <v>79</v>
      </c>
      <c r="C7" s="24">
        <f>(IF((10^(LOG(C3)-INT(LOG(C3)))*100)-VLOOKUP((10^(LOG(C3)-INT(LOG(C3)))*100),E24_s:E24_f,1)&lt;VLOOKUP((10^(LOG(C3)-INT(LOG(C3)))*100),E24_s:E24_f,2)-(10^(LOG(C3)-INT(LOG(C3)))*100),VLOOKUP((10^(LOG(C3)-INT(LOG(C3)))*100),E24_s:E24_f,1),VLOOKUP((10^(LOG(C3)-INT(LOG(C3)))*100),E24_s:E24_f,2)))*10^INT(LOG(C3))/100</f>
        <v>100</v>
      </c>
      <c r="E7" s="14">
        <v>330</v>
      </c>
      <c r="F7" s="13">
        <v>470</v>
      </c>
      <c r="G7" s="16">
        <v>107</v>
      </c>
      <c r="H7" s="15">
        <v>110</v>
      </c>
      <c r="J7" s="26">
        <v>1</v>
      </c>
      <c r="K7" s="26">
        <v>1.2</v>
      </c>
      <c r="L7" s="27">
        <f>IF((10^(LOG(K3)-INT(LOG(K3))))-VLOOKUP((10^(LOG(K3)-INT(LOG(K3)))),c_s1:C_f1,1)&lt;VLOOKUP((10^(LOG(K3)-INT(LOG(K3)))),c_s1:C_f1,2)-(10^(LOG(K3)-INT(LOG(K3)))),VLOOKUP((10^(LOG(K3)-INT(LOG(K3)))),c_s1:C_f1,1),VLOOKUP((10^(LOG(K3)-INT(LOG(K3)))),c_s1:C_f1,2))</f>
        <v>6.8</v>
      </c>
      <c r="N7" s="7"/>
      <c r="O7" s="7"/>
      <c r="P7" s="7"/>
      <c r="Q7" s="7"/>
    </row>
    <row r="8" spans="1:17" ht="13.5" thickBot="1" x14ac:dyDescent="0.25">
      <c r="B8" s="23" t="s">
        <v>80</v>
      </c>
      <c r="C8" s="24">
        <f>(IF((10^(LOG(C3)-INT(LOG(C3)))*100)-VLOOKUP((10^(LOG(C3)-INT(LOG(C3)))*100),E48_s:E48_f,1)&lt;VLOOKUP((10^(LOG(C3)-INT(LOG(C3)))*100),E48_s:E48_f,2)-(10^(LOG(C3)-INT(LOG(C3)))*100),VLOOKUP((10^(LOG(C3)-INT(LOG(C3)))*100),E48_s:E48_f,1),VLOOKUP((10^(LOG(C3)-INT(LOG(C3)))*100),E48_s:E48_f,2)))*10^INT(LOG(C3))/100</f>
        <v>100</v>
      </c>
      <c r="D8" s="28"/>
      <c r="E8" s="13">
        <v>470</v>
      </c>
      <c r="F8" s="14">
        <v>680</v>
      </c>
      <c r="G8" s="15">
        <v>110</v>
      </c>
      <c r="H8" s="16">
        <v>113</v>
      </c>
      <c r="J8" s="26">
        <v>1.2</v>
      </c>
      <c r="K8" s="26">
        <v>1.5</v>
      </c>
      <c r="L8" s="29"/>
      <c r="M8" s="7"/>
      <c r="N8" s="7"/>
      <c r="O8" s="7"/>
      <c r="P8" s="7"/>
      <c r="Q8" s="7"/>
    </row>
    <row r="9" spans="1:17" ht="13.5" thickBot="1" x14ac:dyDescent="0.25">
      <c r="B9" s="30" t="s">
        <v>81</v>
      </c>
      <c r="D9" s="5"/>
      <c r="E9" s="14">
        <v>680</v>
      </c>
      <c r="F9" s="14">
        <v>1000</v>
      </c>
      <c r="G9" s="16">
        <v>113</v>
      </c>
      <c r="H9" s="15">
        <v>115</v>
      </c>
      <c r="J9" s="26">
        <v>1.5</v>
      </c>
      <c r="K9" s="26">
        <v>1.8</v>
      </c>
      <c r="L9" s="29"/>
      <c r="N9" s="7"/>
      <c r="O9" s="7"/>
      <c r="P9" s="7"/>
      <c r="Q9" s="7"/>
    </row>
    <row r="10" spans="1:17" ht="13.5" thickBot="1" x14ac:dyDescent="0.25">
      <c r="B10" s="28"/>
      <c r="C10" s="28"/>
      <c r="D10" s="28"/>
      <c r="E10" s="298" t="s">
        <v>82</v>
      </c>
      <c r="F10" s="299"/>
      <c r="G10" s="15">
        <v>115</v>
      </c>
      <c r="H10" s="16">
        <v>118</v>
      </c>
      <c r="J10" s="26">
        <v>1.8</v>
      </c>
      <c r="K10" s="26">
        <v>2.2000000000000002</v>
      </c>
      <c r="L10" s="5"/>
      <c r="N10" s="7"/>
      <c r="O10" s="7"/>
      <c r="P10" s="7"/>
      <c r="Q10" s="7"/>
    </row>
    <row r="11" spans="1:17" ht="13.5" thickBot="1" x14ac:dyDescent="0.25">
      <c r="B11" s="7"/>
      <c r="C11" s="7"/>
      <c r="E11" s="33">
        <v>100</v>
      </c>
      <c r="F11" s="34">
        <v>120</v>
      </c>
      <c r="G11" s="16">
        <v>118</v>
      </c>
      <c r="H11" s="15">
        <v>121</v>
      </c>
      <c r="J11" s="26">
        <v>2.2000000000000002</v>
      </c>
      <c r="K11" s="26">
        <v>2.7</v>
      </c>
      <c r="L11" s="5"/>
      <c r="N11" s="7"/>
      <c r="O11" s="7"/>
      <c r="P11" s="7"/>
      <c r="Q11" s="7"/>
    </row>
    <row r="12" spans="1:17" ht="13.5" thickBot="1" x14ac:dyDescent="0.25">
      <c r="E12" s="34">
        <v>120</v>
      </c>
      <c r="F12" s="34">
        <v>150</v>
      </c>
      <c r="G12" s="15">
        <v>121</v>
      </c>
      <c r="H12" s="16">
        <v>124</v>
      </c>
      <c r="J12" s="26">
        <v>2.7</v>
      </c>
      <c r="K12" s="26">
        <v>3.3</v>
      </c>
      <c r="L12" s="5"/>
      <c r="N12" s="7"/>
      <c r="O12" s="7"/>
      <c r="P12" s="7"/>
      <c r="Q12" s="7"/>
    </row>
    <row r="13" spans="1:17" ht="13.5" thickBot="1" x14ac:dyDescent="0.25">
      <c r="E13" s="34">
        <v>150</v>
      </c>
      <c r="F13" s="34">
        <v>180</v>
      </c>
      <c r="G13" s="16">
        <v>124</v>
      </c>
      <c r="H13" s="15">
        <v>127</v>
      </c>
      <c r="J13" s="26">
        <v>3.3</v>
      </c>
      <c r="K13" s="26">
        <v>3.9</v>
      </c>
      <c r="L13" s="5"/>
      <c r="N13" s="7"/>
      <c r="O13" s="7"/>
      <c r="P13" s="7"/>
      <c r="Q13" s="7"/>
    </row>
    <row r="14" spans="1:17" ht="13.5" thickBot="1" x14ac:dyDescent="0.25">
      <c r="A14" s="28"/>
      <c r="B14" s="28"/>
      <c r="C14" s="28"/>
      <c r="D14" s="28"/>
      <c r="E14" s="34">
        <v>180</v>
      </c>
      <c r="F14" s="33">
        <v>220</v>
      </c>
      <c r="G14" s="15">
        <v>127</v>
      </c>
      <c r="H14" s="16">
        <v>130</v>
      </c>
      <c r="J14" s="26">
        <v>3.9</v>
      </c>
      <c r="K14" s="26">
        <v>4.7</v>
      </c>
      <c r="L14" s="5"/>
      <c r="N14" s="7"/>
      <c r="O14" s="7"/>
      <c r="P14" s="7"/>
      <c r="Q14" s="7"/>
    </row>
    <row r="15" spans="1:17" ht="13.5" thickBot="1" x14ac:dyDescent="0.25">
      <c r="A15" s="28"/>
      <c r="B15" s="28"/>
      <c r="C15" s="28"/>
      <c r="D15" s="35"/>
      <c r="E15" s="33">
        <v>220</v>
      </c>
      <c r="F15" s="34">
        <v>270</v>
      </c>
      <c r="G15" s="16">
        <v>130</v>
      </c>
      <c r="H15" s="15">
        <v>133</v>
      </c>
      <c r="J15" s="26">
        <v>4.7</v>
      </c>
      <c r="K15" s="26">
        <v>5.6</v>
      </c>
      <c r="L15" s="5"/>
      <c r="N15" s="7"/>
      <c r="O15" s="7"/>
      <c r="P15" s="7"/>
      <c r="Q15" s="7"/>
    </row>
    <row r="16" spans="1:17" ht="13.5" thickBot="1" x14ac:dyDescent="0.25">
      <c r="A16" s="36"/>
      <c r="B16" s="37"/>
      <c r="C16" s="28"/>
      <c r="D16" s="38"/>
      <c r="E16" s="34">
        <v>270</v>
      </c>
      <c r="F16" s="34">
        <v>330</v>
      </c>
      <c r="G16" s="15">
        <v>133</v>
      </c>
      <c r="H16" s="16">
        <v>137</v>
      </c>
      <c r="J16" s="26">
        <v>5.6</v>
      </c>
      <c r="K16" s="26">
        <v>6.8</v>
      </c>
      <c r="L16" s="5"/>
      <c r="N16" s="7"/>
      <c r="O16" s="7"/>
      <c r="P16" s="7"/>
      <c r="Q16" s="7"/>
    </row>
    <row r="17" spans="1:17" ht="13.5" thickBot="1" x14ac:dyDescent="0.25">
      <c r="A17" s="36"/>
      <c r="B17" s="37"/>
      <c r="C17" s="28"/>
      <c r="D17" s="38"/>
      <c r="E17" s="34">
        <v>330</v>
      </c>
      <c r="F17" s="34">
        <v>390</v>
      </c>
      <c r="G17" s="16">
        <v>137</v>
      </c>
      <c r="H17" s="15">
        <v>140</v>
      </c>
      <c r="J17" s="26">
        <v>6.8</v>
      </c>
      <c r="K17" s="26">
        <v>8.1999999999999993</v>
      </c>
      <c r="L17" s="5"/>
      <c r="N17" s="7"/>
      <c r="O17" s="7"/>
      <c r="P17" s="7"/>
      <c r="Q17" s="7"/>
    </row>
    <row r="18" spans="1:17" ht="13.5" thickBot="1" x14ac:dyDescent="0.25">
      <c r="A18" s="36"/>
      <c r="B18" s="37"/>
      <c r="C18" s="28"/>
      <c r="D18" s="38"/>
      <c r="E18" s="34">
        <v>390</v>
      </c>
      <c r="F18" s="33">
        <v>470</v>
      </c>
      <c r="G18" s="15">
        <v>140</v>
      </c>
      <c r="H18" s="16">
        <v>143</v>
      </c>
      <c r="J18" s="26">
        <v>8.1999999999999993</v>
      </c>
      <c r="K18" s="26">
        <v>10</v>
      </c>
      <c r="L18" s="5"/>
      <c r="M18" s="7"/>
      <c r="N18" s="7"/>
      <c r="O18" s="7"/>
      <c r="P18" s="7"/>
      <c r="Q18" s="7"/>
    </row>
    <row r="19" spans="1:17" ht="13.5" thickBot="1" x14ac:dyDescent="0.25">
      <c r="A19" s="36"/>
      <c r="B19" s="37"/>
      <c r="C19" s="28"/>
      <c r="D19" s="38"/>
      <c r="E19" s="33">
        <v>470</v>
      </c>
      <c r="F19" s="34">
        <v>560</v>
      </c>
      <c r="G19" s="16">
        <v>143</v>
      </c>
      <c r="H19" s="15">
        <v>147</v>
      </c>
      <c r="J19" s="25" t="s">
        <v>83</v>
      </c>
      <c r="K19" s="26"/>
      <c r="L19" s="26"/>
      <c r="M19" s="7"/>
      <c r="N19" s="7"/>
      <c r="O19" s="7"/>
      <c r="P19" s="7"/>
      <c r="Q19" s="7"/>
    </row>
    <row r="20" spans="1:17" ht="13.5" thickBot="1" x14ac:dyDescent="0.25">
      <c r="A20" s="36"/>
      <c r="B20" s="37"/>
      <c r="C20" s="28"/>
      <c r="D20" s="38"/>
      <c r="E20" s="34">
        <v>560</v>
      </c>
      <c r="F20" s="34">
        <v>680</v>
      </c>
      <c r="G20" s="15">
        <v>147</v>
      </c>
      <c r="H20" s="16">
        <v>150</v>
      </c>
      <c r="J20" s="26">
        <v>1</v>
      </c>
      <c r="K20" s="26">
        <v>1.5</v>
      </c>
      <c r="L20" s="27">
        <f>IF((10^(LOG(K3)-INT(LOG(K3))))-VLOOKUP((10^(LOG(K3)-INT(LOG(K3)))),C_s2:C_f2,1)&lt;VLOOKUP((10^(LOG(K3)-INT(LOG(K3)))),C_s2:C_f2,2)-(10^(LOG(K3)-INT(LOG(K3)))),VLOOKUP((10^(LOG(K3)-INT(LOG(K3)))),C_s2:C_f2,1),VLOOKUP((10^(LOG(K3)-INT(LOG(K3)))),C_s2:C_f2,2))</f>
        <v>6.8</v>
      </c>
      <c r="M20" s="7"/>
      <c r="N20" s="7"/>
      <c r="O20" s="7"/>
      <c r="P20" s="7"/>
      <c r="Q20" s="7"/>
    </row>
    <row r="21" spans="1:17" ht="13.5" thickBot="1" x14ac:dyDescent="0.25">
      <c r="A21" s="36"/>
      <c r="B21" s="37"/>
      <c r="C21" s="28"/>
      <c r="D21" s="38"/>
      <c r="E21" s="32">
        <v>680</v>
      </c>
      <c r="F21" s="34">
        <v>820</v>
      </c>
      <c r="G21" s="16">
        <v>150</v>
      </c>
      <c r="H21" s="15">
        <v>154</v>
      </c>
      <c r="J21" s="26">
        <v>1.5</v>
      </c>
      <c r="K21" s="26">
        <v>2.2000000000000002</v>
      </c>
      <c r="M21" s="7"/>
      <c r="N21" s="7"/>
      <c r="O21" s="7"/>
      <c r="P21" s="7"/>
      <c r="Q21" s="7"/>
    </row>
    <row r="22" spans="1:17" ht="13.5" thickBot="1" x14ac:dyDescent="0.25">
      <c r="A22" s="36"/>
      <c r="B22" s="37"/>
      <c r="C22" s="28"/>
      <c r="D22" s="38"/>
      <c r="E22" s="32">
        <v>820</v>
      </c>
      <c r="F22" s="34">
        <v>1000</v>
      </c>
      <c r="G22" s="15">
        <v>154</v>
      </c>
      <c r="H22" s="16">
        <v>158</v>
      </c>
      <c r="J22" s="26">
        <v>2.2000000000000002</v>
      </c>
      <c r="K22" s="26">
        <v>3.3</v>
      </c>
      <c r="L22" s="27"/>
      <c r="M22" s="7"/>
      <c r="N22" s="7"/>
      <c r="O22" s="7"/>
      <c r="P22" s="7"/>
      <c r="Q22" s="7"/>
    </row>
    <row r="23" spans="1:17" ht="13.5" thickBot="1" x14ac:dyDescent="0.25">
      <c r="A23" s="36"/>
      <c r="B23" s="37"/>
      <c r="C23" s="28"/>
      <c r="D23" s="38"/>
      <c r="E23" s="300" t="s">
        <v>84</v>
      </c>
      <c r="F23" s="301"/>
      <c r="G23" s="16">
        <v>158</v>
      </c>
      <c r="H23" s="15">
        <v>162</v>
      </c>
      <c r="J23" s="26">
        <v>3.3</v>
      </c>
      <c r="K23" s="26">
        <v>4.7</v>
      </c>
      <c r="L23" s="27"/>
      <c r="M23" s="7"/>
      <c r="N23" s="7"/>
      <c r="O23" s="7"/>
      <c r="P23" s="7"/>
      <c r="Q23" s="7"/>
    </row>
    <row r="24" spans="1:17" ht="13.5" thickBot="1" x14ac:dyDescent="0.25">
      <c r="A24" s="36"/>
      <c r="B24" s="37"/>
      <c r="C24" s="28"/>
      <c r="D24" s="38"/>
      <c r="E24" s="40">
        <v>100</v>
      </c>
      <c r="F24" s="41">
        <v>110</v>
      </c>
      <c r="G24" s="15">
        <v>162</v>
      </c>
      <c r="H24" s="16">
        <v>165</v>
      </c>
      <c r="J24" s="26">
        <v>4.7</v>
      </c>
      <c r="K24" s="26">
        <v>6.8</v>
      </c>
      <c r="L24" s="5"/>
      <c r="M24" s="7"/>
      <c r="N24" s="7"/>
      <c r="O24" s="7"/>
      <c r="P24" s="7"/>
      <c r="Q24" s="7"/>
    </row>
    <row r="25" spans="1:17" ht="13.5" thickBot="1" x14ac:dyDescent="0.25">
      <c r="A25" s="36"/>
      <c r="B25" s="37"/>
      <c r="C25" s="28"/>
      <c r="D25" s="38"/>
      <c r="E25" s="41">
        <v>110</v>
      </c>
      <c r="F25" s="41">
        <v>120</v>
      </c>
      <c r="G25" s="16">
        <v>165</v>
      </c>
      <c r="H25" s="15">
        <v>169</v>
      </c>
      <c r="J25" s="26">
        <v>6.8</v>
      </c>
      <c r="K25" s="26">
        <v>10</v>
      </c>
      <c r="L25" s="5"/>
      <c r="M25" s="7"/>
      <c r="N25" s="7"/>
      <c r="O25" s="7"/>
      <c r="P25" s="7"/>
      <c r="Q25" s="7"/>
    </row>
    <row r="26" spans="1:17" ht="13.5" thickBot="1" x14ac:dyDescent="0.25">
      <c r="A26" s="36"/>
      <c r="B26" s="37"/>
      <c r="C26" s="28"/>
      <c r="D26" s="38"/>
      <c r="E26" s="41">
        <v>120</v>
      </c>
      <c r="F26" s="41">
        <v>130</v>
      </c>
      <c r="G26" s="15">
        <v>169</v>
      </c>
      <c r="H26" s="16">
        <v>174</v>
      </c>
      <c r="J26" s="42"/>
      <c r="K26" s="42"/>
      <c r="L26" s="42"/>
      <c r="M26" s="7"/>
      <c r="N26" s="7"/>
      <c r="O26" s="7"/>
      <c r="P26" s="7"/>
      <c r="Q26" s="7"/>
    </row>
    <row r="27" spans="1:17" ht="13.5" thickBot="1" x14ac:dyDescent="0.25">
      <c r="A27" s="36"/>
      <c r="B27" s="37"/>
      <c r="C27" s="28"/>
      <c r="D27" s="38"/>
      <c r="E27" s="41">
        <v>130</v>
      </c>
      <c r="F27" s="41">
        <v>150</v>
      </c>
      <c r="G27" s="16">
        <v>174</v>
      </c>
      <c r="H27" s="15">
        <v>178</v>
      </c>
      <c r="J27" s="42"/>
      <c r="K27" s="42"/>
      <c r="L27" s="42"/>
      <c r="M27" s="7"/>
      <c r="N27" s="7"/>
      <c r="O27" s="7"/>
      <c r="P27" s="7"/>
      <c r="Q27" s="7"/>
    </row>
    <row r="28" spans="1:17" ht="13.5" thickBot="1" x14ac:dyDescent="0.25">
      <c r="A28" s="36"/>
      <c r="B28" s="37"/>
      <c r="C28" s="28"/>
      <c r="D28" s="38"/>
      <c r="E28" s="41">
        <v>150</v>
      </c>
      <c r="F28" s="41">
        <v>160</v>
      </c>
      <c r="G28" s="15">
        <v>178</v>
      </c>
      <c r="H28" s="16">
        <v>182</v>
      </c>
      <c r="I28" s="43"/>
      <c r="J28" s="42"/>
      <c r="K28" s="42"/>
      <c r="L28" s="42"/>
      <c r="M28" s="7"/>
      <c r="N28" s="7"/>
      <c r="O28" s="7"/>
      <c r="P28" s="7"/>
      <c r="Q28" s="7"/>
    </row>
    <row r="29" spans="1:17" ht="13.5" thickBot="1" x14ac:dyDescent="0.25">
      <c r="A29" s="36"/>
      <c r="B29" s="37"/>
      <c r="C29" s="28"/>
      <c r="D29" s="38"/>
      <c r="E29" s="41">
        <v>160</v>
      </c>
      <c r="F29" s="41">
        <v>180</v>
      </c>
      <c r="G29" s="16">
        <v>182</v>
      </c>
      <c r="H29" s="15">
        <v>187</v>
      </c>
      <c r="I29" s="43"/>
      <c r="J29" s="42"/>
      <c r="K29" s="42"/>
      <c r="L29" s="42"/>
      <c r="M29" s="7"/>
      <c r="N29" s="7"/>
      <c r="O29" s="7"/>
      <c r="P29" s="7"/>
      <c r="Q29" s="7"/>
    </row>
    <row r="30" spans="1:17" ht="13.5" thickBot="1" x14ac:dyDescent="0.25">
      <c r="A30" s="36"/>
      <c r="B30" s="37"/>
      <c r="C30" s="28"/>
      <c r="D30" s="38"/>
      <c r="E30" s="41">
        <v>180</v>
      </c>
      <c r="F30" s="44">
        <v>200</v>
      </c>
      <c r="G30" s="15">
        <v>187</v>
      </c>
      <c r="H30" s="16">
        <v>191</v>
      </c>
      <c r="I30" s="43"/>
      <c r="J30" s="42"/>
      <c r="K30" s="42"/>
      <c r="L30" s="42"/>
      <c r="M30" s="7"/>
      <c r="N30" s="7"/>
      <c r="O30" s="7"/>
      <c r="P30" s="7"/>
      <c r="Q30" s="7"/>
    </row>
    <row r="31" spans="1:17" ht="13.5" thickBot="1" x14ac:dyDescent="0.25">
      <c r="A31" s="36"/>
      <c r="B31" s="37"/>
      <c r="C31" s="28"/>
      <c r="D31" s="38"/>
      <c r="E31" s="44">
        <v>200</v>
      </c>
      <c r="F31" s="40">
        <v>220</v>
      </c>
      <c r="G31" s="16">
        <v>191</v>
      </c>
      <c r="H31" s="15">
        <v>196</v>
      </c>
      <c r="I31" s="43"/>
      <c r="J31" s="42"/>
      <c r="K31" s="42"/>
      <c r="L31" s="42"/>
      <c r="M31" s="7"/>
      <c r="N31" s="7"/>
      <c r="O31" s="7"/>
      <c r="P31" s="7"/>
      <c r="Q31" s="7"/>
    </row>
    <row r="32" spans="1:17" ht="13.5" thickBot="1" x14ac:dyDescent="0.25">
      <c r="A32" s="36"/>
      <c r="B32" s="37"/>
      <c r="C32" s="28"/>
      <c r="D32" s="38"/>
      <c r="E32" s="40">
        <v>220</v>
      </c>
      <c r="F32" s="41">
        <v>240</v>
      </c>
      <c r="G32" s="15">
        <v>196</v>
      </c>
      <c r="H32" s="16">
        <v>200</v>
      </c>
      <c r="I32" s="43"/>
      <c r="J32" s="42"/>
      <c r="K32" s="42"/>
      <c r="L32" s="42"/>
      <c r="M32" s="7"/>
      <c r="N32" s="7"/>
      <c r="O32" s="7"/>
      <c r="P32" s="7"/>
      <c r="Q32" s="7"/>
    </row>
    <row r="33" spans="1:17" ht="13.5" thickBot="1" x14ac:dyDescent="0.25">
      <c r="A33" s="36"/>
      <c r="B33" s="37"/>
      <c r="C33" s="28"/>
      <c r="D33" s="38"/>
      <c r="E33" s="41">
        <v>240</v>
      </c>
      <c r="F33" s="41">
        <v>270</v>
      </c>
      <c r="G33" s="16">
        <v>200</v>
      </c>
      <c r="H33" s="15">
        <v>205</v>
      </c>
      <c r="I33" s="43"/>
      <c r="J33" s="42"/>
      <c r="K33" s="42"/>
      <c r="L33" s="42"/>
      <c r="M33" s="7"/>
      <c r="N33" s="7"/>
      <c r="O33" s="7"/>
      <c r="P33" s="7"/>
      <c r="Q33" s="7"/>
    </row>
    <row r="34" spans="1:17" s="46" customFormat="1" ht="13.5" thickBot="1" x14ac:dyDescent="0.25">
      <c r="A34" s="36"/>
      <c r="B34" s="37"/>
      <c r="C34" s="28"/>
      <c r="D34" s="38"/>
      <c r="E34" s="41">
        <v>270</v>
      </c>
      <c r="F34" s="41">
        <v>300</v>
      </c>
      <c r="G34" s="15">
        <v>205</v>
      </c>
      <c r="H34" s="16">
        <v>210</v>
      </c>
      <c r="I34" s="45"/>
      <c r="J34" s="42"/>
      <c r="K34" s="42"/>
      <c r="L34" s="42"/>
    </row>
    <row r="35" spans="1:17" s="46" customFormat="1" ht="13.5" thickBot="1" x14ac:dyDescent="0.25">
      <c r="A35" s="47"/>
      <c r="B35" s="47"/>
      <c r="C35" s="47"/>
      <c r="D35" s="47"/>
      <c r="E35" s="41">
        <v>300</v>
      </c>
      <c r="F35" s="41">
        <v>330</v>
      </c>
      <c r="G35" s="16">
        <v>210</v>
      </c>
      <c r="H35" s="15">
        <v>215</v>
      </c>
      <c r="I35" s="6"/>
      <c r="J35" s="42"/>
      <c r="K35" s="42"/>
      <c r="L35" s="42"/>
    </row>
    <row r="36" spans="1:17" s="46" customFormat="1" ht="13.5" thickBot="1" x14ac:dyDescent="0.25">
      <c r="E36" s="41">
        <v>330</v>
      </c>
      <c r="F36" s="41">
        <v>360</v>
      </c>
      <c r="G36" s="15">
        <v>215</v>
      </c>
      <c r="H36" s="16">
        <v>221</v>
      </c>
      <c r="I36" s="6"/>
      <c r="J36" s="42"/>
      <c r="K36" s="42"/>
      <c r="L36" s="42"/>
    </row>
    <row r="37" spans="1:17" s="46" customFormat="1" ht="13.5" thickBot="1" x14ac:dyDescent="0.25">
      <c r="E37" s="41">
        <v>360</v>
      </c>
      <c r="F37" s="41">
        <v>390</v>
      </c>
      <c r="G37" s="16">
        <v>221</v>
      </c>
      <c r="H37" s="15">
        <v>226</v>
      </c>
      <c r="I37" s="6"/>
      <c r="J37" s="42"/>
      <c r="K37" s="42"/>
      <c r="L37" s="42"/>
    </row>
    <row r="38" spans="1:17" s="46" customFormat="1" ht="13.5" thickBot="1" x14ac:dyDescent="0.25">
      <c r="E38" s="41">
        <v>390</v>
      </c>
      <c r="F38" s="44">
        <v>430</v>
      </c>
      <c r="G38" s="15">
        <v>226</v>
      </c>
      <c r="H38" s="16">
        <v>232</v>
      </c>
      <c r="I38" s="43"/>
      <c r="J38" s="42"/>
      <c r="K38" s="42"/>
      <c r="L38" s="42"/>
    </row>
    <row r="39" spans="1:17" ht="13.5" thickBot="1" x14ac:dyDescent="0.25">
      <c r="E39" s="44">
        <v>430</v>
      </c>
      <c r="F39" s="40">
        <v>470</v>
      </c>
      <c r="G39" s="16">
        <v>232</v>
      </c>
      <c r="H39" s="15">
        <v>237</v>
      </c>
      <c r="I39" s="43"/>
      <c r="J39" s="42"/>
      <c r="K39" s="42"/>
      <c r="L39" s="42"/>
      <c r="M39" s="7"/>
      <c r="N39" s="7"/>
      <c r="O39" s="7"/>
      <c r="P39" s="7"/>
      <c r="Q39" s="7"/>
    </row>
    <row r="40" spans="1:17" ht="13.5" thickBot="1" x14ac:dyDescent="0.25">
      <c r="E40" s="40">
        <v>470</v>
      </c>
      <c r="F40" s="41">
        <v>510</v>
      </c>
      <c r="G40" s="15">
        <v>237</v>
      </c>
      <c r="H40" s="16">
        <v>243</v>
      </c>
      <c r="I40" s="43"/>
      <c r="J40" s="42"/>
      <c r="K40" s="42"/>
      <c r="L40" s="42"/>
      <c r="M40" s="7"/>
      <c r="N40" s="7"/>
      <c r="O40" s="7"/>
      <c r="P40" s="7"/>
      <c r="Q40" s="7"/>
    </row>
    <row r="41" spans="1:17" ht="13.5" thickBot="1" x14ac:dyDescent="0.25">
      <c r="E41" s="41">
        <v>510</v>
      </c>
      <c r="F41" s="41">
        <v>560</v>
      </c>
      <c r="G41" s="16">
        <v>243</v>
      </c>
      <c r="H41" s="15">
        <v>249</v>
      </c>
      <c r="I41" s="43"/>
      <c r="J41" s="42"/>
      <c r="K41" s="42"/>
      <c r="L41" s="42"/>
      <c r="M41" s="7"/>
      <c r="N41" s="7"/>
      <c r="O41" s="7"/>
      <c r="P41" s="7"/>
      <c r="Q41" s="7"/>
    </row>
    <row r="42" spans="1:17" ht="13.5" thickBot="1" x14ac:dyDescent="0.25">
      <c r="E42" s="41">
        <v>560</v>
      </c>
      <c r="F42" s="41">
        <v>620</v>
      </c>
      <c r="G42" s="15">
        <v>249</v>
      </c>
      <c r="H42" s="16">
        <v>255</v>
      </c>
      <c r="I42" s="43"/>
      <c r="J42" s="42"/>
      <c r="K42" s="42"/>
      <c r="L42" s="42"/>
      <c r="M42" s="7"/>
      <c r="N42" s="7"/>
      <c r="O42" s="7"/>
      <c r="P42" s="7"/>
      <c r="Q42" s="7"/>
    </row>
    <row r="43" spans="1:17" ht="13.5" thickBot="1" x14ac:dyDescent="0.25">
      <c r="E43" s="41">
        <v>620</v>
      </c>
      <c r="F43" s="41">
        <v>680</v>
      </c>
      <c r="G43" s="16">
        <v>255</v>
      </c>
      <c r="H43" s="15">
        <v>261</v>
      </c>
      <c r="I43" s="43"/>
      <c r="J43" s="42"/>
      <c r="K43" s="42"/>
      <c r="L43" s="42"/>
      <c r="M43" s="7"/>
      <c r="N43" s="7"/>
      <c r="O43" s="7"/>
      <c r="P43" s="7"/>
      <c r="Q43" s="7"/>
    </row>
    <row r="44" spans="1:17" ht="13.5" thickBot="1" x14ac:dyDescent="0.25">
      <c r="E44" s="41">
        <v>680</v>
      </c>
      <c r="F44" s="41">
        <v>750</v>
      </c>
      <c r="G44" s="15">
        <v>261</v>
      </c>
      <c r="H44" s="16">
        <v>267</v>
      </c>
      <c r="I44" s="43"/>
      <c r="J44" s="42"/>
      <c r="K44" s="42"/>
      <c r="L44" s="42"/>
      <c r="M44" s="7"/>
      <c r="N44" s="7"/>
      <c r="O44" s="7"/>
      <c r="P44" s="7"/>
      <c r="Q44" s="7"/>
    </row>
    <row r="45" spans="1:17" ht="13.5" thickBot="1" x14ac:dyDescent="0.25">
      <c r="E45" s="41">
        <v>750</v>
      </c>
      <c r="F45" s="41">
        <v>820</v>
      </c>
      <c r="G45" s="16">
        <v>267</v>
      </c>
      <c r="H45" s="15">
        <v>274</v>
      </c>
      <c r="J45" s="42"/>
      <c r="K45" s="42"/>
      <c r="L45" s="42"/>
      <c r="M45" s="7"/>
      <c r="N45" s="7"/>
      <c r="O45" s="7"/>
      <c r="P45" s="7"/>
      <c r="Q45" s="7"/>
    </row>
    <row r="46" spans="1:17" ht="13.5" thickBot="1" x14ac:dyDescent="0.25">
      <c r="E46" s="41">
        <v>820</v>
      </c>
      <c r="F46" s="44">
        <v>910</v>
      </c>
      <c r="G46" s="15">
        <v>274</v>
      </c>
      <c r="H46" s="16">
        <v>280</v>
      </c>
      <c r="J46" s="42"/>
      <c r="K46" s="42"/>
      <c r="L46" s="42"/>
      <c r="M46" s="7"/>
      <c r="N46" s="7"/>
      <c r="O46" s="7"/>
      <c r="P46" s="7"/>
      <c r="Q46" s="7"/>
    </row>
    <row r="47" spans="1:17" ht="13.5" thickBot="1" x14ac:dyDescent="0.25">
      <c r="E47" s="44">
        <v>910</v>
      </c>
      <c r="F47" s="44">
        <v>1000</v>
      </c>
      <c r="G47" s="16">
        <v>280</v>
      </c>
      <c r="H47" s="15">
        <v>287</v>
      </c>
      <c r="J47" s="42"/>
      <c r="K47" s="42"/>
      <c r="L47" s="42"/>
      <c r="M47" s="7"/>
      <c r="N47" s="7"/>
      <c r="O47" s="7"/>
      <c r="P47" s="7"/>
      <c r="Q47" s="7"/>
    </row>
    <row r="48" spans="1:17" ht="13.5" thickBot="1" x14ac:dyDescent="0.25">
      <c r="E48" s="293" t="s">
        <v>85</v>
      </c>
      <c r="F48" s="293"/>
      <c r="G48" s="15">
        <v>287</v>
      </c>
      <c r="H48" s="16">
        <v>294</v>
      </c>
      <c r="J48" s="42"/>
      <c r="K48" s="42"/>
      <c r="L48" s="42"/>
      <c r="M48" s="7"/>
      <c r="N48" s="7"/>
      <c r="O48" s="7"/>
      <c r="P48" s="7"/>
      <c r="Q48" s="7"/>
    </row>
    <row r="49" spans="1:17" ht="13.5" thickBot="1" x14ac:dyDescent="0.25">
      <c r="E49" s="48">
        <v>100</v>
      </c>
      <c r="F49" s="48">
        <v>105</v>
      </c>
      <c r="G49" s="16">
        <v>294</v>
      </c>
      <c r="H49" s="15">
        <v>301</v>
      </c>
      <c r="J49" s="42"/>
      <c r="K49" s="42"/>
      <c r="L49" s="42"/>
      <c r="M49" s="7"/>
      <c r="N49" s="7"/>
      <c r="O49" s="7"/>
      <c r="P49" s="7"/>
      <c r="Q49" s="7"/>
    </row>
    <row r="50" spans="1:17" ht="13.5" thickBot="1" x14ac:dyDescent="0.25">
      <c r="A50" s="7"/>
      <c r="B50" s="7"/>
      <c r="C50" s="7"/>
      <c r="D50" s="7"/>
      <c r="E50" s="48">
        <v>105</v>
      </c>
      <c r="F50" s="48">
        <v>110</v>
      </c>
      <c r="G50" s="15">
        <v>301</v>
      </c>
      <c r="H50" s="16">
        <v>309</v>
      </c>
      <c r="J50" s="42"/>
      <c r="K50" s="42"/>
      <c r="L50" s="42"/>
      <c r="M50" s="7"/>
      <c r="N50" s="7"/>
      <c r="O50" s="7"/>
      <c r="P50" s="7"/>
      <c r="Q50" s="7"/>
    </row>
    <row r="51" spans="1:17" ht="13.5" thickBot="1" x14ac:dyDescent="0.25">
      <c r="A51" s="7"/>
      <c r="B51" s="7"/>
      <c r="C51" s="7"/>
      <c r="D51" s="7"/>
      <c r="E51" s="48">
        <v>110</v>
      </c>
      <c r="F51" s="48">
        <v>115</v>
      </c>
      <c r="G51" s="16">
        <v>309</v>
      </c>
      <c r="H51" s="15">
        <v>316</v>
      </c>
      <c r="J51" s="42"/>
      <c r="K51" s="42"/>
      <c r="L51" s="42"/>
      <c r="M51" s="7"/>
      <c r="N51" s="7"/>
      <c r="O51" s="7"/>
      <c r="P51" s="7"/>
      <c r="Q51" s="7"/>
    </row>
    <row r="52" spans="1:17" ht="13.5" thickBot="1" x14ac:dyDescent="0.25">
      <c r="A52" s="7"/>
      <c r="B52" s="7"/>
      <c r="C52" s="7"/>
      <c r="D52" s="7"/>
      <c r="E52" s="48">
        <v>115</v>
      </c>
      <c r="F52" s="48">
        <v>121</v>
      </c>
      <c r="G52" s="15">
        <v>316</v>
      </c>
      <c r="H52" s="16">
        <v>324</v>
      </c>
      <c r="J52" s="42"/>
      <c r="K52" s="42"/>
      <c r="L52" s="42"/>
      <c r="M52" s="7"/>
      <c r="N52" s="7"/>
      <c r="O52" s="7"/>
      <c r="P52" s="7"/>
      <c r="Q52" s="7"/>
    </row>
    <row r="53" spans="1:17" ht="13.5" thickBot="1" x14ac:dyDescent="0.25">
      <c r="A53" s="7"/>
      <c r="B53" s="7"/>
      <c r="C53" s="7"/>
      <c r="D53" s="7"/>
      <c r="E53" s="48">
        <v>121</v>
      </c>
      <c r="F53" s="48">
        <v>127</v>
      </c>
      <c r="G53" s="16">
        <v>324</v>
      </c>
      <c r="H53" s="15">
        <v>332</v>
      </c>
      <c r="J53" s="42"/>
      <c r="K53" s="42"/>
      <c r="L53" s="42"/>
      <c r="M53" s="7"/>
      <c r="N53" s="7"/>
      <c r="O53" s="7"/>
      <c r="P53" s="7"/>
      <c r="Q53" s="7"/>
    </row>
    <row r="54" spans="1:17" ht="13.5" thickBot="1" x14ac:dyDescent="0.25">
      <c r="A54" s="7"/>
      <c r="B54" s="7"/>
      <c r="C54" s="7"/>
      <c r="D54" s="7"/>
      <c r="E54" s="48">
        <v>127</v>
      </c>
      <c r="F54" s="48">
        <v>133</v>
      </c>
      <c r="G54" s="15">
        <v>332</v>
      </c>
      <c r="H54" s="16">
        <v>340</v>
      </c>
      <c r="J54" s="42"/>
      <c r="K54" s="42"/>
      <c r="L54" s="42"/>
      <c r="M54" s="7"/>
      <c r="N54" s="7"/>
      <c r="O54" s="7"/>
      <c r="P54" s="7"/>
      <c r="Q54" s="7"/>
    </row>
    <row r="55" spans="1:17" ht="13.5" thickBot="1" x14ac:dyDescent="0.25">
      <c r="A55" s="7"/>
      <c r="B55" s="7"/>
      <c r="C55" s="7"/>
      <c r="D55" s="7"/>
      <c r="E55" s="48">
        <v>133</v>
      </c>
      <c r="F55" s="48">
        <v>140</v>
      </c>
      <c r="G55" s="16">
        <v>340</v>
      </c>
      <c r="H55" s="15">
        <v>348</v>
      </c>
      <c r="J55" s="42"/>
      <c r="K55" s="42"/>
      <c r="L55" s="42"/>
      <c r="M55" s="7"/>
      <c r="N55" s="7"/>
      <c r="O55" s="7"/>
      <c r="P55" s="7"/>
      <c r="Q55" s="7"/>
    </row>
    <row r="56" spans="1:17" ht="13.5" thickBot="1" x14ac:dyDescent="0.25">
      <c r="A56" s="7"/>
      <c r="B56" s="7"/>
      <c r="C56" s="7"/>
      <c r="D56" s="7"/>
      <c r="E56" s="48">
        <v>140</v>
      </c>
      <c r="F56" s="48">
        <v>147</v>
      </c>
      <c r="G56" s="15">
        <v>348</v>
      </c>
      <c r="H56" s="16">
        <v>357</v>
      </c>
      <c r="J56" s="42"/>
      <c r="K56" s="42"/>
      <c r="L56" s="42"/>
      <c r="M56" s="7"/>
      <c r="N56" s="7"/>
      <c r="O56" s="7"/>
      <c r="P56" s="7"/>
      <c r="Q56" s="7"/>
    </row>
    <row r="57" spans="1:17" ht="13.5" thickBot="1" x14ac:dyDescent="0.25">
      <c r="A57" s="7"/>
      <c r="B57" s="7"/>
      <c r="C57" s="7"/>
      <c r="D57" s="7"/>
      <c r="E57" s="48">
        <v>147</v>
      </c>
      <c r="F57" s="48">
        <v>154</v>
      </c>
      <c r="G57" s="16">
        <v>357</v>
      </c>
      <c r="H57" s="15">
        <v>365</v>
      </c>
      <c r="J57" s="42"/>
      <c r="K57" s="42"/>
      <c r="L57" s="42"/>
      <c r="M57" s="7"/>
      <c r="N57" s="7"/>
      <c r="O57" s="7"/>
      <c r="P57" s="7"/>
      <c r="Q57" s="7"/>
    </row>
    <row r="58" spans="1:17" ht="13.5" thickBot="1" x14ac:dyDescent="0.25">
      <c r="A58" s="7"/>
      <c r="B58" s="7"/>
      <c r="C58" s="7"/>
      <c r="D58" s="7"/>
      <c r="E58" s="48">
        <v>154</v>
      </c>
      <c r="F58" s="48">
        <v>162</v>
      </c>
      <c r="G58" s="15">
        <v>365</v>
      </c>
      <c r="H58" s="16">
        <v>374</v>
      </c>
      <c r="J58" s="42"/>
      <c r="K58" s="42"/>
      <c r="L58" s="42"/>
      <c r="M58" s="7"/>
      <c r="N58" s="7"/>
      <c r="O58" s="7"/>
      <c r="P58" s="7"/>
      <c r="Q58" s="7"/>
    </row>
    <row r="59" spans="1:17" ht="13.5" thickBot="1" x14ac:dyDescent="0.25">
      <c r="A59" s="7"/>
      <c r="B59" s="7"/>
      <c r="C59" s="7"/>
      <c r="D59" s="7"/>
      <c r="E59" s="48">
        <v>162</v>
      </c>
      <c r="F59" s="48">
        <v>169</v>
      </c>
      <c r="G59" s="16">
        <v>374</v>
      </c>
      <c r="H59" s="15">
        <v>383</v>
      </c>
      <c r="J59" s="42"/>
      <c r="K59" s="42"/>
      <c r="L59" s="42"/>
      <c r="M59" s="7"/>
      <c r="N59" s="7"/>
      <c r="O59" s="7"/>
      <c r="P59" s="7"/>
      <c r="Q59" s="7"/>
    </row>
    <row r="60" spans="1:17" ht="13.5" thickBot="1" x14ac:dyDescent="0.25">
      <c r="A60" s="7"/>
      <c r="B60" s="7"/>
      <c r="C60" s="7"/>
      <c r="D60" s="7"/>
      <c r="E60" s="48">
        <v>169</v>
      </c>
      <c r="F60" s="48">
        <v>178</v>
      </c>
      <c r="G60" s="15">
        <v>383</v>
      </c>
      <c r="H60" s="16">
        <v>392</v>
      </c>
      <c r="J60" s="42"/>
      <c r="K60" s="42"/>
      <c r="L60" s="42"/>
      <c r="M60" s="7"/>
      <c r="N60" s="7"/>
      <c r="O60" s="7"/>
      <c r="P60" s="7"/>
      <c r="Q60" s="7"/>
    </row>
    <row r="61" spans="1:17" ht="13.5" thickBot="1" x14ac:dyDescent="0.25">
      <c r="A61" s="7"/>
      <c r="B61" s="7"/>
      <c r="C61" s="7"/>
      <c r="D61" s="7"/>
      <c r="E61" s="48">
        <v>178</v>
      </c>
      <c r="F61" s="48">
        <v>187</v>
      </c>
      <c r="G61" s="16">
        <v>392</v>
      </c>
      <c r="H61" s="15">
        <v>402</v>
      </c>
      <c r="J61" s="42"/>
      <c r="K61" s="42"/>
      <c r="L61" s="42"/>
      <c r="M61" s="7"/>
      <c r="N61" s="7"/>
      <c r="O61" s="7"/>
      <c r="P61" s="7"/>
      <c r="Q61" s="7"/>
    </row>
    <row r="62" spans="1:17" ht="13.5" thickBot="1" x14ac:dyDescent="0.25">
      <c r="A62" s="7"/>
      <c r="B62" s="7"/>
      <c r="C62" s="7"/>
      <c r="D62" s="7"/>
      <c r="E62" s="48">
        <v>187</v>
      </c>
      <c r="F62" s="48">
        <v>196</v>
      </c>
      <c r="G62" s="15">
        <v>402</v>
      </c>
      <c r="H62" s="16">
        <v>412</v>
      </c>
      <c r="J62" s="42"/>
      <c r="K62" s="42"/>
      <c r="L62" s="42"/>
      <c r="M62" s="7"/>
      <c r="N62" s="7"/>
      <c r="O62" s="7"/>
      <c r="P62" s="7"/>
      <c r="Q62" s="7"/>
    </row>
    <row r="63" spans="1:17" ht="13.5" thickBot="1" x14ac:dyDescent="0.25">
      <c r="A63" s="7"/>
      <c r="B63" s="7"/>
      <c r="C63" s="7"/>
      <c r="D63" s="7"/>
      <c r="E63" s="48">
        <v>196</v>
      </c>
      <c r="F63" s="48">
        <v>205</v>
      </c>
      <c r="G63" s="16">
        <v>412</v>
      </c>
      <c r="H63" s="15">
        <v>422</v>
      </c>
      <c r="J63" s="42"/>
      <c r="K63" s="42"/>
      <c r="L63" s="42"/>
      <c r="M63" s="7"/>
      <c r="N63" s="7"/>
      <c r="O63" s="7"/>
      <c r="P63" s="7"/>
      <c r="Q63" s="7"/>
    </row>
    <row r="64" spans="1:17" ht="13.5" thickBot="1" x14ac:dyDescent="0.25">
      <c r="A64" s="7"/>
      <c r="B64" s="7"/>
      <c r="C64" s="7"/>
      <c r="D64" s="7"/>
      <c r="E64" s="48">
        <v>205</v>
      </c>
      <c r="F64" s="48">
        <v>215</v>
      </c>
      <c r="G64" s="15">
        <v>422</v>
      </c>
      <c r="H64" s="16">
        <v>432</v>
      </c>
      <c r="J64" s="42"/>
      <c r="K64" s="42"/>
      <c r="L64" s="42"/>
      <c r="M64" s="7"/>
      <c r="N64" s="7"/>
      <c r="O64" s="7"/>
      <c r="P64" s="7"/>
      <c r="Q64" s="7"/>
    </row>
    <row r="65" spans="5:12" s="7" customFormat="1" ht="13.5" thickBot="1" x14ac:dyDescent="0.25">
      <c r="E65" s="48">
        <v>215</v>
      </c>
      <c r="F65" s="48">
        <v>226</v>
      </c>
      <c r="G65" s="16">
        <v>432</v>
      </c>
      <c r="H65" s="15">
        <v>442</v>
      </c>
      <c r="I65" s="6"/>
      <c r="J65" s="42"/>
      <c r="K65" s="42"/>
      <c r="L65" s="42"/>
    </row>
    <row r="66" spans="5:12" s="7" customFormat="1" ht="13.5" thickBot="1" x14ac:dyDescent="0.25">
      <c r="E66" s="48">
        <v>226</v>
      </c>
      <c r="F66" s="48">
        <v>237</v>
      </c>
      <c r="G66" s="15">
        <v>442</v>
      </c>
      <c r="H66" s="16">
        <v>453</v>
      </c>
      <c r="I66" s="6"/>
      <c r="J66" s="42"/>
      <c r="K66" s="42"/>
      <c r="L66" s="42"/>
    </row>
    <row r="67" spans="5:12" s="7" customFormat="1" ht="13.5" thickBot="1" x14ac:dyDescent="0.25">
      <c r="E67" s="48">
        <v>237</v>
      </c>
      <c r="F67" s="48">
        <v>249</v>
      </c>
      <c r="G67" s="16">
        <v>453</v>
      </c>
      <c r="H67" s="15">
        <v>464</v>
      </c>
      <c r="I67" s="6"/>
      <c r="J67" s="42"/>
      <c r="K67" s="42"/>
      <c r="L67" s="42"/>
    </row>
    <row r="68" spans="5:12" s="7" customFormat="1" ht="13.5" thickBot="1" x14ac:dyDescent="0.25">
      <c r="E68" s="48">
        <v>249</v>
      </c>
      <c r="F68" s="48">
        <v>261</v>
      </c>
      <c r="G68" s="15">
        <v>464</v>
      </c>
      <c r="H68" s="16">
        <v>475</v>
      </c>
      <c r="I68" s="6"/>
      <c r="J68" s="42"/>
      <c r="K68" s="42"/>
      <c r="L68" s="42"/>
    </row>
    <row r="69" spans="5:12" s="7" customFormat="1" ht="13.5" thickBot="1" x14ac:dyDescent="0.25">
      <c r="E69" s="48">
        <v>261</v>
      </c>
      <c r="F69" s="48">
        <v>274</v>
      </c>
      <c r="G69" s="16">
        <v>475</v>
      </c>
      <c r="H69" s="15">
        <v>487</v>
      </c>
      <c r="I69" s="6"/>
      <c r="J69" s="42"/>
      <c r="K69" s="42"/>
      <c r="L69" s="42"/>
    </row>
    <row r="70" spans="5:12" s="7" customFormat="1" ht="13.5" thickBot="1" x14ac:dyDescent="0.25">
      <c r="E70" s="48">
        <v>274</v>
      </c>
      <c r="F70" s="48">
        <v>287</v>
      </c>
      <c r="G70" s="15">
        <v>487</v>
      </c>
      <c r="H70" s="16">
        <v>499</v>
      </c>
      <c r="I70" s="6"/>
      <c r="J70" s="42"/>
      <c r="K70" s="42"/>
      <c r="L70" s="42"/>
    </row>
    <row r="71" spans="5:12" s="7" customFormat="1" ht="13.5" thickBot="1" x14ac:dyDescent="0.25">
      <c r="E71" s="48">
        <v>287</v>
      </c>
      <c r="F71" s="48">
        <v>301</v>
      </c>
      <c r="G71" s="16">
        <v>499</v>
      </c>
      <c r="H71" s="15">
        <v>511</v>
      </c>
      <c r="I71" s="6"/>
      <c r="J71" s="42"/>
      <c r="K71" s="42"/>
      <c r="L71" s="42"/>
    </row>
    <row r="72" spans="5:12" s="7" customFormat="1" ht="13.5" thickBot="1" x14ac:dyDescent="0.25">
      <c r="E72" s="48">
        <v>301</v>
      </c>
      <c r="F72" s="48">
        <v>316</v>
      </c>
      <c r="G72" s="15">
        <v>511</v>
      </c>
      <c r="H72" s="16">
        <v>523</v>
      </c>
      <c r="I72" s="6"/>
      <c r="J72" s="42"/>
      <c r="K72" s="42"/>
      <c r="L72" s="42"/>
    </row>
    <row r="73" spans="5:12" s="7" customFormat="1" ht="13.5" thickBot="1" x14ac:dyDescent="0.25">
      <c r="E73" s="48">
        <v>316</v>
      </c>
      <c r="F73" s="48">
        <v>332</v>
      </c>
      <c r="G73" s="16">
        <v>523</v>
      </c>
      <c r="H73" s="15">
        <v>536</v>
      </c>
      <c r="I73" s="6"/>
      <c r="J73" s="42"/>
      <c r="K73" s="42"/>
      <c r="L73" s="42"/>
    </row>
    <row r="74" spans="5:12" s="7" customFormat="1" ht="13.5" thickBot="1" x14ac:dyDescent="0.25">
      <c r="E74" s="48">
        <v>332</v>
      </c>
      <c r="F74" s="48">
        <v>348</v>
      </c>
      <c r="G74" s="15">
        <v>536</v>
      </c>
      <c r="H74" s="16">
        <v>549</v>
      </c>
      <c r="I74" s="6"/>
      <c r="J74" s="42"/>
      <c r="K74" s="42"/>
      <c r="L74" s="42"/>
    </row>
    <row r="75" spans="5:12" s="7" customFormat="1" ht="13.5" thickBot="1" x14ac:dyDescent="0.25">
      <c r="E75" s="48">
        <v>348</v>
      </c>
      <c r="F75" s="48">
        <v>365</v>
      </c>
      <c r="G75" s="16">
        <v>549</v>
      </c>
      <c r="H75" s="15">
        <v>562</v>
      </c>
      <c r="I75" s="6"/>
      <c r="J75" s="42"/>
      <c r="K75" s="42"/>
      <c r="L75" s="42"/>
    </row>
    <row r="76" spans="5:12" s="7" customFormat="1" ht="13.5" thickBot="1" x14ac:dyDescent="0.25">
      <c r="E76" s="48">
        <v>365</v>
      </c>
      <c r="F76" s="48">
        <v>383</v>
      </c>
      <c r="G76" s="15">
        <v>562</v>
      </c>
      <c r="H76" s="16">
        <v>576</v>
      </c>
      <c r="I76" s="6"/>
      <c r="J76" s="49"/>
      <c r="K76" s="49"/>
      <c r="L76" s="49"/>
    </row>
    <row r="77" spans="5:12" s="7" customFormat="1" ht="13.5" thickBot="1" x14ac:dyDescent="0.25">
      <c r="E77" s="48">
        <v>383</v>
      </c>
      <c r="F77" s="48">
        <v>402</v>
      </c>
      <c r="G77" s="16">
        <v>576</v>
      </c>
      <c r="H77" s="15">
        <v>590</v>
      </c>
      <c r="I77" s="6"/>
      <c r="J77" s="49"/>
      <c r="K77" s="49"/>
      <c r="L77" s="49"/>
    </row>
    <row r="78" spans="5:12" s="7" customFormat="1" ht="13.5" thickBot="1" x14ac:dyDescent="0.25">
      <c r="E78" s="48">
        <v>402</v>
      </c>
      <c r="F78" s="48">
        <v>422</v>
      </c>
      <c r="G78" s="15">
        <v>590</v>
      </c>
      <c r="H78" s="16">
        <v>604</v>
      </c>
      <c r="I78" s="6"/>
      <c r="J78" s="49"/>
      <c r="K78" s="49"/>
      <c r="L78" s="49"/>
    </row>
    <row r="79" spans="5:12" s="7" customFormat="1" ht="13.5" thickBot="1" x14ac:dyDescent="0.25">
      <c r="E79" s="48">
        <v>422</v>
      </c>
      <c r="F79" s="48">
        <v>442</v>
      </c>
      <c r="G79" s="16">
        <v>604</v>
      </c>
      <c r="H79" s="15">
        <v>619</v>
      </c>
      <c r="I79" s="6"/>
      <c r="J79" s="49"/>
      <c r="K79" s="49"/>
      <c r="L79" s="49"/>
    </row>
    <row r="80" spans="5:12" s="7" customFormat="1" ht="13.5" thickBot="1" x14ac:dyDescent="0.25">
      <c r="E80" s="48">
        <v>442</v>
      </c>
      <c r="F80" s="48">
        <v>464</v>
      </c>
      <c r="G80" s="15">
        <v>619</v>
      </c>
      <c r="H80" s="16">
        <v>634</v>
      </c>
      <c r="I80" s="6"/>
      <c r="J80" s="49"/>
      <c r="K80" s="49"/>
      <c r="L80" s="49"/>
    </row>
    <row r="81" spans="5:12" s="7" customFormat="1" ht="13.5" thickBot="1" x14ac:dyDescent="0.25">
      <c r="E81" s="48">
        <v>464</v>
      </c>
      <c r="F81" s="48">
        <v>487</v>
      </c>
      <c r="G81" s="16">
        <v>634</v>
      </c>
      <c r="H81" s="15">
        <v>649</v>
      </c>
      <c r="I81" s="6"/>
      <c r="J81" s="49"/>
      <c r="K81" s="49"/>
      <c r="L81" s="49"/>
    </row>
    <row r="82" spans="5:12" s="7" customFormat="1" ht="13.5" thickBot="1" x14ac:dyDescent="0.25">
      <c r="E82" s="48">
        <v>487</v>
      </c>
      <c r="F82" s="48">
        <v>511</v>
      </c>
      <c r="G82" s="15">
        <v>649</v>
      </c>
      <c r="H82" s="16">
        <v>665</v>
      </c>
      <c r="I82" s="6"/>
      <c r="J82" s="49"/>
      <c r="K82" s="49"/>
      <c r="L82" s="49"/>
    </row>
    <row r="83" spans="5:12" s="7" customFormat="1" ht="13.5" thickBot="1" x14ac:dyDescent="0.25">
      <c r="E83" s="48">
        <v>511</v>
      </c>
      <c r="F83" s="48">
        <v>536</v>
      </c>
      <c r="G83" s="16">
        <v>665</v>
      </c>
      <c r="H83" s="15">
        <v>681</v>
      </c>
      <c r="I83" s="6"/>
      <c r="J83" s="49"/>
      <c r="K83" s="49"/>
      <c r="L83" s="49"/>
    </row>
    <row r="84" spans="5:12" s="7" customFormat="1" ht="13.5" thickBot="1" x14ac:dyDescent="0.25">
      <c r="E84" s="48">
        <v>536</v>
      </c>
      <c r="F84" s="48">
        <v>562</v>
      </c>
      <c r="G84" s="15">
        <v>681</v>
      </c>
      <c r="H84" s="16">
        <v>698</v>
      </c>
      <c r="I84" s="6"/>
      <c r="J84" s="49"/>
      <c r="K84" s="49"/>
      <c r="L84" s="49"/>
    </row>
    <row r="85" spans="5:12" s="7" customFormat="1" ht="13.5" thickBot="1" x14ac:dyDescent="0.25">
      <c r="E85" s="48">
        <v>562</v>
      </c>
      <c r="F85" s="48">
        <v>590</v>
      </c>
      <c r="G85" s="16">
        <v>698</v>
      </c>
      <c r="H85" s="15">
        <v>715</v>
      </c>
      <c r="I85" s="6"/>
      <c r="J85" s="49"/>
      <c r="K85" s="49"/>
      <c r="L85" s="49"/>
    </row>
    <row r="86" spans="5:12" s="7" customFormat="1" ht="13.5" thickBot="1" x14ac:dyDescent="0.25">
      <c r="E86" s="48">
        <v>590</v>
      </c>
      <c r="F86" s="48">
        <v>619</v>
      </c>
      <c r="G86" s="15">
        <v>715</v>
      </c>
      <c r="H86" s="16">
        <v>732</v>
      </c>
      <c r="I86" s="6"/>
      <c r="J86" s="49"/>
      <c r="K86" s="49"/>
      <c r="L86" s="49"/>
    </row>
    <row r="87" spans="5:12" s="7" customFormat="1" ht="13.5" thickBot="1" x14ac:dyDescent="0.25">
      <c r="E87" s="48">
        <v>619</v>
      </c>
      <c r="F87" s="48">
        <v>649</v>
      </c>
      <c r="G87" s="16">
        <v>732</v>
      </c>
      <c r="H87" s="15">
        <v>750</v>
      </c>
      <c r="I87" s="6"/>
      <c r="J87" s="49"/>
      <c r="K87" s="49"/>
      <c r="L87" s="49"/>
    </row>
    <row r="88" spans="5:12" s="7" customFormat="1" ht="13.5" thickBot="1" x14ac:dyDescent="0.25">
      <c r="E88" s="48">
        <v>649</v>
      </c>
      <c r="F88" s="48">
        <v>681</v>
      </c>
      <c r="G88" s="15">
        <v>750</v>
      </c>
      <c r="H88" s="16">
        <v>768</v>
      </c>
      <c r="I88" s="6"/>
      <c r="J88" s="49"/>
      <c r="K88" s="49"/>
      <c r="L88" s="49"/>
    </row>
    <row r="89" spans="5:12" s="7" customFormat="1" ht="13.5" thickBot="1" x14ac:dyDescent="0.25">
      <c r="E89" s="48">
        <v>681</v>
      </c>
      <c r="F89" s="48">
        <v>715</v>
      </c>
      <c r="G89" s="16">
        <v>768</v>
      </c>
      <c r="H89" s="15">
        <v>787</v>
      </c>
      <c r="I89" s="6"/>
      <c r="J89" s="49"/>
      <c r="K89" s="49"/>
      <c r="L89" s="49"/>
    </row>
    <row r="90" spans="5:12" s="7" customFormat="1" ht="13.5" thickBot="1" x14ac:dyDescent="0.25">
      <c r="E90" s="48">
        <v>715</v>
      </c>
      <c r="F90" s="48">
        <v>750</v>
      </c>
      <c r="G90" s="15">
        <v>787</v>
      </c>
      <c r="H90" s="16">
        <v>806</v>
      </c>
      <c r="I90" s="6"/>
      <c r="J90" s="49"/>
      <c r="K90" s="49"/>
      <c r="L90" s="49"/>
    </row>
    <row r="91" spans="5:12" s="7" customFormat="1" ht="13.5" thickBot="1" x14ac:dyDescent="0.25">
      <c r="E91" s="48">
        <v>750</v>
      </c>
      <c r="F91" s="48">
        <v>787</v>
      </c>
      <c r="G91" s="16">
        <v>806</v>
      </c>
      <c r="H91" s="15">
        <v>825</v>
      </c>
      <c r="I91" s="6"/>
      <c r="J91" s="49"/>
      <c r="K91" s="49"/>
      <c r="L91" s="49"/>
    </row>
    <row r="92" spans="5:12" s="7" customFormat="1" ht="13.5" thickBot="1" x14ac:dyDescent="0.25">
      <c r="E92" s="48">
        <v>787</v>
      </c>
      <c r="F92" s="48">
        <v>825</v>
      </c>
      <c r="G92" s="15">
        <v>825</v>
      </c>
      <c r="H92" s="16">
        <v>845</v>
      </c>
      <c r="I92" s="6"/>
      <c r="J92" s="49"/>
      <c r="K92" s="49"/>
      <c r="L92" s="49"/>
    </row>
    <row r="93" spans="5:12" s="7" customFormat="1" ht="13.5" thickBot="1" x14ac:dyDescent="0.25">
      <c r="E93" s="48">
        <v>825</v>
      </c>
      <c r="F93" s="48">
        <v>866</v>
      </c>
      <c r="G93" s="16">
        <v>845</v>
      </c>
      <c r="H93" s="15">
        <v>866</v>
      </c>
      <c r="I93" s="6"/>
      <c r="J93" s="49"/>
      <c r="K93" s="49"/>
      <c r="L93" s="49"/>
    </row>
    <row r="94" spans="5:12" s="7" customFormat="1" ht="13.5" thickBot="1" x14ac:dyDescent="0.25">
      <c r="E94" s="48">
        <v>866</v>
      </c>
      <c r="F94" s="48">
        <v>909</v>
      </c>
      <c r="G94" s="15">
        <v>866</v>
      </c>
      <c r="H94" s="16">
        <v>887</v>
      </c>
      <c r="I94" s="6"/>
      <c r="J94" s="49"/>
      <c r="K94" s="49"/>
      <c r="L94" s="49"/>
    </row>
    <row r="95" spans="5:12" s="7" customFormat="1" ht="13.5" thickBot="1" x14ac:dyDescent="0.25">
      <c r="E95" s="48">
        <v>909</v>
      </c>
      <c r="F95" s="48">
        <v>953</v>
      </c>
      <c r="G95" s="16">
        <v>887</v>
      </c>
      <c r="H95" s="15">
        <v>909</v>
      </c>
      <c r="I95" s="6"/>
      <c r="J95" s="49"/>
      <c r="K95" s="49"/>
      <c r="L95" s="49"/>
    </row>
    <row r="96" spans="5:12" s="7" customFormat="1" ht="13.5" thickBot="1" x14ac:dyDescent="0.25">
      <c r="E96" s="48">
        <v>953</v>
      </c>
      <c r="F96" s="48">
        <v>1000</v>
      </c>
      <c r="G96" s="15">
        <v>909</v>
      </c>
      <c r="H96" s="16">
        <v>931</v>
      </c>
      <c r="I96" s="6"/>
      <c r="J96" s="49"/>
      <c r="K96" s="49"/>
      <c r="L96" s="49"/>
    </row>
    <row r="97" spans="5:12" s="7" customFormat="1" ht="13.5" thickBot="1" x14ac:dyDescent="0.25">
      <c r="E97" s="3"/>
      <c r="F97" s="5"/>
      <c r="G97" s="16">
        <v>931</v>
      </c>
      <c r="H97" s="15">
        <v>953</v>
      </c>
      <c r="I97" s="6"/>
      <c r="J97" s="49"/>
      <c r="K97" s="49"/>
      <c r="L97" s="49"/>
    </row>
    <row r="98" spans="5:12" s="7" customFormat="1" ht="13.5" thickBot="1" x14ac:dyDescent="0.25">
      <c r="G98" s="15">
        <v>953</v>
      </c>
      <c r="H98" s="16">
        <v>976</v>
      </c>
      <c r="I98" s="6"/>
      <c r="J98" s="49"/>
      <c r="K98" s="49"/>
      <c r="L98" s="49"/>
    </row>
    <row r="99" spans="5:12" s="7" customFormat="1" ht="13.5" thickBot="1" x14ac:dyDescent="0.25">
      <c r="G99" s="16">
        <v>976</v>
      </c>
      <c r="H99" s="16">
        <v>1000</v>
      </c>
      <c r="I99" s="6"/>
      <c r="J99" s="49"/>
      <c r="K99" s="49"/>
      <c r="L99" s="49"/>
    </row>
    <row r="100" spans="5:12" s="7" customFormat="1" x14ac:dyDescent="0.2">
      <c r="G100" s="5"/>
      <c r="H100" s="5"/>
      <c r="I100" s="6"/>
      <c r="J100" s="49"/>
      <c r="K100" s="49"/>
      <c r="L100" s="49"/>
    </row>
    <row r="101" spans="5:12" s="7" customFormat="1" x14ac:dyDescent="0.2">
      <c r="G101" s="5"/>
      <c r="H101" s="5"/>
      <c r="I101" s="6"/>
      <c r="J101" s="49"/>
      <c r="K101" s="49"/>
      <c r="L101" s="49"/>
    </row>
    <row r="102" spans="5:12" s="7" customFormat="1" x14ac:dyDescent="0.2">
      <c r="G102" s="5"/>
      <c r="H102" s="5"/>
      <c r="I102" s="6"/>
      <c r="J102" s="49"/>
      <c r="K102" s="49"/>
      <c r="L102" s="49"/>
    </row>
    <row r="103" spans="5:12" s="7" customFormat="1" x14ac:dyDescent="0.2">
      <c r="G103" s="5"/>
      <c r="H103" s="5"/>
      <c r="I103" s="6"/>
      <c r="J103" s="49"/>
      <c r="K103" s="49"/>
      <c r="L103" s="49"/>
    </row>
    <row r="104" spans="5:12" s="7" customFormat="1" x14ac:dyDescent="0.2">
      <c r="G104" s="5"/>
      <c r="H104" s="5"/>
      <c r="I104" s="6"/>
      <c r="J104" s="49"/>
      <c r="K104" s="49"/>
      <c r="L104" s="49"/>
    </row>
    <row r="105" spans="5:12" s="7" customFormat="1" x14ac:dyDescent="0.2">
      <c r="G105" s="5"/>
      <c r="H105" s="5"/>
      <c r="I105" s="6"/>
      <c r="J105" s="49"/>
      <c r="K105" s="49"/>
      <c r="L105" s="49"/>
    </row>
    <row r="106" spans="5:12" s="7" customFormat="1" x14ac:dyDescent="0.2">
      <c r="G106" s="5"/>
      <c r="H106" s="5"/>
      <c r="I106" s="6"/>
      <c r="J106" s="49"/>
      <c r="K106" s="49"/>
      <c r="L106" s="49"/>
    </row>
    <row r="107" spans="5:12" s="7" customFormat="1" x14ac:dyDescent="0.2">
      <c r="G107" s="5"/>
      <c r="H107" s="5"/>
      <c r="I107" s="6"/>
      <c r="J107" s="49"/>
      <c r="K107" s="49"/>
      <c r="L107" s="49"/>
    </row>
    <row r="108" spans="5:12" s="7" customFormat="1" x14ac:dyDescent="0.2">
      <c r="G108" s="5"/>
      <c r="H108" s="5"/>
      <c r="I108" s="6"/>
      <c r="J108" s="49"/>
      <c r="K108" s="49"/>
      <c r="L108" s="49"/>
    </row>
    <row r="109" spans="5:12" s="7" customFormat="1" x14ac:dyDescent="0.2">
      <c r="G109" s="5"/>
      <c r="H109" s="5"/>
      <c r="I109" s="6"/>
      <c r="J109" s="49"/>
      <c r="K109" s="49"/>
      <c r="L109" s="49"/>
    </row>
    <row r="110" spans="5:12" s="7" customFormat="1" x14ac:dyDescent="0.2">
      <c r="G110" s="5"/>
      <c r="H110" s="5"/>
      <c r="I110" s="6"/>
      <c r="J110" s="49"/>
      <c r="K110" s="49"/>
      <c r="L110" s="49"/>
    </row>
    <row r="111" spans="5:12" s="7" customFormat="1" x14ac:dyDescent="0.2">
      <c r="G111" s="5"/>
      <c r="H111" s="5"/>
      <c r="I111" s="6"/>
      <c r="J111" s="49"/>
      <c r="K111" s="49"/>
      <c r="L111" s="49"/>
    </row>
    <row r="112" spans="5:12" s="7" customFormat="1" x14ac:dyDescent="0.2">
      <c r="G112" s="5"/>
      <c r="H112" s="5"/>
      <c r="I112" s="6"/>
      <c r="J112" s="49"/>
      <c r="K112" s="49"/>
      <c r="L112" s="49"/>
    </row>
    <row r="113" spans="7:12" s="7" customFormat="1" x14ac:dyDescent="0.2">
      <c r="G113" s="5"/>
      <c r="H113" s="5"/>
      <c r="I113" s="6"/>
      <c r="J113" s="49"/>
      <c r="K113" s="49"/>
      <c r="L113" s="49"/>
    </row>
    <row r="114" spans="7:12" s="7" customFormat="1" x14ac:dyDescent="0.2">
      <c r="J114" s="49"/>
      <c r="K114" s="49"/>
      <c r="L114" s="49"/>
    </row>
    <row r="115" spans="7:12" s="7" customFormat="1" x14ac:dyDescent="0.2">
      <c r="J115" s="49"/>
      <c r="K115" s="49"/>
      <c r="L115" s="49"/>
    </row>
    <row r="116" spans="7:12" s="7" customFormat="1" x14ac:dyDescent="0.2">
      <c r="J116" s="49"/>
      <c r="K116" s="49"/>
      <c r="L116" s="49"/>
    </row>
    <row r="117" spans="7:12" s="7" customFormat="1" x14ac:dyDescent="0.2">
      <c r="J117" s="49"/>
      <c r="K117" s="49"/>
      <c r="L117" s="49"/>
    </row>
    <row r="118" spans="7:12" s="7" customFormat="1" x14ac:dyDescent="0.2">
      <c r="J118" s="49"/>
      <c r="K118" s="49"/>
      <c r="L118" s="49"/>
    </row>
    <row r="119" spans="7:12" s="7" customFormat="1" x14ac:dyDescent="0.2">
      <c r="J119" s="49"/>
      <c r="K119" s="49"/>
      <c r="L119" s="49"/>
    </row>
    <row r="120" spans="7:12" s="7" customFormat="1" x14ac:dyDescent="0.2">
      <c r="J120" s="49"/>
      <c r="K120" s="49"/>
      <c r="L120" s="49"/>
    </row>
    <row r="121" spans="7:12" s="7" customFormat="1" x14ac:dyDescent="0.2">
      <c r="J121" s="49"/>
      <c r="K121" s="49"/>
      <c r="L121" s="49"/>
    </row>
    <row r="122" spans="7:12" s="7" customFormat="1" x14ac:dyDescent="0.2">
      <c r="J122" s="49"/>
      <c r="K122" s="49"/>
      <c r="L122" s="49"/>
    </row>
    <row r="123" spans="7:12" s="7" customFormat="1" x14ac:dyDescent="0.2">
      <c r="J123" s="49"/>
      <c r="K123" s="49"/>
      <c r="L123" s="49"/>
    </row>
    <row r="124" spans="7:12" s="7" customFormat="1" x14ac:dyDescent="0.2">
      <c r="J124" s="49"/>
      <c r="K124" s="49"/>
      <c r="L124" s="49"/>
    </row>
    <row r="125" spans="7:12" s="7" customFormat="1" x14ac:dyDescent="0.2">
      <c r="J125" s="49"/>
      <c r="K125" s="49"/>
      <c r="L125" s="49"/>
    </row>
    <row r="126" spans="7:12" s="7" customFormat="1" x14ac:dyDescent="0.2">
      <c r="J126" s="49"/>
      <c r="K126" s="49"/>
      <c r="L126" s="49"/>
    </row>
    <row r="127" spans="7:12" s="7" customFormat="1" x14ac:dyDescent="0.2">
      <c r="J127" s="49"/>
      <c r="K127" s="49"/>
      <c r="L127" s="49"/>
    </row>
    <row r="128" spans="7:12" s="7" customFormat="1" x14ac:dyDescent="0.2">
      <c r="J128" s="49"/>
      <c r="K128" s="49"/>
      <c r="L128" s="49"/>
    </row>
    <row r="129" spans="10:12" s="7" customFormat="1" x14ac:dyDescent="0.2">
      <c r="J129" s="49"/>
      <c r="K129" s="49"/>
      <c r="L129" s="49"/>
    </row>
    <row r="130" spans="10:12" s="7" customFormat="1" x14ac:dyDescent="0.2">
      <c r="J130" s="49"/>
      <c r="K130" s="49"/>
      <c r="L130" s="49"/>
    </row>
    <row r="131" spans="10:12" s="7" customFormat="1" x14ac:dyDescent="0.2">
      <c r="J131" s="49"/>
      <c r="K131" s="49"/>
      <c r="L131" s="49"/>
    </row>
    <row r="132" spans="10:12" s="7" customFormat="1" x14ac:dyDescent="0.2">
      <c r="J132" s="49"/>
      <c r="K132" s="49"/>
      <c r="L132" s="49"/>
    </row>
    <row r="133" spans="10:12" s="7" customFormat="1" x14ac:dyDescent="0.2">
      <c r="J133" s="49"/>
      <c r="K133" s="49"/>
      <c r="L133" s="49"/>
    </row>
    <row r="134" spans="10:12" s="7" customFormat="1" x14ac:dyDescent="0.2">
      <c r="J134" s="49"/>
      <c r="K134" s="49"/>
      <c r="L134" s="49"/>
    </row>
    <row r="135" spans="10:12" s="7" customFormat="1" x14ac:dyDescent="0.2">
      <c r="J135" s="49"/>
      <c r="K135" s="49"/>
      <c r="L135" s="49"/>
    </row>
    <row r="136" spans="10:12" s="7" customFormat="1" x14ac:dyDescent="0.2">
      <c r="J136" s="49"/>
      <c r="K136" s="49"/>
      <c r="L136" s="49"/>
    </row>
    <row r="137" spans="10:12" s="7" customFormat="1" x14ac:dyDescent="0.2">
      <c r="J137" s="49"/>
      <c r="K137" s="49"/>
      <c r="L137" s="49"/>
    </row>
    <row r="138" spans="10:12" s="7" customFormat="1" x14ac:dyDescent="0.2">
      <c r="J138" s="49"/>
      <c r="K138" s="49"/>
      <c r="L138" s="49"/>
    </row>
    <row r="139" spans="10:12" s="7" customFormat="1" x14ac:dyDescent="0.2">
      <c r="J139" s="49"/>
      <c r="K139" s="49"/>
      <c r="L139" s="49"/>
    </row>
    <row r="140" spans="10:12" s="7" customFormat="1" x14ac:dyDescent="0.2">
      <c r="J140" s="49"/>
      <c r="K140" s="49"/>
      <c r="L140" s="49"/>
    </row>
    <row r="141" spans="10:12" s="7" customFormat="1" x14ac:dyDescent="0.2">
      <c r="J141" s="49"/>
      <c r="K141" s="49"/>
      <c r="L141" s="49"/>
    </row>
    <row r="142" spans="10:12" s="7" customFormat="1" x14ac:dyDescent="0.2">
      <c r="J142" s="49"/>
      <c r="K142" s="49"/>
      <c r="L142" s="49"/>
    </row>
    <row r="143" spans="10:12" s="7" customFormat="1" x14ac:dyDescent="0.2">
      <c r="J143" s="49"/>
      <c r="K143" s="49"/>
      <c r="L143" s="49"/>
    </row>
    <row r="144" spans="10:12" s="7" customFormat="1" x14ac:dyDescent="0.2">
      <c r="J144" s="49"/>
      <c r="K144" s="49"/>
      <c r="L144" s="49"/>
    </row>
    <row r="145" spans="10:12" s="7" customFormat="1" x14ac:dyDescent="0.2">
      <c r="J145" s="49"/>
      <c r="K145" s="49"/>
      <c r="L145" s="49"/>
    </row>
    <row r="146" spans="10:12" s="7" customFormat="1" x14ac:dyDescent="0.2">
      <c r="J146" s="49"/>
      <c r="K146" s="49"/>
      <c r="L146" s="49"/>
    </row>
  </sheetData>
  <sheetProtection selectLockedCells="1"/>
  <mergeCells count="5">
    <mergeCell ref="E48:F48"/>
    <mergeCell ref="E3:F3"/>
    <mergeCell ref="G3:H3"/>
    <mergeCell ref="E10:F10"/>
    <mergeCell ref="E23:F23"/>
  </mergeCells>
  <phoneticPr fontId="0" type="noConversion"/>
  <pageMargins left="0.49" right="0.42" top="1" bottom="1" header="0.5" footer="0.5"/>
  <pageSetup scale="8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40019-4A25-476F-A741-E24C363F259D}">
  <dimension ref="A1:S13"/>
  <sheetViews>
    <sheetView workbookViewId="0">
      <selection activeCell="A5" sqref="A5"/>
    </sheetView>
  </sheetViews>
  <sheetFormatPr defaultRowHeight="12.75" x14ac:dyDescent="0.2"/>
  <sheetData>
    <row r="1" spans="1:19" x14ac:dyDescent="0.2">
      <c r="A1" s="117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6"/>
      <c r="N1" s="116"/>
      <c r="O1" s="116"/>
      <c r="P1" s="116"/>
      <c r="Q1" s="114"/>
      <c r="R1" s="114"/>
      <c r="S1" s="114"/>
    </row>
    <row r="2" spans="1:19" x14ac:dyDescent="0.2">
      <c r="A2" s="119" t="s">
        <v>301</v>
      </c>
      <c r="B2" s="84" t="s">
        <v>229</v>
      </c>
      <c r="C2" s="84" t="s">
        <v>224</v>
      </c>
      <c r="D2" s="84" t="s">
        <v>275</v>
      </c>
      <c r="E2" s="84" t="s">
        <v>274</v>
      </c>
      <c r="F2" s="84" t="s">
        <v>276</v>
      </c>
      <c r="G2" s="84" t="s">
        <v>277</v>
      </c>
      <c r="H2" s="119"/>
      <c r="I2" s="119"/>
      <c r="J2" s="119"/>
      <c r="K2" s="119"/>
      <c r="L2" s="119"/>
      <c r="M2" s="120"/>
      <c r="N2" s="120"/>
      <c r="O2" s="119"/>
      <c r="P2" s="120"/>
      <c r="Q2" s="119"/>
      <c r="R2" s="119"/>
      <c r="S2" s="119"/>
    </row>
    <row r="3" spans="1:19" x14ac:dyDescent="0.2">
      <c r="A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4"/>
      <c r="N3" s="114"/>
      <c r="O3" s="114"/>
      <c r="P3" s="114"/>
      <c r="Q3" s="114"/>
      <c r="R3" s="114"/>
      <c r="S3" s="114"/>
    </row>
    <row r="4" spans="1:19" x14ac:dyDescent="0.2">
      <c r="A4" s="118" t="s">
        <v>299</v>
      </c>
      <c r="B4">
        <v>7.5</v>
      </c>
      <c r="C4" s="121" t="s">
        <v>121</v>
      </c>
      <c r="D4" s="121">
        <v>2</v>
      </c>
      <c r="E4" s="121">
        <v>1.2</v>
      </c>
      <c r="F4" s="121">
        <v>2</v>
      </c>
      <c r="G4" s="121">
        <v>1.2</v>
      </c>
      <c r="H4" s="122"/>
      <c r="I4" s="123"/>
      <c r="J4" s="122"/>
      <c r="K4" s="123"/>
      <c r="L4" s="123"/>
      <c r="M4" s="122"/>
      <c r="N4" s="122"/>
      <c r="O4" s="122"/>
      <c r="P4" s="123"/>
      <c r="Q4" s="115"/>
      <c r="R4" s="114"/>
      <c r="S4" s="114"/>
    </row>
    <row r="5" spans="1:19" x14ac:dyDescent="0.2">
      <c r="A5" s="118" t="s">
        <v>300</v>
      </c>
      <c r="B5">
        <v>5.5</v>
      </c>
      <c r="C5" s="121">
        <v>0.75</v>
      </c>
      <c r="D5" s="121">
        <v>2.5</v>
      </c>
      <c r="E5" s="121">
        <v>1.6</v>
      </c>
      <c r="F5" s="121">
        <v>5</v>
      </c>
      <c r="G5" s="121">
        <v>3</v>
      </c>
      <c r="H5" s="122"/>
      <c r="I5" s="123"/>
      <c r="J5" s="122"/>
      <c r="K5" s="123"/>
      <c r="L5" s="123"/>
      <c r="M5" s="122"/>
      <c r="N5" s="122"/>
      <c r="O5" s="122"/>
      <c r="P5" s="123"/>
      <c r="Q5" s="115"/>
      <c r="R5" s="114"/>
      <c r="S5" s="114"/>
    </row>
    <row r="6" spans="1:19" x14ac:dyDescent="0.2">
      <c r="A6" s="118"/>
      <c r="C6" s="121"/>
      <c r="D6" s="121"/>
      <c r="E6" s="121"/>
      <c r="F6" s="121"/>
      <c r="G6" s="121"/>
      <c r="H6" s="122"/>
      <c r="I6" s="123"/>
      <c r="J6" s="122"/>
      <c r="K6" s="123"/>
      <c r="L6" s="123"/>
      <c r="M6" s="122"/>
      <c r="N6" s="122"/>
      <c r="O6" s="122"/>
      <c r="P6" s="123"/>
      <c r="Q6" s="115"/>
      <c r="R6" s="114"/>
      <c r="S6" s="114"/>
    </row>
    <row r="7" spans="1:19" x14ac:dyDescent="0.2">
      <c r="A7" s="118"/>
      <c r="C7" s="121"/>
      <c r="D7" s="121"/>
      <c r="E7" s="121"/>
      <c r="F7" s="121"/>
      <c r="G7" s="121"/>
      <c r="H7" s="122"/>
      <c r="I7" s="123"/>
      <c r="J7" s="122"/>
      <c r="K7" s="123"/>
      <c r="L7" s="123"/>
      <c r="M7" s="122"/>
      <c r="N7" s="122"/>
      <c r="O7" s="122"/>
      <c r="P7" s="123"/>
      <c r="Q7" s="115"/>
      <c r="R7" s="114"/>
      <c r="S7" s="114"/>
    </row>
    <row r="8" spans="1:19" x14ac:dyDescent="0.2">
      <c r="A8" s="118"/>
      <c r="B8" s="121"/>
      <c r="C8" s="121"/>
      <c r="D8" s="121"/>
      <c r="E8" s="121"/>
      <c r="F8" s="121"/>
      <c r="G8" s="121"/>
      <c r="H8" s="122"/>
      <c r="I8" s="123"/>
      <c r="J8" s="122"/>
      <c r="K8" s="123"/>
      <c r="L8" s="123"/>
      <c r="M8" s="122"/>
      <c r="N8" s="122"/>
      <c r="O8" s="122"/>
      <c r="P8" s="123"/>
      <c r="Q8" s="115"/>
      <c r="R8" s="114"/>
      <c r="S8" s="114"/>
    </row>
    <row r="9" spans="1:19" x14ac:dyDescent="0.2">
      <c r="A9" s="118"/>
      <c r="B9" s="121"/>
      <c r="C9" s="121"/>
      <c r="D9" s="121"/>
      <c r="E9" s="121"/>
      <c r="F9" s="121"/>
      <c r="G9" s="121"/>
      <c r="H9" s="122"/>
      <c r="I9" s="123"/>
      <c r="J9" s="122"/>
      <c r="K9" s="123"/>
      <c r="L9" s="123"/>
      <c r="M9" s="122"/>
      <c r="N9" s="122"/>
      <c r="O9" s="122"/>
      <c r="P9" s="123"/>
      <c r="Q9" s="115"/>
      <c r="R9" s="114"/>
      <c r="S9" s="114"/>
    </row>
    <row r="10" spans="1:19" x14ac:dyDescent="0.2">
      <c r="A10" s="118"/>
      <c r="B10" s="121"/>
      <c r="C10" s="121"/>
      <c r="D10" s="121"/>
      <c r="E10" s="121"/>
      <c r="F10" s="121"/>
      <c r="G10" s="121"/>
      <c r="H10" s="122"/>
      <c r="I10" s="123"/>
      <c r="J10" s="122"/>
      <c r="K10" s="123"/>
      <c r="L10" s="123"/>
      <c r="M10" s="122"/>
      <c r="N10" s="122"/>
      <c r="O10" s="122"/>
      <c r="P10" s="123"/>
      <c r="Q10" s="115"/>
      <c r="R10" s="114"/>
      <c r="S10" s="114"/>
    </row>
    <row r="11" spans="1:19" x14ac:dyDescent="0.2">
      <c r="A11" s="115"/>
      <c r="B11" s="114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</row>
    <row r="12" spans="1:19" x14ac:dyDescent="0.2">
      <c r="A12" s="114"/>
      <c r="B12" s="114"/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</row>
    <row r="13" spans="1:19" x14ac:dyDescent="0.2">
      <c r="A13" s="114"/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279c20c3caf3300dae6b438536eb8c56">
  <xsd:schema xmlns:xsd="http://www.w3.org/2001/XMLSchema" xmlns:p="http://schemas.microsoft.com/office/2006/metadata/properties" targetNamespace="http://schemas.microsoft.com/office/2006/metadata/properties" ma:root="true" ma:fieldsID="0d2e1ca116041f9e11471c52c4c9d60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20515AA-3747-44C2-9DAA-1264A554F3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8F97F0-3F7C-4CAD-A04A-6F406EDE7F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CEF8435C-502C-41AE-AD35-98175F51DE8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135</vt:i4>
      </vt:variant>
    </vt:vector>
  </HeadingPairs>
  <TitlesOfParts>
    <vt:vector size="141" baseType="lpstr">
      <vt:lpstr>Intro</vt:lpstr>
      <vt:lpstr>Boost Calculations</vt:lpstr>
      <vt:lpstr>Small Signal</vt:lpstr>
      <vt:lpstr>Std. R and C Values</vt:lpstr>
      <vt:lpstr>partdata</vt:lpstr>
      <vt:lpstr>EVM Matching</vt:lpstr>
      <vt:lpstr>Acs</vt:lpstr>
      <vt:lpstr>aol</vt:lpstr>
      <vt:lpstr>C_f1</vt:lpstr>
      <vt:lpstr>C_f2</vt:lpstr>
      <vt:lpstr>c_s1</vt:lpstr>
      <vt:lpstr>C_s2</vt:lpstr>
      <vt:lpstr>Cbulkss</vt:lpstr>
      <vt:lpstr>Ccerss</vt:lpstr>
      <vt:lpstr>Ccomp</vt:lpstr>
      <vt:lpstr>Ccompss</vt:lpstr>
      <vt:lpstr>Cffss</vt:lpstr>
      <vt:lpstr>Chf</vt:lpstr>
      <vt:lpstr>Chfss</vt:lpstr>
      <vt:lpstr>Cin_chosen</vt:lpstr>
      <vt:lpstr>Co</vt:lpstr>
      <vt:lpstr>Co_esr</vt:lpstr>
      <vt:lpstr>Cochosen</vt:lpstr>
      <vt:lpstr>Coss</vt:lpstr>
      <vt:lpstr>CVcc</vt:lpstr>
      <vt:lpstr>DCR</vt:lpstr>
      <vt:lpstr>DCRss</vt:lpstr>
      <vt:lpstr>devfreqmax</vt:lpstr>
      <vt:lpstr>devfreqmin</vt:lpstr>
      <vt:lpstr>dItran</vt:lpstr>
      <vt:lpstr>Dmax</vt:lpstr>
      <vt:lpstr>Dmin</vt:lpstr>
      <vt:lpstr>Dnom</vt:lpstr>
      <vt:lpstr>Dss</vt:lpstr>
      <vt:lpstr>dVtran</vt:lpstr>
      <vt:lpstr>E12_f</vt:lpstr>
      <vt:lpstr>E12_s</vt:lpstr>
      <vt:lpstr>E24_f</vt:lpstr>
      <vt:lpstr>E24_s</vt:lpstr>
      <vt:lpstr>E48_f</vt:lpstr>
      <vt:lpstr>E48_s</vt:lpstr>
      <vt:lpstr>E6_f</vt:lpstr>
      <vt:lpstr>E6_s</vt:lpstr>
      <vt:lpstr>E96_f</vt:lpstr>
      <vt:lpstr>E96_s</vt:lpstr>
      <vt:lpstr>ESRss</vt:lpstr>
      <vt:lpstr>Fco_target</vt:lpstr>
      <vt:lpstr>Fm</vt:lpstr>
      <vt:lpstr>frhpz</vt:lpstr>
      <vt:lpstr>fswss</vt:lpstr>
      <vt:lpstr>gbw</vt:lpstr>
      <vt:lpstr>gea</vt:lpstr>
      <vt:lpstr>gea_typ</vt:lpstr>
      <vt:lpstr>Icrit</vt:lpstr>
      <vt:lpstr>Idrive_hs</vt:lpstr>
      <vt:lpstr>Idrive_ls</vt:lpstr>
      <vt:lpstr>Ien_hys</vt:lpstr>
      <vt:lpstr>Ien_pup</vt:lpstr>
      <vt:lpstr>Iin_max</vt:lpstr>
      <vt:lpstr>Ilpeak</vt:lpstr>
      <vt:lpstr>Ilrms</vt:lpstr>
      <vt:lpstr>Iout</vt:lpstr>
      <vt:lpstr>Ioutss</vt:lpstr>
      <vt:lpstr>Iq</vt:lpstr>
      <vt:lpstr>Iripple</vt:lpstr>
      <vt:lpstr>Irms_cin</vt:lpstr>
      <vt:lpstr>Irms_cout</vt:lpstr>
      <vt:lpstr>Isat</vt:lpstr>
      <vt:lpstr>Iss</vt:lpstr>
      <vt:lpstr>k_3</vt:lpstr>
      <vt:lpstr>Kind</vt:lpstr>
      <vt:lpstr>L</vt:lpstr>
      <vt:lpstr>Lss</vt:lpstr>
      <vt:lpstr>M</vt:lpstr>
      <vt:lpstr>mc</vt:lpstr>
      <vt:lpstr>Pind</vt:lpstr>
      <vt:lpstr>Pls_sw</vt:lpstr>
      <vt:lpstr>'Std. R and C Values'!Print_Area</vt:lpstr>
      <vt:lpstr>PSgain_fco</vt:lpstr>
      <vt:lpstr>Psw_cond</vt:lpstr>
      <vt:lpstr>q0</vt:lpstr>
      <vt:lpstr>Qg_hs</vt:lpstr>
      <vt:lpstr>Qg_ls</vt:lpstr>
      <vt:lpstr>Qgd</vt:lpstr>
      <vt:lpstr>Rcerss</vt:lpstr>
      <vt:lpstr>Rcomp</vt:lpstr>
      <vt:lpstr>Rcompss</vt:lpstr>
      <vt:lpstr>Rdson_hs</vt:lpstr>
      <vt:lpstr>Rdson_ls</vt:lpstr>
      <vt:lpstr>Rdsonss</vt:lpstr>
      <vt:lpstr>Rea</vt:lpstr>
      <vt:lpstr>Rffss</vt:lpstr>
      <vt:lpstr>Rfreq</vt:lpstr>
      <vt:lpstr>Rg_hs</vt:lpstr>
      <vt:lpstr>Rg_ls</vt:lpstr>
      <vt:lpstr>Rgd_hs</vt:lpstr>
      <vt:lpstr>Rgd_ls</vt:lpstr>
      <vt:lpstr>Rhdrv_pd</vt:lpstr>
      <vt:lpstr>Rhdrv_pu</vt:lpstr>
      <vt:lpstr>Risense</vt:lpstr>
      <vt:lpstr>Rldrv_pd</vt:lpstr>
      <vt:lpstr>Rldrv_pu</vt:lpstr>
      <vt:lpstr>Ro</vt:lpstr>
      <vt:lpstr>Ross</vt:lpstr>
      <vt:lpstr>Rsense</vt:lpstr>
      <vt:lpstr>Rsh</vt:lpstr>
      <vt:lpstr>Rshss</vt:lpstr>
      <vt:lpstr>Rsl</vt:lpstr>
      <vt:lpstr>Rslss</vt:lpstr>
      <vt:lpstr>Ruvloh</vt:lpstr>
      <vt:lpstr>Ruvlol</vt:lpstr>
      <vt:lpstr>sess</vt:lpstr>
      <vt:lpstr>snss</vt:lpstr>
      <vt:lpstr>tnonoverlap</vt:lpstr>
      <vt:lpstr>toffmin</vt:lpstr>
      <vt:lpstr>tonmin</vt:lpstr>
      <vt:lpstr>tss</vt:lpstr>
      <vt:lpstr>Vcc_typ</vt:lpstr>
      <vt:lpstr>Vcs</vt:lpstr>
      <vt:lpstr>Vcs0duty_max</vt:lpstr>
      <vt:lpstr>Vcs0duty_min</vt:lpstr>
      <vt:lpstr>vdevmax</vt:lpstr>
      <vt:lpstr>Ven_dis</vt:lpstr>
      <vt:lpstr>Ven_on</vt:lpstr>
      <vt:lpstr>vf_body</vt:lpstr>
      <vt:lpstr>Vfboot</vt:lpstr>
      <vt:lpstr>Vfboot_int</vt:lpstr>
      <vt:lpstr>Vin_Max</vt:lpstr>
      <vt:lpstr>Vin_Min</vt:lpstr>
      <vt:lpstr>Vin_Nom</vt:lpstr>
      <vt:lpstr>Vinss</vt:lpstr>
      <vt:lpstr>Viripple</vt:lpstr>
      <vt:lpstr>Vout</vt:lpstr>
      <vt:lpstr>Vout_ripple</vt:lpstr>
      <vt:lpstr>Voutss</vt:lpstr>
      <vt:lpstr>Vref</vt:lpstr>
      <vt:lpstr>Vsl</vt:lpstr>
      <vt:lpstr>Vstart</vt:lpstr>
      <vt:lpstr>Vstop</vt:lpstr>
      <vt:lpstr>Vth</vt:lpstr>
      <vt:lpstr>wn</vt:lpstr>
    </vt:vector>
  </TitlesOfParts>
  <Company>Texas Instruments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a0192789</dc:creator>
  <cp:lastModifiedBy>Jed Wang</cp:lastModifiedBy>
  <cp:lastPrinted>2009-05-21T20:23:27Z</cp:lastPrinted>
  <dcterms:created xsi:type="dcterms:W3CDTF">2009-03-26T20:28:21Z</dcterms:created>
  <dcterms:modified xsi:type="dcterms:W3CDTF">2025-05-15T04:17:49Z</dcterms:modified>
</cp:coreProperties>
</file>