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embeddings/oleObject2.bin" ContentType="application/vnd.openxmlformats-officedocument.oleObject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embeddings/oleObject3.bin" ContentType="application/vnd.openxmlformats-officedocument.oleObject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chi\Documents\Nerd Shit\rm_electrical-supercap\"/>
    </mc:Choice>
  </mc:AlternateContent>
  <xr:revisionPtr revIDLastSave="0" documentId="13_ncr:9_{3125B1FD-8C9A-4B87-9086-A4D4E0DBAA3E}" xr6:coauthVersionLast="47" xr6:coauthVersionMax="47" xr10:uidLastSave="{00000000-0000-0000-0000-000000000000}"/>
  <bookViews>
    <workbookView xWindow="0" yWindow="0" windowWidth="14400" windowHeight="15600" activeTab="2" xr2:uid="{E5625846-48F7-4BFC-A021-D04252333D6D}"/>
  </bookViews>
  <sheets>
    <sheet name="STEP DOWN" sheetId="1" r:id="rId1"/>
    <sheet name="STEP DOWN (2)" sheetId="3" r:id="rId2"/>
    <sheet name="STEP UP" sheetId="2" r:id="rId3"/>
  </sheets>
  <definedNames>
    <definedName name="_xlnm._FilterDatabase" localSheetId="2" hidden="1">'STEP UP'!#REF!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3" l="1"/>
  <c r="B88" i="3"/>
  <c r="B87" i="3"/>
  <c r="B65" i="3"/>
  <c r="B56" i="3"/>
  <c r="B50" i="3"/>
  <c r="O11" i="3"/>
  <c r="G10" i="3"/>
  <c r="K4" i="3"/>
  <c r="J4" i="3"/>
  <c r="I4" i="3"/>
  <c r="G9" i="3" s="1"/>
  <c r="B56" i="1"/>
  <c r="B65" i="1"/>
  <c r="B50" i="1"/>
  <c r="B93" i="2"/>
  <c r="B88" i="1"/>
  <c r="B64" i="2"/>
  <c r="B67" i="2" s="1"/>
  <c r="I4" i="2"/>
  <c r="G9" i="2" s="1"/>
  <c r="J4" i="2"/>
  <c r="N11" i="2" s="1"/>
  <c r="I4" i="1"/>
  <c r="O11" i="1" s="1"/>
  <c r="J4" i="1"/>
  <c r="K4" i="1"/>
  <c r="K4" i="2"/>
  <c r="B57" i="2"/>
  <c r="B91" i="2"/>
  <c r="B87" i="1"/>
  <c r="B97" i="2"/>
  <c r="B92" i="1"/>
  <c r="D56" i="2"/>
  <c r="B66" i="2" l="1"/>
  <c r="B66" i="3"/>
  <c r="D30" i="3" s="1"/>
  <c r="B89" i="1"/>
  <c r="B38" i="3"/>
  <c r="B70" i="3"/>
  <c r="B69" i="3" s="1"/>
  <c r="B89" i="3"/>
  <c r="B39" i="2"/>
  <c r="B51" i="2"/>
  <c r="B68" i="2" s="1"/>
  <c r="B94" i="2"/>
  <c r="B92" i="2"/>
  <c r="B65" i="2"/>
  <c r="B80" i="2"/>
  <c r="B79" i="2" s="1"/>
  <c r="G10" i="2"/>
  <c r="G10" i="1"/>
  <c r="G9" i="1"/>
  <c r="B66" i="1"/>
  <c r="D28" i="3" l="1"/>
  <c r="B62" i="3"/>
  <c r="B72" i="2"/>
  <c r="D68" i="2"/>
  <c r="D31" i="2"/>
  <c r="B58" i="2"/>
  <c r="B33" i="2"/>
  <c r="B32" i="2" s="1"/>
  <c r="B70" i="1"/>
  <c r="B69" i="1" s="1"/>
  <c r="B38" i="1"/>
  <c r="D30" i="1"/>
  <c r="C33" i="2"/>
  <c r="D30" i="2"/>
  <c r="B74" i="2"/>
  <c r="B73" i="2" s="1"/>
  <c r="B89" i="2" l="1"/>
  <c r="B85" i="3"/>
  <c r="B64" i="3"/>
  <c r="B100" i="2"/>
  <c r="D28" i="1"/>
  <c r="B62" i="1"/>
  <c r="B71" i="2"/>
  <c r="B90" i="2"/>
  <c r="B96" i="2" l="1"/>
  <c r="B98" i="2" s="1"/>
  <c r="B99" i="2" s="1"/>
  <c r="B77" i="3"/>
  <c r="B76" i="3" s="1"/>
  <c r="B63" i="3"/>
  <c r="B57" i="3" s="1"/>
  <c r="B72" i="3"/>
  <c r="B71" i="3" s="1"/>
  <c r="B64" i="1"/>
  <c r="B85" i="1"/>
  <c r="H15" i="2"/>
  <c r="J15" i="2" s="1"/>
  <c r="H14" i="2"/>
  <c r="J14" i="2" s="1"/>
  <c r="B33" i="3" l="1"/>
  <c r="B86" i="3" s="1"/>
  <c r="B31" i="3"/>
  <c r="B77" i="1"/>
  <c r="B76" i="1" s="1"/>
  <c r="B63" i="1"/>
  <c r="B57" i="1" s="1"/>
  <c r="B33" i="1"/>
  <c r="B72" i="1"/>
  <c r="B71" i="1" s="1"/>
  <c r="B84" i="3" l="1"/>
  <c r="B91" i="3" s="1"/>
  <c r="B93" i="3" s="1"/>
  <c r="B94" i="3" s="1"/>
  <c r="B95" i="3"/>
  <c r="B31" i="1"/>
  <c r="B86" i="1"/>
  <c r="B84" i="1"/>
  <c r="H14" i="3" l="1"/>
  <c r="J14" i="3" s="1"/>
  <c r="H15" i="3"/>
  <c r="J15" i="3" s="1"/>
  <c r="B95" i="1"/>
  <c r="B91" i="1"/>
  <c r="B93" i="1" s="1"/>
  <c r="B94" i="1" s="1"/>
  <c r="H15" i="1" l="1"/>
  <c r="J15" i="1" s="1"/>
  <c r="H14" i="1"/>
  <c r="J14" i="1" s="1"/>
</calcChain>
</file>

<file path=xl/sharedStrings.xml><?xml version="1.0" encoding="utf-8"?>
<sst xmlns="http://schemas.openxmlformats.org/spreadsheetml/2006/main" count="391" uniqueCount="121">
  <si>
    <t>Design Spreadsheet for the MC33063 device in step down topology</t>
  </si>
  <si>
    <t>PDIP</t>
  </si>
  <si>
    <t>Package</t>
  </si>
  <si>
    <t>SOIC</t>
  </si>
  <si>
    <t>DFN</t>
  </si>
  <si>
    <t>Rthja (°C/W)</t>
  </si>
  <si>
    <t>Tmax (°C)</t>
  </si>
  <si>
    <t>Pdmax (W)</t>
  </si>
  <si>
    <t>1) Insert Design Parameters</t>
  </si>
  <si>
    <t>= Input Parameter</t>
  </si>
  <si>
    <r>
      <t xml:space="preserve">= Calculated Parameter </t>
    </r>
    <r>
      <rPr>
        <b/>
        <sz val="10"/>
        <rFont val="Arial"/>
        <family val="2"/>
      </rPr>
      <t>(DO NOT CHANGE)</t>
    </r>
  </si>
  <si>
    <t>Unit</t>
  </si>
  <si>
    <t>VIN</t>
  </si>
  <si>
    <t>V</t>
  </si>
  <si>
    <t>VOUT</t>
  </si>
  <si>
    <t>&lt;-- Desired Output Voltage</t>
  </si>
  <si>
    <r>
      <t>Output Voltage:</t>
    </r>
    <r>
      <rPr>
        <sz val="8"/>
        <rFont val="Arial"/>
        <family val="2"/>
      </rPr>
      <t xml:space="preserve"> 1.25V &lt; Vout &lt; (Vin*Dmax)</t>
    </r>
  </si>
  <si>
    <t>IOUT</t>
  </si>
  <si>
    <t>A</t>
  </si>
  <si>
    <t>D</t>
  </si>
  <si>
    <t>2) Input Conduction Loss Parameters from Free-wheeling Diode Datasheets</t>
  </si>
  <si>
    <t>VF</t>
  </si>
  <si>
    <t>&lt;-- Diode Forward Voltage (Example: 1N5819 = 0.6V)</t>
  </si>
  <si>
    <t>Ta max :</t>
  </si>
  <si>
    <t>°C</t>
  </si>
  <si>
    <t>VSAT</t>
  </si>
  <si>
    <t xml:space="preserve">&lt;-- Saturation Voltage of Power Switch Transistor </t>
  </si>
  <si>
    <t>Pd :</t>
  </si>
  <si>
    <t>W</t>
  </si>
  <si>
    <t>- Found in Electrical Characteristics of Datasheet,</t>
  </si>
  <si>
    <t xml:space="preserve">  Darlington Configuration</t>
  </si>
  <si>
    <t>This will help prevent Ipk (sw) from reaching the current limit threshold set by RSC.  If the design goal is to use a minimum</t>
  </si>
  <si>
    <r>
      <t>D</t>
    </r>
    <r>
      <rPr>
        <sz val="10"/>
        <rFont val="Arial"/>
      </rPr>
      <t>IL / IL(avg)</t>
    </r>
  </si>
  <si>
    <t>%</t>
  </si>
  <si>
    <r>
      <t xml:space="preserve">&lt;-- </t>
    </r>
    <r>
      <rPr>
        <sz val="10"/>
        <rFont val="Symbol"/>
        <family val="1"/>
        <charset val="2"/>
      </rPr>
      <t>D</t>
    </r>
    <r>
      <rPr>
        <sz val="10"/>
        <rFont val="Arial"/>
      </rPr>
      <t>IL / IL(avg)</t>
    </r>
  </si>
  <si>
    <t>Iripple</t>
  </si>
  <si>
    <r>
      <t xml:space="preserve">&lt;-- Ripple Current, </t>
    </r>
    <r>
      <rPr>
        <sz val="10"/>
        <rFont val="Symbol"/>
        <family val="1"/>
        <charset val="2"/>
      </rPr>
      <t>D</t>
    </r>
    <r>
      <rPr>
        <sz val="10"/>
        <rFont val="Arial"/>
      </rPr>
      <t>IL</t>
    </r>
  </si>
  <si>
    <t>4) Input target frequency</t>
  </si>
  <si>
    <t>Target f</t>
  </si>
  <si>
    <t>kHz</t>
  </si>
  <si>
    <t>&lt;-- Targeted maximum switching frequency</t>
  </si>
  <si>
    <t>NO</t>
  </si>
  <si>
    <t>YES</t>
  </si>
  <si>
    <t>5) The spreadsheet calculates key parameters for the remaining component selection</t>
  </si>
  <si>
    <t>ton/toff</t>
  </si>
  <si>
    <t>ton</t>
  </si>
  <si>
    <t>IL(avg)</t>
  </si>
  <si>
    <t>&lt;-- Average Inductor Current.  For a buck converter this equals Iout</t>
  </si>
  <si>
    <t>Ipk(sw)</t>
  </si>
  <si>
    <t>&lt;-- Peak Inductor Current. For a buck converter this equals Iout + Iripple/2</t>
  </si>
  <si>
    <t>RSC</t>
  </si>
  <si>
    <t>mOhm</t>
  </si>
  <si>
    <t>&lt;-- Minimum Short Circuit Resistor Value</t>
  </si>
  <si>
    <t>L</t>
  </si>
  <si>
    <t>uH</t>
  </si>
  <si>
    <t xml:space="preserve">&lt;-- Minimum inductance value </t>
  </si>
  <si>
    <t>* increasing inductance decreases ripple current</t>
  </si>
  <si>
    <r>
      <t>R</t>
    </r>
    <r>
      <rPr>
        <vertAlign val="subscript"/>
        <sz val="10"/>
        <rFont val="Arial"/>
        <family val="2"/>
      </rPr>
      <t>L</t>
    </r>
  </si>
  <si>
    <t>Ohm</t>
  </si>
  <si>
    <t>&lt;-- Inductor Widing Resistance (from Inductor data sheet or measurement).</t>
  </si>
  <si>
    <t>toff</t>
  </si>
  <si>
    <t>6) Efficiency / Power Loss</t>
  </si>
  <si>
    <t>Pswitch, cond</t>
  </si>
  <si>
    <t>&lt;-- Conduction Loss in Power Switch</t>
  </si>
  <si>
    <t>Psensing, res</t>
  </si>
  <si>
    <t>&lt;-- Conduction Loss in Sensing Resistor</t>
  </si>
  <si>
    <t>Pdiode, cond</t>
  </si>
  <si>
    <t>&lt;-- Conduction Loss in Diode</t>
  </si>
  <si>
    <t>Pind, winding</t>
  </si>
  <si>
    <t>&lt;-- Inductor Winding Losses</t>
  </si>
  <si>
    <t>Pstatic, IC</t>
  </si>
  <si>
    <t>&lt;-- Static Power Loss in IC</t>
  </si>
  <si>
    <t>Pswitch, sw</t>
  </si>
  <si>
    <t>&lt;-- Switching Losses of Power Switch</t>
  </si>
  <si>
    <t>Pcore</t>
  </si>
  <si>
    <t>&lt;-- Core Loss in Inductor. Available in inductor data sheet. Leave blank if not available.</t>
  </si>
  <si>
    <t>Ploss, total</t>
  </si>
  <si>
    <t xml:space="preserve">&lt;-- Total Loss </t>
  </si>
  <si>
    <t>Pout</t>
  </si>
  <si>
    <t>&lt;-- Output Power</t>
  </si>
  <si>
    <t>Pin</t>
  </si>
  <si>
    <t>&lt;-- Input Power = Output Power + Total Loss</t>
  </si>
  <si>
    <t>Efficiency</t>
  </si>
  <si>
    <t>&lt;-- Efficiency of Converter (Est: +/- 5%)</t>
  </si>
  <si>
    <t>Pd IC</t>
  </si>
  <si>
    <t xml:space="preserve">&lt;-- Power Dissipation </t>
  </si>
  <si>
    <t>Related to mentioned PCB</t>
  </si>
  <si>
    <t>us</t>
  </si>
  <si>
    <t>&lt;-- Worst Case Input Voltage (minimum Vin)</t>
  </si>
  <si>
    <t>&lt;-- Average Inductor Current.</t>
  </si>
  <si>
    <t>Design Spreadsheet for the MC33063 device in step up topology:</t>
  </si>
  <si>
    <t xml:space="preserve"> = Input Parameter</t>
  </si>
  <si>
    <t xml:space="preserve"> = Calculated Parameter (DO NOT CHANGE)</t>
  </si>
  <si>
    <t>- increasing inductance decreases ripple current</t>
  </si>
  <si>
    <t>&lt;-- Duty Cycle.  Maximum duty cycle of the MC30063 is 84%</t>
  </si>
  <si>
    <t xml:space="preserve">         </t>
  </si>
  <si>
    <r>
      <t>Input Voltage:</t>
    </r>
    <r>
      <rPr>
        <sz val="8"/>
        <rFont val="Arial"/>
        <family val="2"/>
      </rPr>
      <t xml:space="preserve"> 2.5V &lt; Vin &lt; 38V</t>
    </r>
  </si>
  <si>
    <r>
      <t>Note:</t>
    </r>
    <r>
      <rPr>
        <sz val="8"/>
        <rFont val="Arial"/>
        <family val="2"/>
      </rPr>
      <t xml:space="preserve">  (Vin + 2) &lt; Vout &lt; 40V</t>
    </r>
  </si>
  <si>
    <t xml:space="preserve"> </t>
  </si>
  <si>
    <t xml:space="preserve"> = Warning</t>
  </si>
  <si>
    <r>
      <t xml:space="preserve">3) Set </t>
    </r>
    <r>
      <rPr>
        <b/>
        <u/>
        <sz val="12"/>
        <rFont val="Symbol"/>
        <family val="1"/>
        <charset val="2"/>
      </rPr>
      <t>D</t>
    </r>
    <r>
      <rPr>
        <b/>
        <u/>
        <sz val="12"/>
        <rFont val="Arial"/>
        <family val="2"/>
      </rPr>
      <t>IL/IL(avg)</t>
    </r>
  </si>
  <si>
    <t xml:space="preserve">   </t>
  </si>
  <si>
    <t>= Warning</t>
  </si>
  <si>
    <t>RESULTS:</t>
  </si>
  <si>
    <t>Scroll Bars for fast Vin and Vout setting</t>
  </si>
  <si>
    <t>Scroll Bars for fast Vin and Vout setting:</t>
  </si>
  <si>
    <t>temperature Tj = 150°C.</t>
  </si>
  <si>
    <r>
      <t xml:space="preserve">For Maximum Output Current it is suggested that </t>
    </r>
    <r>
      <rPr>
        <sz val="10"/>
        <rFont val="Arial"/>
        <family val="2"/>
      </rPr>
      <t>Δ</t>
    </r>
    <r>
      <rPr>
        <sz val="10"/>
        <rFont val="Arial"/>
      </rPr>
      <t>IL should be chosen to be less than 10% of the average inductor current, IL(avg).</t>
    </r>
  </si>
  <si>
    <r>
      <t xml:space="preserve">inductance value, let </t>
    </r>
    <r>
      <rPr>
        <sz val="10"/>
        <rFont val="Arial"/>
        <family val="2"/>
      </rPr>
      <t>Δ</t>
    </r>
    <r>
      <rPr>
        <sz val="10"/>
        <rFont val="Arial"/>
      </rPr>
      <t>IL = 2*IL(avg).  This will proportionally red</t>
    </r>
    <r>
      <rPr>
        <sz val="10"/>
        <rFont val="Arial"/>
        <family val="2"/>
        <charset val="238"/>
      </rPr>
      <t>uce output current capability.</t>
    </r>
  </si>
  <si>
    <r>
      <t xml:space="preserve">inductance value, let </t>
    </r>
    <r>
      <rPr>
        <sz val="10"/>
        <rFont val="Arial"/>
        <family val="2"/>
      </rPr>
      <t>Δ</t>
    </r>
    <r>
      <rPr>
        <sz val="10"/>
        <rFont val="Arial"/>
      </rPr>
      <t>IL = 2*IL(avg).  This will proportionally re</t>
    </r>
    <r>
      <rPr>
        <sz val="10"/>
        <rFont val="Arial"/>
        <family val="2"/>
        <charset val="238"/>
      </rPr>
      <t>duce output current capability.</t>
    </r>
  </si>
  <si>
    <t xml:space="preserve">The maximum ambient temperature is related to  one-layer PCB with parameters mentioned below </t>
  </si>
  <si>
    <r>
      <t>Input Voltage:</t>
    </r>
    <r>
      <rPr>
        <sz val="8"/>
        <rFont val="Arial"/>
        <family val="2"/>
      </rPr>
      <t xml:space="preserve"> 4V &lt; Vin &lt; 40V</t>
    </r>
  </si>
  <si>
    <t>Timing capacitor</t>
  </si>
  <si>
    <t>&lt;-- Timing capacitor capacitance</t>
  </si>
  <si>
    <t>Custom</t>
  </si>
  <si>
    <t>Select package, demoboard:</t>
  </si>
  <si>
    <t>&lt;-- Duty Cycle.  Maximum duty cycle of the MC33063 is 84%</t>
  </si>
  <si>
    <t>The maximum ambient temperature is related to  one-layer PCB with parameters mentioned in the above</t>
  </si>
  <si>
    <t>yellow table. The value of maximum ambient temperature is calculated for maximum allowable junction</t>
  </si>
  <si>
    <t>Rev 0.1 7/22/09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</si>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</sst>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General;;;"/>
    <numFmt numFmtId="173" formatCode="0.000"/>
    <numFmt numFmtId="174" formatCode="0.0"/>
  </numFmts>
  <fonts count="24" x14ac:knownFonts="1">
    <font>
      <sz val="10"/>
      <name val="Arial"/>
    </font>
    <font>
      <sz val="10"/>
      <name val="Arial"/>
    </font>
    <font>
      <b/>
      <sz val="14"/>
      <color indexed="17"/>
      <name val="Arial"/>
      <family val="2"/>
    </font>
    <font>
      <b/>
      <u/>
      <sz val="12"/>
      <name val="Arial"/>
      <family val="2"/>
    </font>
    <font>
      <b/>
      <sz val="10"/>
      <name val="Arial"/>
      <family val="2"/>
      <charset val="238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238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sz val="12"/>
      <color indexed="17"/>
      <name val="Arial"/>
      <family val="2"/>
      <charset val="238"/>
    </font>
    <font>
      <i/>
      <sz val="8"/>
      <name val="Arial"/>
      <family val="2"/>
    </font>
    <font>
      <u/>
      <sz val="10"/>
      <name val="Arial"/>
      <family val="2"/>
    </font>
    <font>
      <b/>
      <u/>
      <sz val="12"/>
      <name val="Arial"/>
      <family val="2"/>
      <charset val="238"/>
    </font>
    <font>
      <b/>
      <u/>
      <sz val="12"/>
      <name val="Arial"/>
      <family val="2"/>
    </font>
    <font>
      <b/>
      <u/>
      <sz val="12"/>
      <name val="Symbol"/>
      <family val="1"/>
      <charset val="2"/>
    </font>
    <font>
      <sz val="12"/>
      <name val="Arial"/>
      <family val="2"/>
    </font>
    <font>
      <b/>
      <sz val="12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0" xfId="0" applyFont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0" xfId="0" applyAlignment="1">
      <alignment horizontal="right"/>
    </xf>
    <xf numFmtId="0" fontId="7" fillId="0" borderId="0" xfId="0" applyFont="1"/>
    <xf numFmtId="0" fontId="5" fillId="0" borderId="0" xfId="0" applyFont="1" applyFill="1"/>
    <xf numFmtId="0" fontId="0" fillId="2" borderId="1" xfId="0" applyFill="1" applyBorder="1"/>
    <xf numFmtId="0" fontId="0" fillId="0" borderId="0" xfId="0" quotePrefix="1"/>
    <xf numFmtId="0" fontId="0" fillId="3" borderId="1" xfId="0" applyFill="1" applyBorder="1"/>
    <xf numFmtId="0" fontId="1" fillId="0" borderId="0" xfId="1" applyFill="1"/>
    <xf numFmtId="0" fontId="5" fillId="0" borderId="0" xfId="1" applyFont="1"/>
    <xf numFmtId="0" fontId="8" fillId="0" borderId="0" xfId="1" applyFont="1"/>
    <xf numFmtId="0" fontId="8" fillId="0" borderId="1" xfId="1" applyFont="1" applyFill="1" applyBorder="1"/>
    <xf numFmtId="0" fontId="9" fillId="0" borderId="0" xfId="0" applyFont="1"/>
    <xf numFmtId="0" fontId="12" fillId="0" borderId="0" xfId="0" applyFont="1"/>
    <xf numFmtId="0" fontId="11" fillId="0" borderId="0" xfId="0" applyFont="1"/>
    <xf numFmtId="48" fontId="1" fillId="0" borderId="1" xfId="1" applyNumberFormat="1" applyFill="1" applyBorder="1"/>
    <xf numFmtId="0" fontId="5" fillId="0" borderId="0" xfId="1" applyFont="1" applyFill="1" applyBorder="1"/>
    <xf numFmtId="48" fontId="1" fillId="0" borderId="0" xfId="1" applyNumberFormat="1" applyFill="1" applyBorder="1"/>
    <xf numFmtId="0" fontId="0" fillId="0" borderId="0" xfId="0" applyFill="1" applyBorder="1"/>
    <xf numFmtId="0" fontId="6" fillId="0" borderId="0" xfId="1" applyFont="1" applyFill="1" applyBorder="1"/>
    <xf numFmtId="0" fontId="1" fillId="0" borderId="0" xfId="1" applyFill="1" applyBorder="1"/>
    <xf numFmtId="0" fontId="1" fillId="0" borderId="0" xfId="1" applyFont="1" applyFill="1" applyBorder="1"/>
    <xf numFmtId="0" fontId="1" fillId="0" borderId="1" xfId="1" applyFill="1" applyBorder="1"/>
    <xf numFmtId="0" fontId="1" fillId="0" borderId="1" xfId="1" applyFont="1" applyFill="1" applyBorder="1"/>
    <xf numFmtId="0" fontId="1" fillId="0" borderId="1" xfId="0" applyFont="1" applyBorder="1"/>
    <xf numFmtId="0" fontId="1" fillId="0" borderId="0" xfId="1" applyFill="1" applyBorder="1" applyProtection="1">
      <protection locked="0"/>
    </xf>
    <xf numFmtId="0" fontId="0" fillId="0" borderId="0" xfId="0" quotePrefix="1" applyFill="1" applyBorder="1"/>
    <xf numFmtId="0" fontId="1" fillId="0" borderId="2" xfId="1" applyFill="1" applyBorder="1"/>
    <xf numFmtId="0" fontId="13" fillId="0" borderId="3" xfId="1" applyFont="1" applyFill="1" applyBorder="1"/>
    <xf numFmtId="11" fontId="8" fillId="0" borderId="1" xfId="1" applyNumberFormat="1" applyFont="1" applyFill="1" applyBorder="1"/>
    <xf numFmtId="0" fontId="0" fillId="0" borderId="0" xfId="0" applyAlignment="1"/>
    <xf numFmtId="11" fontId="1" fillId="4" borderId="1" xfId="1" applyNumberFormat="1" applyFill="1" applyBorder="1"/>
    <xf numFmtId="11" fontId="1" fillId="0" borderId="0" xfId="1" applyNumberFormat="1" applyFont="1" applyFill="1" applyBorder="1"/>
    <xf numFmtId="0" fontId="0" fillId="0" borderId="0" xfId="0" applyProtection="1">
      <protection locked="0"/>
    </xf>
    <xf numFmtId="172" fontId="0" fillId="0" borderId="0" xfId="0" applyNumberFormat="1" applyProtection="1">
      <protection hidden="1"/>
    </xf>
    <xf numFmtId="0" fontId="1" fillId="0" borderId="0" xfId="1"/>
    <xf numFmtId="0" fontId="0" fillId="5" borderId="0" xfId="0" applyFill="1" applyBorder="1" applyProtection="1"/>
    <xf numFmtId="0" fontId="1" fillId="0" borderId="2" xfId="1" applyBorder="1"/>
    <xf numFmtId="0" fontId="0" fillId="5" borderId="0" xfId="0" quotePrefix="1" applyFill="1" applyBorder="1" applyProtection="1"/>
    <xf numFmtId="0" fontId="1" fillId="0" borderId="3" xfId="1" applyFill="1" applyBorder="1"/>
    <xf numFmtId="48" fontId="1" fillId="0" borderId="1" xfId="1" applyNumberFormat="1" applyFont="1" applyFill="1" applyBorder="1"/>
    <xf numFmtId="48" fontId="1" fillId="3" borderId="1" xfId="1" applyNumberFormat="1" applyFill="1" applyBorder="1"/>
    <xf numFmtId="0" fontId="8" fillId="0" borderId="0" xfId="1" applyFont="1" applyFill="1" applyBorder="1"/>
    <xf numFmtId="0" fontId="8" fillId="0" borderId="0" xfId="1" applyFont="1" applyFill="1"/>
    <xf numFmtId="48" fontId="8" fillId="0" borderId="1" xfId="1" applyNumberFormat="1" applyFont="1" applyFill="1" applyBorder="1"/>
    <xf numFmtId="48" fontId="5" fillId="0" borderId="0" xfId="1" applyNumberFormat="1" applyFont="1" applyFill="1" applyBorder="1"/>
    <xf numFmtId="48" fontId="5" fillId="0" borderId="0" xfId="1" applyNumberFormat="1" applyFont="1" applyFill="1" applyBorder="1" applyProtection="1">
      <protection locked="0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 applyProtection="1">
      <alignment horizontal="right"/>
    </xf>
    <xf numFmtId="0" fontId="0" fillId="0" borderId="0" xfId="0" applyProtection="1"/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locked="0" hidden="1"/>
    </xf>
    <xf numFmtId="0" fontId="0" fillId="6" borderId="1" xfId="0" applyFill="1" applyBorder="1" applyProtection="1"/>
    <xf numFmtId="48" fontId="1" fillId="7" borderId="3" xfId="1" applyNumberFormat="1" applyFill="1" applyBorder="1"/>
    <xf numFmtId="2" fontId="0" fillId="0" borderId="0" xfId="2" applyNumberFormat="1" applyFont="1" applyFill="1" applyBorder="1"/>
    <xf numFmtId="0" fontId="15" fillId="0" borderId="0" xfId="0" applyFont="1"/>
    <xf numFmtId="0" fontId="10" fillId="0" borderId="0" xfId="0" applyFont="1" applyBorder="1"/>
    <xf numFmtId="0" fontId="0" fillId="0" borderId="0" xfId="0" applyBorder="1"/>
    <xf numFmtId="0" fontId="16" fillId="0" borderId="0" xfId="0" applyFont="1" applyBorder="1"/>
    <xf numFmtId="0" fontId="11" fillId="0" borderId="0" xfId="0" applyFont="1" applyBorder="1"/>
    <xf numFmtId="48" fontId="0" fillId="0" borderId="0" xfId="0" applyNumberFormat="1"/>
    <xf numFmtId="174" fontId="0" fillId="0" borderId="0" xfId="0" applyNumberFormat="1"/>
    <xf numFmtId="0" fontId="0" fillId="8" borderId="1" xfId="0" applyFill="1" applyBorder="1"/>
    <xf numFmtId="0" fontId="4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 applyFill="1"/>
    <xf numFmtId="0" fontId="21" fillId="0" borderId="0" xfId="0" applyFont="1" applyFill="1" applyBorder="1"/>
    <xf numFmtId="0" fontId="1" fillId="0" borderId="0" xfId="1" applyFont="1" applyFill="1" applyBorder="1" applyProtection="1">
      <protection locked="0"/>
    </xf>
    <xf numFmtId="0" fontId="4" fillId="2" borderId="1" xfId="1" applyFont="1" applyFill="1" applyBorder="1" applyProtection="1">
      <protection locked="0"/>
    </xf>
    <xf numFmtId="0" fontId="4" fillId="2" borderId="3" xfId="1" applyFont="1" applyFill="1" applyBorder="1" applyProtection="1">
      <protection locked="0"/>
    </xf>
    <xf numFmtId="0" fontId="4" fillId="3" borderId="1" xfId="1" applyFont="1" applyFill="1" applyBorder="1"/>
    <xf numFmtId="0" fontId="4" fillId="2" borderId="1" xfId="0" applyFont="1" applyFill="1" applyBorder="1" applyProtection="1">
      <protection locked="0"/>
    </xf>
    <xf numFmtId="48" fontId="4" fillId="7" borderId="1" xfId="1" applyNumberFormat="1" applyFont="1" applyFill="1" applyBorder="1"/>
    <xf numFmtId="173" fontId="4" fillId="2" borderId="1" xfId="1" applyNumberFormat="1" applyFont="1" applyFill="1" applyBorder="1" applyProtection="1">
      <protection locked="0"/>
    </xf>
    <xf numFmtId="2" fontId="4" fillId="2" borderId="1" xfId="0" applyNumberFormat="1" applyFont="1" applyFill="1" applyBorder="1" applyProtection="1">
      <protection locked="0"/>
    </xf>
    <xf numFmtId="48" fontId="4" fillId="0" borderId="0" xfId="1" applyNumberFormat="1" applyFont="1" applyFill="1" applyBorder="1"/>
    <xf numFmtId="0" fontId="18" fillId="0" borderId="0" xfId="1" applyFont="1" applyFill="1" applyBorder="1"/>
    <xf numFmtId="0" fontId="22" fillId="0" borderId="0" xfId="0" applyFont="1" applyFill="1"/>
    <xf numFmtId="0" fontId="18" fillId="0" borderId="0" xfId="0" applyFont="1" applyFill="1"/>
    <xf numFmtId="0" fontId="1" fillId="0" borderId="0" xfId="0" applyFont="1"/>
    <xf numFmtId="0" fontId="1" fillId="0" borderId="0" xfId="0" applyFont="1" applyFill="1" applyBorder="1"/>
    <xf numFmtId="0" fontId="4" fillId="6" borderId="1" xfId="0" applyFont="1" applyFill="1" applyBorder="1" applyProtection="1"/>
    <xf numFmtId="11" fontId="1" fillId="4" borderId="4" xfId="1" applyNumberFormat="1" applyFill="1" applyBorder="1"/>
    <xf numFmtId="0" fontId="0" fillId="2" borderId="1" xfId="0" applyFill="1" applyBorder="1" applyProtection="1">
      <protection locked="0"/>
    </xf>
    <xf numFmtId="2" fontId="4" fillId="3" borderId="1" xfId="1" applyNumberFormat="1" applyFont="1" applyFill="1" applyBorder="1" applyProtection="1">
      <protection hidden="1"/>
    </xf>
    <xf numFmtId="2" fontId="4" fillId="3" borderId="1" xfId="2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1" fontId="4" fillId="3" borderId="1" xfId="0" applyNumberFormat="1" applyFont="1" applyFill="1" applyBorder="1" applyProtection="1">
      <protection hidden="1"/>
    </xf>
    <xf numFmtId="2" fontId="4" fillId="3" borderId="3" xfId="1" applyNumberFormat="1" applyFont="1" applyFill="1" applyBorder="1" applyProtection="1">
      <protection hidden="1"/>
    </xf>
    <xf numFmtId="2" fontId="4" fillId="3" borderId="0" xfId="0" applyNumberFormat="1" applyFont="1" applyFill="1" applyProtection="1">
      <protection hidden="1"/>
    </xf>
    <xf numFmtId="48" fontId="4" fillId="3" borderId="1" xfId="1" applyNumberFormat="1" applyFont="1" applyFill="1" applyBorder="1" applyProtection="1">
      <protection hidden="1"/>
    </xf>
    <xf numFmtId="9" fontId="4" fillId="3" borderId="1" xfId="2" applyFont="1" applyFill="1" applyBorder="1" applyProtection="1">
      <protection hidden="1"/>
    </xf>
    <xf numFmtId="174" fontId="4" fillId="3" borderId="1" xfId="1" applyNumberFormat="1" applyFont="1" applyFill="1" applyBorder="1" applyProtection="1">
      <protection hidden="1"/>
    </xf>
    <xf numFmtId="0" fontId="1" fillId="0" borderId="2" xfId="1" applyBorder="1" applyProtection="1">
      <protection hidden="1"/>
    </xf>
    <xf numFmtId="2" fontId="5" fillId="3" borderId="1" xfId="0" applyNumberFormat="1" applyFont="1" applyFill="1" applyBorder="1" applyProtection="1">
      <protection hidden="1"/>
    </xf>
    <xf numFmtId="0" fontId="8" fillId="0" borderId="1" xfId="0" applyFont="1" applyFill="1" applyBorder="1"/>
    <xf numFmtId="0" fontId="8" fillId="0" borderId="1" xfId="0" applyFont="1" applyBorder="1"/>
    <xf numFmtId="0" fontId="0" fillId="0" borderId="0" xfId="0" applyBorder="1" applyAlignment="1">
      <alignment horizontal="left"/>
    </xf>
    <xf numFmtId="11" fontId="1" fillId="0" borderId="1" xfId="1" applyNumberFormat="1" applyFont="1" applyFill="1" applyBorder="1"/>
    <xf numFmtId="1" fontId="4" fillId="3" borderId="1" xfId="1" applyNumberFormat="1" applyFont="1" applyFill="1" applyBorder="1"/>
    <xf numFmtId="1" fontId="4" fillId="3" borderId="1" xfId="1" applyNumberFormat="1" applyFont="1" applyFill="1" applyBorder="1" applyProtection="1">
      <protection hidden="1"/>
    </xf>
    <xf numFmtId="0" fontId="0" fillId="0" borderId="5" xfId="0" applyBorder="1" applyAlignment="1"/>
    <xf numFmtId="0" fontId="0" fillId="0" borderId="0" xfId="0"/>
  </cellXfs>
  <cellStyles count="3">
    <cellStyle name="Normal" xfId="0" builtinId="0"/>
    <cellStyle name="Normal_Better 163_calcs" xfId="1" xr:uid="{48027FDB-2EBE-4C93-9ECE-041564F24CD5}"/>
    <cellStyle name="Percent" xfId="2" builtinId="5"/>
  </cellStyles>
  <dxfs count="33"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  <strike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47</xdr:row>
      <xdr:rowOff>38100</xdr:rowOff>
    </xdr:from>
    <xdr:to>
      <xdr:col>12</xdr:col>
      <xdr:colOff>0</xdr:colOff>
      <xdr:row>57</xdr:row>
      <xdr:rowOff>85725</xdr:rowOff>
    </xdr:to>
    <xdr:grpSp>
      <xdr:nvGrpSpPr>
        <xdr:cNvPr id="1104" name="Group 1">
          <a:extLst>
            <a:ext uri="{FF2B5EF4-FFF2-40B4-BE49-F238E27FC236}">
              <a16:creationId xmlns:a16="http://schemas.microsoft.com/office/drawing/2014/main" id="{001A7A8D-236D-4B85-4FC8-F975D2311AEB}"/>
            </a:ext>
          </a:extLst>
        </xdr:cNvPr>
        <xdr:cNvGrpSpPr>
          <a:grpSpLocks/>
        </xdr:cNvGrpSpPr>
      </xdr:nvGrpSpPr>
      <xdr:grpSpPr bwMode="auto">
        <a:xfrm>
          <a:off x="5348007" y="7052982"/>
          <a:ext cx="3202081" cy="1347508"/>
          <a:chOff x="107" y="143"/>
          <a:chExt cx="278" cy="77"/>
        </a:xfrm>
      </xdr:grpSpPr>
      <xdr:sp macro="" textlink="">
        <xdr:nvSpPr>
          <xdr:cNvPr id="1105" name="Line 2">
            <a:extLst>
              <a:ext uri="{FF2B5EF4-FFF2-40B4-BE49-F238E27FC236}">
                <a16:creationId xmlns:a16="http://schemas.microsoft.com/office/drawing/2014/main" id="{DEC2BC40-9641-DFC2-B45C-57244841C66B}"/>
              </a:ext>
            </a:extLst>
          </xdr:cNvPr>
          <xdr:cNvSpPr>
            <a:spLocks noChangeShapeType="1"/>
          </xdr:cNvSpPr>
        </xdr:nvSpPr>
        <xdr:spPr bwMode="auto">
          <a:xfrm flipV="1">
            <a:off x="129" y="170"/>
            <a:ext cx="63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6" name="Line 3">
            <a:extLst>
              <a:ext uri="{FF2B5EF4-FFF2-40B4-BE49-F238E27FC236}">
                <a16:creationId xmlns:a16="http://schemas.microsoft.com/office/drawing/2014/main" id="{E317E02E-4659-1A40-2F9C-C0BE00018232}"/>
              </a:ext>
            </a:extLst>
          </xdr:cNvPr>
          <xdr:cNvSpPr>
            <a:spLocks noChangeShapeType="1"/>
          </xdr:cNvSpPr>
        </xdr:nvSpPr>
        <xdr:spPr bwMode="auto">
          <a:xfrm>
            <a:off x="192" y="170"/>
            <a:ext cx="65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7" name="Line 4">
            <a:extLst>
              <a:ext uri="{FF2B5EF4-FFF2-40B4-BE49-F238E27FC236}">
                <a16:creationId xmlns:a16="http://schemas.microsoft.com/office/drawing/2014/main" id="{A96E075C-B37A-5108-BD63-A32D54BE529C}"/>
              </a:ext>
            </a:extLst>
          </xdr:cNvPr>
          <xdr:cNvSpPr>
            <a:spLocks noChangeShapeType="1"/>
          </xdr:cNvSpPr>
        </xdr:nvSpPr>
        <xdr:spPr bwMode="auto">
          <a:xfrm flipV="1">
            <a:off x="257" y="170"/>
            <a:ext cx="63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8" name="Line 5">
            <a:extLst>
              <a:ext uri="{FF2B5EF4-FFF2-40B4-BE49-F238E27FC236}">
                <a16:creationId xmlns:a16="http://schemas.microsoft.com/office/drawing/2014/main" id="{B1C445F9-01D9-22B8-EC6D-55D3C1AEC01A}"/>
              </a:ext>
            </a:extLst>
          </xdr:cNvPr>
          <xdr:cNvSpPr>
            <a:spLocks noChangeShapeType="1"/>
          </xdr:cNvSpPr>
        </xdr:nvSpPr>
        <xdr:spPr bwMode="auto">
          <a:xfrm>
            <a:off x="320" y="170"/>
            <a:ext cx="65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9" name="Line 6">
            <a:extLst>
              <a:ext uri="{FF2B5EF4-FFF2-40B4-BE49-F238E27FC236}">
                <a16:creationId xmlns:a16="http://schemas.microsoft.com/office/drawing/2014/main" id="{E34604F9-B79C-3B3E-E45E-676E8594BC46}"/>
              </a:ext>
            </a:extLst>
          </xdr:cNvPr>
          <xdr:cNvSpPr>
            <a:spLocks noChangeShapeType="1"/>
          </xdr:cNvSpPr>
        </xdr:nvSpPr>
        <xdr:spPr bwMode="auto">
          <a:xfrm>
            <a:off x="128" y="187"/>
            <a:ext cx="256" cy="0"/>
          </a:xfrm>
          <a:prstGeom prst="line">
            <a:avLst/>
          </a:prstGeom>
          <a:noFill/>
          <a:ln w="12700">
            <a:solidFill>
              <a:srgbClr val="80808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1" name="Text Box 7">
            <a:extLst>
              <a:ext uri="{FF2B5EF4-FFF2-40B4-BE49-F238E27FC236}">
                <a16:creationId xmlns:a16="http://schemas.microsoft.com/office/drawing/2014/main" id="{9A56A10C-37BD-A53D-CED4-9CC942A59AC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5" y="144"/>
            <a:ext cx="69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I</a:t>
            </a:r>
            <a:r>
              <a:rPr lang="en-US" sz="1000" b="0" i="1" u="none" strike="noStrike" baseline="-25000">
                <a:solidFill>
                  <a:srgbClr val="000000"/>
                </a:solidFill>
                <a:latin typeface="Times New Roman"/>
                <a:cs typeface="Times New Roman"/>
              </a:rPr>
              <a:t>L,avg</a:t>
            </a:r>
            <a:r>
              <a:rPr lang="en-US" sz="10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=I</a:t>
            </a:r>
            <a:r>
              <a:rPr lang="en-US" sz="1000" b="0" i="1" u="none" strike="noStrike" baseline="-25000">
                <a:solidFill>
                  <a:srgbClr val="000000"/>
                </a:solidFill>
                <a:latin typeface="Times New Roman"/>
                <a:cs typeface="Times New Roman"/>
              </a:rPr>
              <a:t>out</a:t>
            </a:r>
          </a:p>
        </xdr:txBody>
      </xdr:sp>
      <xdr:sp macro="" textlink="">
        <xdr:nvSpPr>
          <xdr:cNvPr id="1032" name="Text Box 8">
            <a:extLst>
              <a:ext uri="{FF2B5EF4-FFF2-40B4-BE49-F238E27FC236}">
                <a16:creationId xmlns:a16="http://schemas.microsoft.com/office/drawing/2014/main" id="{FCD21B1F-2183-02BD-DC5F-55D51ECC63F1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0" y="143"/>
            <a:ext cx="34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i</a:t>
            </a:r>
            <a:r>
              <a:rPr lang="en-US" sz="1000" b="0" i="1" u="none" strike="noStrike" baseline="-25000">
                <a:solidFill>
                  <a:srgbClr val="000000"/>
                </a:solidFill>
                <a:latin typeface="Times New Roman"/>
                <a:cs typeface="Times New Roman"/>
              </a:rPr>
              <a:t>L</a:t>
            </a:r>
          </a:p>
        </xdr:txBody>
      </xdr:sp>
      <xdr:sp macro="" textlink="">
        <xdr:nvSpPr>
          <xdr:cNvPr id="1112" name="Line 9">
            <a:extLst>
              <a:ext uri="{FF2B5EF4-FFF2-40B4-BE49-F238E27FC236}">
                <a16:creationId xmlns:a16="http://schemas.microsoft.com/office/drawing/2014/main" id="{D36F95F4-CDED-C0EC-9B22-52B667A69070}"/>
              </a:ext>
            </a:extLst>
          </xdr:cNvPr>
          <xdr:cNvSpPr>
            <a:spLocks noChangeShapeType="1"/>
          </xdr:cNvSpPr>
        </xdr:nvSpPr>
        <xdr:spPr bwMode="auto">
          <a:xfrm>
            <a:off x="164" y="157"/>
            <a:ext cx="21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3" name="Line 10">
            <a:extLst>
              <a:ext uri="{FF2B5EF4-FFF2-40B4-BE49-F238E27FC236}">
                <a16:creationId xmlns:a16="http://schemas.microsoft.com/office/drawing/2014/main" id="{F64D5876-1FB6-66E6-FE42-AAFDC2E0A937}"/>
              </a:ext>
            </a:extLst>
          </xdr:cNvPr>
          <xdr:cNvSpPr>
            <a:spLocks noChangeShapeType="1"/>
          </xdr:cNvSpPr>
        </xdr:nvSpPr>
        <xdr:spPr bwMode="auto">
          <a:xfrm>
            <a:off x="239" y="162"/>
            <a:ext cx="7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5" name="Text Box 11">
            <a:extLst>
              <a:ext uri="{FF2B5EF4-FFF2-40B4-BE49-F238E27FC236}">
                <a16:creationId xmlns:a16="http://schemas.microsoft.com/office/drawing/2014/main" id="{3D36CB2B-FB16-21CF-DA83-A382713C55EC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" y="175"/>
            <a:ext cx="3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∆i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Times New Roman"/>
                <a:cs typeface="Times New Roman"/>
              </a:rPr>
              <a:t>L</a:t>
            </a:r>
          </a:p>
        </xdr:txBody>
      </xdr:sp>
      <xdr:sp macro="" textlink="">
        <xdr:nvSpPr>
          <xdr:cNvPr id="1115" name="Line 12">
            <a:extLst>
              <a:ext uri="{FF2B5EF4-FFF2-40B4-BE49-F238E27FC236}">
                <a16:creationId xmlns:a16="http://schemas.microsoft.com/office/drawing/2014/main" id="{671496EF-78B8-3011-F9B9-7CCB48C4CF47}"/>
              </a:ext>
            </a:extLst>
          </xdr:cNvPr>
          <xdr:cNvSpPr>
            <a:spLocks noChangeShapeType="1"/>
          </xdr:cNvSpPr>
        </xdr:nvSpPr>
        <xdr:spPr bwMode="auto">
          <a:xfrm>
            <a:off x="119" y="154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6" name="Line 13">
            <a:extLst>
              <a:ext uri="{FF2B5EF4-FFF2-40B4-BE49-F238E27FC236}">
                <a16:creationId xmlns:a16="http://schemas.microsoft.com/office/drawing/2014/main" id="{916E011E-8740-2A44-BCE3-05EBB7ACF582}"/>
              </a:ext>
            </a:extLst>
          </xdr:cNvPr>
          <xdr:cNvSpPr>
            <a:spLocks noChangeShapeType="1"/>
          </xdr:cNvSpPr>
        </xdr:nvSpPr>
        <xdr:spPr bwMode="auto">
          <a:xfrm flipV="1">
            <a:off x="119" y="202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7" name="Line 14">
            <a:extLst>
              <a:ext uri="{FF2B5EF4-FFF2-40B4-BE49-F238E27FC236}">
                <a16:creationId xmlns:a16="http://schemas.microsoft.com/office/drawing/2014/main" id="{6EF79DA8-3D28-6A2D-4C3C-893ADC3607C7}"/>
              </a:ext>
            </a:extLst>
          </xdr:cNvPr>
          <xdr:cNvSpPr>
            <a:spLocks noChangeShapeType="1"/>
          </xdr:cNvSpPr>
        </xdr:nvSpPr>
        <xdr:spPr bwMode="auto">
          <a:xfrm flipV="1">
            <a:off x="110" y="170"/>
            <a:ext cx="273" cy="1"/>
          </a:xfrm>
          <a:prstGeom prst="line">
            <a:avLst/>
          </a:prstGeom>
          <a:noFill/>
          <a:ln w="9525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18" name="Line 15">
            <a:extLst>
              <a:ext uri="{FF2B5EF4-FFF2-40B4-BE49-F238E27FC236}">
                <a16:creationId xmlns:a16="http://schemas.microsoft.com/office/drawing/2014/main" id="{B4627BF8-E586-CE24-3A01-48BF763F27F2}"/>
              </a:ext>
            </a:extLst>
          </xdr:cNvPr>
          <xdr:cNvSpPr>
            <a:spLocks noChangeShapeType="1"/>
          </xdr:cNvSpPr>
        </xdr:nvSpPr>
        <xdr:spPr bwMode="auto">
          <a:xfrm>
            <a:off x="110" y="204"/>
            <a:ext cx="274" cy="0"/>
          </a:xfrm>
          <a:prstGeom prst="line">
            <a:avLst/>
          </a:prstGeom>
          <a:noFill/>
          <a:ln w="9525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5</xdr:col>
          <xdr:colOff>590550</xdr:colOff>
          <xdr:row>22</xdr:row>
          <xdr:rowOff>57150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E18D7B5D-84B4-3FDE-6254-D4A15DA1D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9525</xdr:rowOff>
        </xdr:from>
        <xdr:to>
          <xdr:col>15</xdr:col>
          <xdr:colOff>0</xdr:colOff>
          <xdr:row>28</xdr:row>
          <xdr:rowOff>9525</xdr:rowOff>
        </xdr:to>
        <xdr:sp macro="" textlink="">
          <xdr:nvSpPr>
            <xdr:cNvPr id="1047" name="ScrollBar1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4D05B45-FE2D-F27C-F7E4-83F897736C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28</xdr:row>
          <xdr:rowOff>9525</xdr:rowOff>
        </xdr:from>
        <xdr:to>
          <xdr:col>15</xdr:col>
          <xdr:colOff>0</xdr:colOff>
          <xdr:row>29</xdr:row>
          <xdr:rowOff>9525</xdr:rowOff>
        </xdr:to>
        <xdr:sp macro="" textlink="">
          <xdr:nvSpPr>
            <xdr:cNvPr id="1048" name="ScrollBar2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A2313DE9-0A62-236A-9C5E-B68D8B0F0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47</xdr:row>
      <xdr:rowOff>38100</xdr:rowOff>
    </xdr:from>
    <xdr:to>
      <xdr:col>12</xdr:col>
      <xdr:colOff>0</xdr:colOff>
      <xdr:row>57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7CE18CE-8DE8-47D8-9DC9-C5A73D16EE66}"/>
            </a:ext>
          </a:extLst>
        </xdr:cNvPr>
        <xdr:cNvGrpSpPr>
          <a:grpSpLocks/>
        </xdr:cNvGrpSpPr>
      </xdr:nvGrpSpPr>
      <xdr:grpSpPr bwMode="auto">
        <a:xfrm>
          <a:off x="5348007" y="7052982"/>
          <a:ext cx="3202081" cy="1347508"/>
          <a:chOff x="107" y="143"/>
          <a:chExt cx="278" cy="77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F8F0F2B5-4115-7D9A-8D25-8532F5058879}"/>
              </a:ext>
            </a:extLst>
          </xdr:cNvPr>
          <xdr:cNvSpPr>
            <a:spLocks noChangeShapeType="1"/>
          </xdr:cNvSpPr>
        </xdr:nvSpPr>
        <xdr:spPr bwMode="auto">
          <a:xfrm flipV="1">
            <a:off x="129" y="170"/>
            <a:ext cx="63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91D691A3-28DE-591C-7F53-ADF14A785E0D}"/>
              </a:ext>
            </a:extLst>
          </xdr:cNvPr>
          <xdr:cNvSpPr>
            <a:spLocks noChangeShapeType="1"/>
          </xdr:cNvSpPr>
        </xdr:nvSpPr>
        <xdr:spPr bwMode="auto">
          <a:xfrm>
            <a:off x="192" y="170"/>
            <a:ext cx="65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C886361-E6C6-53B7-B01A-AD7857BFF902}"/>
              </a:ext>
            </a:extLst>
          </xdr:cNvPr>
          <xdr:cNvSpPr>
            <a:spLocks noChangeShapeType="1"/>
          </xdr:cNvSpPr>
        </xdr:nvSpPr>
        <xdr:spPr bwMode="auto">
          <a:xfrm flipV="1">
            <a:off x="257" y="170"/>
            <a:ext cx="63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5">
            <a:extLst>
              <a:ext uri="{FF2B5EF4-FFF2-40B4-BE49-F238E27FC236}">
                <a16:creationId xmlns:a16="http://schemas.microsoft.com/office/drawing/2014/main" id="{37A1D546-8050-8CC7-79C7-63458D55B544}"/>
              </a:ext>
            </a:extLst>
          </xdr:cNvPr>
          <xdr:cNvSpPr>
            <a:spLocks noChangeShapeType="1"/>
          </xdr:cNvSpPr>
        </xdr:nvSpPr>
        <xdr:spPr bwMode="auto">
          <a:xfrm>
            <a:off x="320" y="170"/>
            <a:ext cx="65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3D02B08B-F062-24E6-42FE-15A9F5146EDB}"/>
              </a:ext>
            </a:extLst>
          </xdr:cNvPr>
          <xdr:cNvSpPr>
            <a:spLocks noChangeShapeType="1"/>
          </xdr:cNvSpPr>
        </xdr:nvSpPr>
        <xdr:spPr bwMode="auto">
          <a:xfrm>
            <a:off x="128" y="187"/>
            <a:ext cx="256" cy="0"/>
          </a:xfrm>
          <a:prstGeom prst="line">
            <a:avLst/>
          </a:prstGeom>
          <a:noFill/>
          <a:ln w="12700">
            <a:solidFill>
              <a:srgbClr val="80808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Text Box 7">
            <a:extLst>
              <a:ext uri="{FF2B5EF4-FFF2-40B4-BE49-F238E27FC236}">
                <a16:creationId xmlns:a16="http://schemas.microsoft.com/office/drawing/2014/main" id="{117A06A9-B213-9A52-E3C7-1657BB02C49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5" y="144"/>
            <a:ext cx="69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I</a:t>
            </a:r>
            <a:r>
              <a:rPr lang="en-US" sz="1000" b="0" i="1" u="none" strike="noStrike" baseline="-25000">
                <a:solidFill>
                  <a:srgbClr val="000000"/>
                </a:solidFill>
                <a:latin typeface="Times New Roman"/>
                <a:cs typeface="Times New Roman"/>
              </a:rPr>
              <a:t>L,avg</a:t>
            </a:r>
            <a:r>
              <a:rPr lang="en-US" sz="10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=I</a:t>
            </a:r>
            <a:r>
              <a:rPr lang="en-US" sz="1000" b="0" i="1" u="none" strike="noStrike" baseline="-25000">
                <a:solidFill>
                  <a:srgbClr val="000000"/>
                </a:solidFill>
                <a:latin typeface="Times New Roman"/>
                <a:cs typeface="Times New Roman"/>
              </a:rPr>
              <a:t>out</a:t>
            </a:r>
          </a:p>
        </xdr:txBody>
      </xdr:sp>
      <xdr:sp macro="" textlink="">
        <xdr:nvSpPr>
          <xdr:cNvPr id="9" name="Text Box 8">
            <a:extLst>
              <a:ext uri="{FF2B5EF4-FFF2-40B4-BE49-F238E27FC236}">
                <a16:creationId xmlns:a16="http://schemas.microsoft.com/office/drawing/2014/main" id="{F537C36C-E73C-9879-8DBF-53B59521D19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0" y="143"/>
            <a:ext cx="34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i</a:t>
            </a:r>
            <a:r>
              <a:rPr lang="en-US" sz="1000" b="0" i="1" u="none" strike="noStrike" baseline="-25000">
                <a:solidFill>
                  <a:srgbClr val="000000"/>
                </a:solidFill>
                <a:latin typeface="Times New Roman"/>
                <a:cs typeface="Times New Roman"/>
              </a:rPr>
              <a:t>L</a:t>
            </a:r>
          </a:p>
        </xdr:txBody>
      </xdr:sp>
      <xdr:sp macro="" textlink="">
        <xdr:nvSpPr>
          <xdr:cNvPr id="10" name="Line 9">
            <a:extLst>
              <a:ext uri="{FF2B5EF4-FFF2-40B4-BE49-F238E27FC236}">
                <a16:creationId xmlns:a16="http://schemas.microsoft.com/office/drawing/2014/main" id="{2014D640-C01D-1A21-F363-85B4B29CFA7C}"/>
              </a:ext>
            </a:extLst>
          </xdr:cNvPr>
          <xdr:cNvSpPr>
            <a:spLocks noChangeShapeType="1"/>
          </xdr:cNvSpPr>
        </xdr:nvSpPr>
        <xdr:spPr bwMode="auto">
          <a:xfrm>
            <a:off x="164" y="157"/>
            <a:ext cx="21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10">
            <a:extLst>
              <a:ext uri="{FF2B5EF4-FFF2-40B4-BE49-F238E27FC236}">
                <a16:creationId xmlns:a16="http://schemas.microsoft.com/office/drawing/2014/main" id="{8DF9C4FD-B023-DD12-3561-61C8EEAF5E31}"/>
              </a:ext>
            </a:extLst>
          </xdr:cNvPr>
          <xdr:cNvSpPr>
            <a:spLocks noChangeShapeType="1"/>
          </xdr:cNvSpPr>
        </xdr:nvSpPr>
        <xdr:spPr bwMode="auto">
          <a:xfrm>
            <a:off x="239" y="162"/>
            <a:ext cx="7" cy="2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Text Box 11">
            <a:extLst>
              <a:ext uri="{FF2B5EF4-FFF2-40B4-BE49-F238E27FC236}">
                <a16:creationId xmlns:a16="http://schemas.microsoft.com/office/drawing/2014/main" id="{EBB93B8C-B084-2525-1252-CBF8F45A518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7" y="175"/>
            <a:ext cx="33" cy="2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∆i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Times New Roman"/>
                <a:cs typeface="Times New Roman"/>
              </a:rPr>
              <a:t>L</a:t>
            </a:r>
          </a:p>
        </xdr:txBody>
      </xdr:sp>
      <xdr:sp macro="" textlink="">
        <xdr:nvSpPr>
          <xdr:cNvPr id="13" name="Line 12">
            <a:extLst>
              <a:ext uri="{FF2B5EF4-FFF2-40B4-BE49-F238E27FC236}">
                <a16:creationId xmlns:a16="http://schemas.microsoft.com/office/drawing/2014/main" id="{46072680-3533-DDE8-3DA2-B5C63A195726}"/>
              </a:ext>
            </a:extLst>
          </xdr:cNvPr>
          <xdr:cNvSpPr>
            <a:spLocks noChangeShapeType="1"/>
          </xdr:cNvSpPr>
        </xdr:nvSpPr>
        <xdr:spPr bwMode="auto">
          <a:xfrm>
            <a:off x="119" y="154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3">
            <a:extLst>
              <a:ext uri="{FF2B5EF4-FFF2-40B4-BE49-F238E27FC236}">
                <a16:creationId xmlns:a16="http://schemas.microsoft.com/office/drawing/2014/main" id="{1C13FDB7-5A13-2CA3-0791-88EF80FD47BD}"/>
              </a:ext>
            </a:extLst>
          </xdr:cNvPr>
          <xdr:cNvSpPr>
            <a:spLocks noChangeShapeType="1"/>
          </xdr:cNvSpPr>
        </xdr:nvSpPr>
        <xdr:spPr bwMode="auto">
          <a:xfrm flipV="1">
            <a:off x="119" y="202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4">
            <a:extLst>
              <a:ext uri="{FF2B5EF4-FFF2-40B4-BE49-F238E27FC236}">
                <a16:creationId xmlns:a16="http://schemas.microsoft.com/office/drawing/2014/main" id="{693B1C0F-2D1E-DCDE-A9A3-D0E886048B07}"/>
              </a:ext>
            </a:extLst>
          </xdr:cNvPr>
          <xdr:cNvSpPr>
            <a:spLocks noChangeShapeType="1"/>
          </xdr:cNvSpPr>
        </xdr:nvSpPr>
        <xdr:spPr bwMode="auto">
          <a:xfrm flipV="1">
            <a:off x="110" y="170"/>
            <a:ext cx="273" cy="1"/>
          </a:xfrm>
          <a:prstGeom prst="line">
            <a:avLst/>
          </a:prstGeom>
          <a:noFill/>
          <a:ln w="9525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5">
            <a:extLst>
              <a:ext uri="{FF2B5EF4-FFF2-40B4-BE49-F238E27FC236}">
                <a16:creationId xmlns:a16="http://schemas.microsoft.com/office/drawing/2014/main" id="{A9C23D03-F019-AD1F-9D05-170C8A3BA545}"/>
              </a:ext>
            </a:extLst>
          </xdr:cNvPr>
          <xdr:cNvSpPr>
            <a:spLocks noChangeShapeType="1"/>
          </xdr:cNvSpPr>
        </xdr:nvSpPr>
        <xdr:spPr bwMode="auto">
          <a:xfrm>
            <a:off x="110" y="204"/>
            <a:ext cx="274" cy="0"/>
          </a:xfrm>
          <a:prstGeom prst="line">
            <a:avLst/>
          </a:prstGeom>
          <a:noFill/>
          <a:ln w="9525" cap="rnd">
            <a:solidFill>
              <a:srgbClr val="000000"/>
            </a:solidFill>
            <a:prstDash val="sys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5</xdr:col>
          <xdr:colOff>590550</xdr:colOff>
          <xdr:row>22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A0FA380-936E-4B1B-9071-0CA20A434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9525</xdr:rowOff>
        </xdr:from>
        <xdr:to>
          <xdr:col>15</xdr:col>
          <xdr:colOff>0</xdr:colOff>
          <xdr:row>28</xdr:row>
          <xdr:rowOff>9525</xdr:rowOff>
        </xdr:to>
        <xdr:sp macro="" textlink="">
          <xdr:nvSpPr>
            <xdr:cNvPr id="3074" name="ScrollBar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53C7C88-D4E2-4E5D-9666-0606E36B6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28</xdr:row>
          <xdr:rowOff>9525</xdr:rowOff>
        </xdr:from>
        <xdr:to>
          <xdr:col>15</xdr:col>
          <xdr:colOff>0</xdr:colOff>
          <xdr:row>29</xdr:row>
          <xdr:rowOff>9525</xdr:rowOff>
        </xdr:to>
        <xdr:sp macro="" textlink="">
          <xdr:nvSpPr>
            <xdr:cNvPr id="3075" name="ScrollBar2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BBA2DF25-E92B-44BE-8FF3-B2E6EC3A37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4</xdr:col>
      <xdr:colOff>419100</xdr:colOff>
      <xdr:row>22</xdr:row>
      <xdr:rowOff>142875</xdr:rowOff>
    </xdr:to>
    <xdr:pic>
      <xdr:nvPicPr>
        <xdr:cNvPr id="2254" name="Picture 8">
          <a:extLst>
            <a:ext uri="{FF2B5EF4-FFF2-40B4-BE49-F238E27FC236}">
              <a16:creationId xmlns:a16="http://schemas.microsoft.com/office/drawing/2014/main" id="{02F927C7-1C15-63DF-43D3-E0D56B4CC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"/>
          <a:ext cx="3619500" cy="304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42</xdr:row>
      <xdr:rowOff>47625</xdr:rowOff>
    </xdr:from>
    <xdr:to>
      <xdr:col>14</xdr:col>
      <xdr:colOff>38100</xdr:colOff>
      <xdr:row>52</xdr:row>
      <xdr:rowOff>133350</xdr:rowOff>
    </xdr:to>
    <xdr:grpSp>
      <xdr:nvGrpSpPr>
        <xdr:cNvPr id="2255" name="Group 9">
          <a:extLst>
            <a:ext uri="{FF2B5EF4-FFF2-40B4-BE49-F238E27FC236}">
              <a16:creationId xmlns:a16="http://schemas.microsoft.com/office/drawing/2014/main" id="{FA5DE1A7-A334-39E8-719D-814ED9947D61}"/>
            </a:ext>
          </a:extLst>
        </xdr:cNvPr>
        <xdr:cNvGrpSpPr>
          <a:grpSpLocks/>
        </xdr:cNvGrpSpPr>
      </xdr:nvGrpSpPr>
      <xdr:grpSpPr bwMode="auto">
        <a:xfrm>
          <a:off x="7553325" y="6372225"/>
          <a:ext cx="1828800" cy="1609725"/>
          <a:chOff x="661" y="846"/>
          <a:chExt cx="270" cy="162"/>
        </a:xfrm>
      </xdr:grpSpPr>
      <xdr:grpSp>
        <xdr:nvGrpSpPr>
          <xdr:cNvPr id="2256" name="Group 10">
            <a:extLst>
              <a:ext uri="{FF2B5EF4-FFF2-40B4-BE49-F238E27FC236}">
                <a16:creationId xmlns:a16="http://schemas.microsoft.com/office/drawing/2014/main" id="{12A9DC7F-A26E-D282-897B-F90D34B6CD53}"/>
              </a:ext>
            </a:extLst>
          </xdr:cNvPr>
          <xdr:cNvGrpSpPr>
            <a:grpSpLocks/>
          </xdr:cNvGrpSpPr>
        </xdr:nvGrpSpPr>
        <xdr:grpSpPr bwMode="auto">
          <a:xfrm>
            <a:off x="661" y="846"/>
            <a:ext cx="270" cy="162"/>
            <a:chOff x="569" y="713"/>
            <a:chExt cx="270" cy="162"/>
          </a:xfrm>
        </xdr:grpSpPr>
        <xdr:sp macro="" textlink="">
          <xdr:nvSpPr>
            <xdr:cNvPr id="2258" name="Line 11">
              <a:extLst>
                <a:ext uri="{FF2B5EF4-FFF2-40B4-BE49-F238E27FC236}">
                  <a16:creationId xmlns:a16="http://schemas.microsoft.com/office/drawing/2014/main" id="{E0C1A0B2-F5D5-5919-7EE1-02F01EB3F37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20" y="809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59" name="Line 12">
              <a:extLst>
                <a:ext uri="{FF2B5EF4-FFF2-40B4-BE49-F238E27FC236}">
                  <a16:creationId xmlns:a16="http://schemas.microsoft.com/office/drawing/2014/main" id="{3649EAF5-ACFA-80BB-7FE2-A8D77ABD6CC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12" y="739"/>
              <a:ext cx="14" cy="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60" name="Group 13">
              <a:extLst>
                <a:ext uri="{FF2B5EF4-FFF2-40B4-BE49-F238E27FC236}">
                  <a16:creationId xmlns:a16="http://schemas.microsoft.com/office/drawing/2014/main" id="{A3380D06-5D88-9878-07A7-22170A5E364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69" y="713"/>
              <a:ext cx="270" cy="162"/>
              <a:chOff x="568" y="713"/>
              <a:chExt cx="270" cy="162"/>
            </a:xfrm>
          </xdr:grpSpPr>
          <xdr:grpSp>
            <xdr:nvGrpSpPr>
              <xdr:cNvPr id="2261" name="Group 14">
                <a:extLst>
                  <a:ext uri="{FF2B5EF4-FFF2-40B4-BE49-F238E27FC236}">
                    <a16:creationId xmlns:a16="http://schemas.microsoft.com/office/drawing/2014/main" id="{80EE5FDB-640E-5D44-2116-FA36CBC32DC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568" y="729"/>
                <a:ext cx="257" cy="146"/>
                <a:chOff x="813" y="198"/>
                <a:chExt cx="257" cy="146"/>
              </a:xfrm>
            </xdr:grpSpPr>
            <xdr:sp macro="" textlink="">
              <xdr:nvSpPr>
                <xdr:cNvPr id="2270" name="Line 15">
                  <a:extLst>
                    <a:ext uri="{FF2B5EF4-FFF2-40B4-BE49-F238E27FC236}">
                      <a16:creationId xmlns:a16="http://schemas.microsoft.com/office/drawing/2014/main" id="{F31C20CA-F6D7-0C4C-94A6-0CA9AF390AB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814" y="198"/>
                  <a:ext cx="64" cy="34"/>
                </a:xfrm>
                <a:prstGeom prst="line">
                  <a:avLst/>
                </a:prstGeom>
                <a:noFill/>
                <a:ln w="9525">
                  <a:solidFill>
                    <a:srgbClr val="3366FF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271" name="Line 16">
                  <a:extLst>
                    <a:ext uri="{FF2B5EF4-FFF2-40B4-BE49-F238E27FC236}">
                      <a16:creationId xmlns:a16="http://schemas.microsoft.com/office/drawing/2014/main" id="{63DD58FA-636C-CA5A-A1AD-75BF989E0025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877" y="199"/>
                  <a:ext cx="64" cy="33"/>
                </a:xfrm>
                <a:prstGeom prst="line">
                  <a:avLst/>
                </a:prstGeom>
                <a:noFill/>
                <a:ln w="9525">
                  <a:solidFill>
                    <a:srgbClr val="3366FF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272" name="Line 17">
                  <a:extLst>
                    <a:ext uri="{FF2B5EF4-FFF2-40B4-BE49-F238E27FC236}">
                      <a16:creationId xmlns:a16="http://schemas.microsoft.com/office/drawing/2014/main" id="{51783544-0ACD-542A-6B44-7616D090D867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V="1">
                  <a:off x="942" y="199"/>
                  <a:ext cx="63" cy="33"/>
                </a:xfrm>
                <a:prstGeom prst="line">
                  <a:avLst/>
                </a:prstGeom>
                <a:noFill/>
                <a:ln w="9525">
                  <a:solidFill>
                    <a:srgbClr val="3366FF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273" name="Line 18">
                  <a:extLst>
                    <a:ext uri="{FF2B5EF4-FFF2-40B4-BE49-F238E27FC236}">
                      <a16:creationId xmlns:a16="http://schemas.microsoft.com/office/drawing/2014/main" id="{DA426ABF-9DD6-8BD6-BC9F-81BB6FFB665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1006" y="199"/>
                  <a:ext cx="63" cy="33"/>
                </a:xfrm>
                <a:prstGeom prst="line">
                  <a:avLst/>
                </a:prstGeom>
                <a:noFill/>
                <a:ln w="9525">
                  <a:solidFill>
                    <a:srgbClr val="3366FF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274" name="Line 19">
                  <a:extLst>
                    <a:ext uri="{FF2B5EF4-FFF2-40B4-BE49-F238E27FC236}">
                      <a16:creationId xmlns:a16="http://schemas.microsoft.com/office/drawing/2014/main" id="{156F859B-66F6-2BD0-964E-CB4BADFCF2C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813" y="249"/>
                  <a:ext cx="256" cy="0"/>
                </a:xfrm>
                <a:prstGeom prst="line">
                  <a:avLst/>
                </a:prstGeom>
                <a:noFill/>
                <a:ln w="9525">
                  <a:solidFill>
                    <a:srgbClr val="C0C0C0"/>
                  </a:solidFill>
                  <a:prstDash val="dash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275" name="Line 20">
                  <a:extLst>
                    <a:ext uri="{FF2B5EF4-FFF2-40B4-BE49-F238E27FC236}">
                      <a16:creationId xmlns:a16="http://schemas.microsoft.com/office/drawing/2014/main" id="{E488D23A-5A03-C0C7-37EB-7A1E6F19236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813" y="198"/>
                  <a:ext cx="0" cy="51"/>
                </a:xfrm>
                <a:prstGeom prst="line">
                  <a:avLst/>
                </a:prstGeom>
                <a:noFill/>
                <a:ln w="9525">
                  <a:solidFill>
                    <a:srgbClr val="C0C0C0"/>
                  </a:solidFill>
                  <a:prstDash val="dash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sp macro="" textlink="">
              <xdr:nvSpPr>
                <xdr:cNvPr id="2276" name="Line 21">
                  <a:extLst>
                    <a:ext uri="{FF2B5EF4-FFF2-40B4-BE49-F238E27FC236}">
                      <a16:creationId xmlns:a16="http://schemas.microsoft.com/office/drawing/2014/main" id="{3469011E-696A-E087-61D0-D8057BB9E44E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813" y="249"/>
                  <a:ext cx="0" cy="95"/>
                </a:xfrm>
                <a:prstGeom prst="line">
                  <a:avLst/>
                </a:prstGeom>
                <a:noFill/>
                <a:ln w="9525">
                  <a:solidFill>
                    <a:srgbClr val="C0C0C0"/>
                  </a:solidFill>
                  <a:prstDash val="dash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  <xdr:grpSp>
              <xdr:nvGrpSpPr>
                <xdr:cNvPr id="2277" name="Group 22">
                  <a:extLst>
                    <a:ext uri="{FF2B5EF4-FFF2-40B4-BE49-F238E27FC236}">
                      <a16:creationId xmlns:a16="http://schemas.microsoft.com/office/drawing/2014/main" id="{4B40F70B-066D-E686-4C1B-DD15B7184877}"/>
                    </a:ext>
                  </a:extLst>
                </xdr:cNvPr>
                <xdr:cNvGrpSpPr>
                  <a:grpSpLocks/>
                </xdr:cNvGrpSpPr>
              </xdr:nvGrpSpPr>
              <xdr:grpSpPr bwMode="auto">
                <a:xfrm>
                  <a:off x="813" y="266"/>
                  <a:ext cx="257" cy="51"/>
                  <a:chOff x="813" y="266"/>
                  <a:chExt cx="257" cy="51"/>
                </a:xfrm>
              </xdr:grpSpPr>
              <xdr:sp macro="" textlink="">
                <xdr:nvSpPr>
                  <xdr:cNvPr id="2279" name="Line 23">
                    <a:extLst>
                      <a:ext uri="{FF2B5EF4-FFF2-40B4-BE49-F238E27FC236}">
                        <a16:creationId xmlns:a16="http://schemas.microsoft.com/office/drawing/2014/main" id="{BE725437-104B-41BD-281A-2795B41979E8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877" y="267"/>
                    <a:ext cx="64" cy="33"/>
                  </a:xfrm>
                  <a:prstGeom prst="line">
                    <a:avLst/>
                  </a:prstGeom>
                  <a:noFill/>
                  <a:ln w="9525">
                    <a:solidFill>
                      <a:srgbClr val="008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280" name="Line 24">
                    <a:extLst>
                      <a:ext uri="{FF2B5EF4-FFF2-40B4-BE49-F238E27FC236}">
                        <a16:creationId xmlns:a16="http://schemas.microsoft.com/office/drawing/2014/main" id="{0AB62097-7235-00A3-7FBC-F843BC7C42F7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1005" y="267"/>
                    <a:ext cx="64" cy="33"/>
                  </a:xfrm>
                  <a:prstGeom prst="line">
                    <a:avLst/>
                  </a:prstGeom>
                  <a:noFill/>
                  <a:ln w="9525">
                    <a:solidFill>
                      <a:srgbClr val="008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281" name="Line 25">
                    <a:extLst>
                      <a:ext uri="{FF2B5EF4-FFF2-40B4-BE49-F238E27FC236}">
                        <a16:creationId xmlns:a16="http://schemas.microsoft.com/office/drawing/2014/main" id="{9835C264-A84E-80B9-40ED-0EFB566C0EB0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877" y="266"/>
                    <a:ext cx="0" cy="51"/>
                  </a:xfrm>
                  <a:prstGeom prst="line">
                    <a:avLst/>
                  </a:prstGeom>
                  <a:noFill/>
                  <a:ln w="9525">
                    <a:solidFill>
                      <a:srgbClr val="008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282" name="Line 26">
                    <a:extLst>
                      <a:ext uri="{FF2B5EF4-FFF2-40B4-BE49-F238E27FC236}">
                        <a16:creationId xmlns:a16="http://schemas.microsoft.com/office/drawing/2014/main" id="{CA81611D-F0D3-FEDB-61BF-1905FE020DE1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813" y="317"/>
                    <a:ext cx="64" cy="0"/>
                  </a:xfrm>
                  <a:prstGeom prst="line">
                    <a:avLst/>
                  </a:prstGeom>
                  <a:noFill/>
                  <a:ln w="9525">
                    <a:solidFill>
                      <a:srgbClr val="008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283" name="Line 27">
                    <a:extLst>
                      <a:ext uri="{FF2B5EF4-FFF2-40B4-BE49-F238E27FC236}">
                        <a16:creationId xmlns:a16="http://schemas.microsoft.com/office/drawing/2014/main" id="{5ADDC613-5CFB-A541-1C54-76B970E3A777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941" y="300"/>
                    <a:ext cx="0" cy="17"/>
                  </a:xfrm>
                  <a:prstGeom prst="line">
                    <a:avLst/>
                  </a:prstGeom>
                  <a:noFill/>
                  <a:ln w="9525">
                    <a:solidFill>
                      <a:srgbClr val="008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284" name="Line 28">
                    <a:extLst>
                      <a:ext uri="{FF2B5EF4-FFF2-40B4-BE49-F238E27FC236}">
                        <a16:creationId xmlns:a16="http://schemas.microsoft.com/office/drawing/2014/main" id="{33C53D78-E059-28B3-28D8-21BEE8074F99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941" y="317"/>
                    <a:ext cx="64" cy="0"/>
                  </a:xfrm>
                  <a:prstGeom prst="line">
                    <a:avLst/>
                  </a:prstGeom>
                  <a:noFill/>
                  <a:ln w="9525">
                    <a:solidFill>
                      <a:srgbClr val="008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285" name="Line 29">
                    <a:extLst>
                      <a:ext uri="{FF2B5EF4-FFF2-40B4-BE49-F238E27FC236}">
                        <a16:creationId xmlns:a16="http://schemas.microsoft.com/office/drawing/2014/main" id="{A427F163-E31E-1B15-9701-66DB2758092B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1069" y="300"/>
                    <a:ext cx="0" cy="17"/>
                  </a:xfrm>
                  <a:prstGeom prst="line">
                    <a:avLst/>
                  </a:prstGeom>
                  <a:noFill/>
                  <a:ln w="9525">
                    <a:solidFill>
                      <a:srgbClr val="008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286" name="Line 30">
                    <a:extLst>
                      <a:ext uri="{FF2B5EF4-FFF2-40B4-BE49-F238E27FC236}">
                        <a16:creationId xmlns:a16="http://schemas.microsoft.com/office/drawing/2014/main" id="{6569EDFC-7A90-26E1-7E91-71D04952282F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813" y="297"/>
                    <a:ext cx="257" cy="0"/>
                  </a:xfrm>
                  <a:prstGeom prst="line">
                    <a:avLst/>
                  </a:prstGeom>
                  <a:noFill/>
                  <a:ln w="9525" cap="rnd">
                    <a:solidFill>
                      <a:srgbClr val="008000"/>
                    </a:solidFill>
                    <a:prstDash val="sysDot"/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  <xdr:sp macro="" textlink="">
                <xdr:nvSpPr>
                  <xdr:cNvPr id="2287" name="Line 31">
                    <a:extLst>
                      <a:ext uri="{FF2B5EF4-FFF2-40B4-BE49-F238E27FC236}">
                        <a16:creationId xmlns:a16="http://schemas.microsoft.com/office/drawing/2014/main" id="{71FF9A4E-0835-3395-CBEB-CF362D8990F6}"/>
                      </a:ext>
                    </a:extLst>
                  </xdr:cNvPr>
                  <xdr:cNvSpPr>
                    <a:spLocks noChangeShapeType="1"/>
                  </xdr:cNvSpPr>
                </xdr:nvSpPr>
                <xdr:spPr bwMode="auto">
                  <a:xfrm>
                    <a:off x="1005" y="266"/>
                    <a:ext cx="0" cy="51"/>
                  </a:xfrm>
                  <a:prstGeom prst="line">
                    <a:avLst/>
                  </a:prstGeom>
                  <a:noFill/>
                  <a:ln w="9525">
                    <a:solidFill>
                      <a:srgbClr val="008000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noFill/>
                      </a14:hiddenFill>
                    </a:ext>
                  </a:extLst>
                </xdr:spPr>
              </xdr:sp>
            </xdr:grpSp>
            <xdr:sp macro="" textlink="">
              <xdr:nvSpPr>
                <xdr:cNvPr id="2278" name="Line 32">
                  <a:extLst>
                    <a:ext uri="{FF2B5EF4-FFF2-40B4-BE49-F238E27FC236}">
                      <a16:creationId xmlns:a16="http://schemas.microsoft.com/office/drawing/2014/main" id="{D4569FC8-49C0-BED3-5D07-34444C3ED68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813" y="320"/>
                  <a:ext cx="256" cy="0"/>
                </a:xfrm>
                <a:prstGeom prst="line">
                  <a:avLst/>
                </a:prstGeom>
                <a:noFill/>
                <a:ln w="9525">
                  <a:solidFill>
                    <a:srgbClr val="C0C0C0"/>
                  </a:solidFill>
                  <a:prstDash val="dash"/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sp>
          </xdr:grpSp>
          <xdr:sp macro="" textlink="">
            <xdr:nvSpPr>
              <xdr:cNvPr id="2081" name="Text Box 33">
                <a:extLst>
                  <a:ext uri="{FF2B5EF4-FFF2-40B4-BE49-F238E27FC236}">
                    <a16:creationId xmlns:a16="http://schemas.microsoft.com/office/drawing/2014/main" id="{C9359526-EE2D-E4A6-A73B-8C167997BB8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95" y="721"/>
                <a:ext cx="18" cy="3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27432" tIns="27432" rIns="0" bIns="0" anchor="t" upright="1"/>
              <a:lstStyle/>
              <a:p>
                <a:pPr algn="l" rtl="0">
                  <a:defRPr sz="1000"/>
                </a:pPr>
                <a:r>
                  <a:rPr lang="en-US" sz="10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i</a:t>
                </a:r>
                <a:r>
                  <a:rPr lang="en-US" sz="100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L</a:t>
                </a:r>
              </a:p>
            </xdr:txBody>
          </xdr:sp>
          <xdr:sp macro="" textlink="">
            <xdr:nvSpPr>
              <xdr:cNvPr id="2082" name="Text Box 34">
                <a:extLst>
                  <a:ext uri="{FF2B5EF4-FFF2-40B4-BE49-F238E27FC236}">
                    <a16:creationId xmlns:a16="http://schemas.microsoft.com/office/drawing/2014/main" id="{00A18F2B-B306-906D-1E4C-CBAF49AE237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78" y="787"/>
                <a:ext cx="45" cy="3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27432" tIns="27432" rIns="0" bIns="0" anchor="t" upright="1"/>
              <a:lstStyle/>
              <a:p>
                <a:pPr algn="l" rtl="0">
                  <a:defRPr sz="1000"/>
                </a:pPr>
                <a:r>
                  <a:rPr lang="en-US" sz="10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i</a:t>
                </a:r>
                <a:r>
                  <a:rPr lang="en-US" sz="100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Diode</a:t>
                </a:r>
              </a:p>
            </xdr:txBody>
          </xdr:sp>
          <xdr:sp macro="" textlink="">
            <xdr:nvSpPr>
              <xdr:cNvPr id="2083" name="Text Box 35">
                <a:extLst>
                  <a:ext uri="{FF2B5EF4-FFF2-40B4-BE49-F238E27FC236}">
                    <a16:creationId xmlns:a16="http://schemas.microsoft.com/office/drawing/2014/main" id="{3D249283-2853-6F3D-7567-C107D960EA8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71" y="788"/>
                <a:ext cx="103" cy="32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27432" tIns="27432" rIns="0" bIns="0" anchor="t" upright="1"/>
              <a:lstStyle/>
              <a:p>
                <a:pPr algn="l" rtl="0">
                  <a:defRPr sz="1000"/>
                </a:pPr>
                <a:r>
                  <a:rPr lang="en-US" sz="10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i</a:t>
                </a:r>
                <a:r>
                  <a:rPr lang="en-US" sz="100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Out=</a:t>
                </a:r>
                <a:r>
                  <a:rPr lang="en-US" sz="10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i</a:t>
                </a:r>
                <a:r>
                  <a:rPr lang="en-US" sz="100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Diode,avg</a:t>
                </a:r>
              </a:p>
            </xdr:txBody>
          </xdr:sp>
          <xdr:sp macro="" textlink="">
            <xdr:nvSpPr>
              <xdr:cNvPr id="2265" name="Line 36">
                <a:extLst>
                  <a:ext uri="{FF2B5EF4-FFF2-40B4-BE49-F238E27FC236}">
                    <a16:creationId xmlns:a16="http://schemas.microsoft.com/office/drawing/2014/main" id="{F24B425F-E214-4731-04B0-8DEEF3E0B30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68" y="728"/>
                <a:ext cx="59" cy="0"/>
              </a:xfrm>
              <a:prstGeom prst="line">
                <a:avLst/>
              </a:prstGeom>
              <a:noFill/>
              <a:ln w="9525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6" name="Line 37">
                <a:extLst>
                  <a:ext uri="{FF2B5EF4-FFF2-40B4-BE49-F238E27FC236}">
                    <a16:creationId xmlns:a16="http://schemas.microsoft.com/office/drawing/2014/main" id="{E8F7942C-DB58-EA91-64F5-8C8C5E00FEA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69" y="763"/>
                <a:ext cx="59" cy="0"/>
              </a:xfrm>
              <a:prstGeom prst="line">
                <a:avLst/>
              </a:prstGeom>
              <a:noFill/>
              <a:ln w="9525" cap="rnd">
                <a:solidFill>
                  <a:srgbClr val="000000"/>
                </a:solidFill>
                <a:prstDash val="sysDot"/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38">
                <a:extLst>
                  <a:ext uri="{FF2B5EF4-FFF2-40B4-BE49-F238E27FC236}">
                    <a16:creationId xmlns:a16="http://schemas.microsoft.com/office/drawing/2014/main" id="{DE602DDC-F73A-B38B-8402-5F4E60D9E8A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96" y="713"/>
                <a:ext cx="0" cy="15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8" name="Line 39">
                <a:extLst>
                  <a:ext uri="{FF2B5EF4-FFF2-40B4-BE49-F238E27FC236}">
                    <a16:creationId xmlns:a16="http://schemas.microsoft.com/office/drawing/2014/main" id="{1DC5104A-B503-7B13-4419-B74A02878DA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796" y="763"/>
                <a:ext cx="0" cy="13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88" name="Text Box 40">
                <a:extLst>
                  <a:ext uri="{FF2B5EF4-FFF2-40B4-BE49-F238E27FC236}">
                    <a16:creationId xmlns:a16="http://schemas.microsoft.com/office/drawing/2014/main" id="{2981274B-31CE-F52C-1635-B7B34633CC9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785" y="729"/>
                <a:ext cx="53" cy="3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27432" tIns="27432" rIns="0" bIns="0" anchor="t" upright="1"/>
              <a:lstStyle/>
              <a:p>
                <a:pPr algn="l" rtl="0">
                  <a:defRPr sz="1000"/>
                </a:pPr>
                <a:r>
                  <a:rPr lang="en-US" sz="10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i</a:t>
                </a:r>
                <a:r>
                  <a:rPr lang="en-US" sz="1000" b="1" i="1" u="none" strike="noStrike" baseline="-25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L,ripple</a:t>
                </a:r>
              </a:p>
            </xdr:txBody>
          </xdr:sp>
        </xdr:grpSp>
      </xdr:grpSp>
      <xdr:sp macro="" textlink="">
        <xdr:nvSpPr>
          <xdr:cNvPr id="2257" name="Line 41">
            <a:extLst>
              <a:ext uri="{FF2B5EF4-FFF2-40B4-BE49-F238E27FC236}">
                <a16:creationId xmlns:a16="http://schemas.microsoft.com/office/drawing/2014/main" id="{EB2E4E0B-1018-CBF9-0AEC-990A97CF9925}"/>
              </a:ext>
            </a:extLst>
          </xdr:cNvPr>
          <xdr:cNvSpPr>
            <a:spLocks noChangeShapeType="1"/>
          </xdr:cNvSpPr>
        </xdr:nvSpPr>
        <xdr:spPr bwMode="auto">
          <a:xfrm>
            <a:off x="885" y="938"/>
            <a:ext cx="6" cy="1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466725</xdr:colOff>
          <xdr:row>68</xdr:row>
          <xdr:rowOff>0</xdr:rowOff>
        </xdr:from>
        <xdr:to>
          <xdr:col>12</xdr:col>
          <xdr:colOff>133350</xdr:colOff>
          <xdr:row>72</xdr:row>
          <xdr:rowOff>123825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D806C1FE-8B36-70C1-0782-7E149417E6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28</xdr:row>
          <xdr:rowOff>9525</xdr:rowOff>
        </xdr:from>
        <xdr:to>
          <xdr:col>13</xdr:col>
          <xdr:colOff>552450</xdr:colOff>
          <xdr:row>29</xdr:row>
          <xdr:rowOff>0</xdr:rowOff>
        </xdr:to>
        <xdr:sp macro="" textlink="">
          <xdr:nvSpPr>
            <xdr:cNvPr id="2137" name="ScrollBar1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BF3AD1A5-F8E6-DC3E-AC98-CC3CBE082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28</xdr:row>
          <xdr:rowOff>152400</xdr:rowOff>
        </xdr:from>
        <xdr:to>
          <xdr:col>13</xdr:col>
          <xdr:colOff>552450</xdr:colOff>
          <xdr:row>29</xdr:row>
          <xdr:rowOff>152400</xdr:rowOff>
        </xdr:to>
        <xdr:sp macro="" textlink="">
          <xdr:nvSpPr>
            <xdr:cNvPr id="2138" name="ScrollBar2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49CDBB31-A004-4AD5-FFAE-AB53FEB1F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oleObject" Target="../embeddings/oleObject3.bin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D980-B995-4324-9400-03A15B093B77}">
  <sheetPr codeName="Sheet1"/>
  <dimension ref="A1:BZ158"/>
  <sheetViews>
    <sheetView showGridLines="0" topLeftCell="A23" zoomScale="85" zoomScaleNormal="85" workbookViewId="0">
      <selection activeCell="B69" sqref="B69"/>
    </sheetView>
  </sheetViews>
  <sheetFormatPr defaultRowHeight="12.75" x14ac:dyDescent="0.2"/>
  <cols>
    <col min="1" max="1" width="14.7109375" customWidth="1"/>
    <col min="2" max="2" width="10.140625" customWidth="1"/>
    <col min="6" max="6" width="21.7109375" customWidth="1"/>
  </cols>
  <sheetData>
    <row r="1" spans="1:18" ht="18" x14ac:dyDescent="0.25">
      <c r="A1" s="1" t="s">
        <v>0</v>
      </c>
      <c r="R1" t="s">
        <v>119</v>
      </c>
    </row>
    <row r="2" spans="1:18" x14ac:dyDescent="0.2">
      <c r="A2" s="2"/>
    </row>
    <row r="3" spans="1:18" ht="15.75" x14ac:dyDescent="0.25">
      <c r="A3" s="2"/>
      <c r="H3" s="3" t="s">
        <v>115</v>
      </c>
      <c r="K3" s="77" t="s">
        <v>3</v>
      </c>
    </row>
    <row r="4" spans="1:18" hidden="1" x14ac:dyDescent="0.2">
      <c r="A4" s="2"/>
      <c r="F4" s="55"/>
      <c r="G4" s="56"/>
      <c r="H4" s="56"/>
      <c r="I4" s="55" t="b">
        <f>EXACT(K3,I5)</f>
        <v>0</v>
      </c>
      <c r="J4" s="55" t="b">
        <f>EXACT(K3,J5)</f>
        <v>1</v>
      </c>
      <c r="K4" s="55" t="b">
        <f>EXACT(K3,K5)</f>
        <v>0</v>
      </c>
      <c r="L4" s="55"/>
      <c r="M4" s="55"/>
      <c r="N4" s="54"/>
    </row>
    <row r="5" spans="1:18" x14ac:dyDescent="0.2">
      <c r="A5" s="2"/>
      <c r="G5" s="87" t="s">
        <v>2</v>
      </c>
      <c r="H5" s="87"/>
      <c r="I5" s="87" t="s">
        <v>1</v>
      </c>
      <c r="J5" s="87" t="s">
        <v>3</v>
      </c>
      <c r="K5" s="87" t="s">
        <v>4</v>
      </c>
      <c r="L5" s="87" t="s">
        <v>114</v>
      </c>
      <c r="M5" s="54"/>
      <c r="N5" s="54"/>
    </row>
    <row r="6" spans="1:18" x14ac:dyDescent="0.2">
      <c r="A6" s="2"/>
      <c r="G6" s="57" t="s">
        <v>5</v>
      </c>
      <c r="H6" s="57"/>
      <c r="I6" s="57">
        <v>107</v>
      </c>
      <c r="J6" s="57">
        <v>123</v>
      </c>
      <c r="K6" s="57">
        <v>47</v>
      </c>
      <c r="L6" s="89">
        <v>90</v>
      </c>
      <c r="M6" s="54" t="s">
        <v>86</v>
      </c>
      <c r="N6" s="54"/>
    </row>
    <row r="7" spans="1:18" x14ac:dyDescent="0.2">
      <c r="A7" s="2"/>
      <c r="G7" s="57" t="s">
        <v>6</v>
      </c>
      <c r="H7" s="57"/>
      <c r="I7" s="57">
        <v>150</v>
      </c>
      <c r="J7" s="57">
        <v>150</v>
      </c>
      <c r="K7" s="57">
        <v>150</v>
      </c>
      <c r="L7" s="57">
        <v>150</v>
      </c>
      <c r="M7" s="54"/>
      <c r="N7" s="54"/>
    </row>
    <row r="8" spans="1:18" ht="14.25" customHeight="1" x14ac:dyDescent="0.2">
      <c r="A8" s="2"/>
      <c r="G8" s="57" t="s">
        <v>7</v>
      </c>
      <c r="H8" s="57"/>
      <c r="I8" s="57">
        <v>0.95</v>
      </c>
      <c r="J8" s="57">
        <v>0.625</v>
      </c>
      <c r="K8" s="57">
        <v>1.2</v>
      </c>
      <c r="L8" s="89">
        <v>0.625</v>
      </c>
      <c r="M8" s="54"/>
      <c r="N8" s="54"/>
    </row>
    <row r="9" spans="1:18" hidden="1" x14ac:dyDescent="0.2">
      <c r="A9" s="2"/>
      <c r="G9" s="53">
        <f>IF($I$4,I6,IF($J$4,J6,IF($K$4,K6,L6)))</f>
        <v>123</v>
      </c>
      <c r="H9" s="53"/>
      <c r="I9" s="54"/>
      <c r="J9" s="54"/>
      <c r="K9" s="54"/>
      <c r="L9" s="54"/>
      <c r="M9" s="54"/>
      <c r="N9" s="54"/>
    </row>
    <row r="10" spans="1:18" hidden="1" x14ac:dyDescent="0.2">
      <c r="A10" s="2"/>
      <c r="G10" s="53">
        <f>IF($I$4,I8,IF($J$4,J8,IF($K$4,K8,L8)))</f>
        <v>0.625</v>
      </c>
      <c r="H10" s="53"/>
      <c r="I10" s="54"/>
      <c r="J10" s="54"/>
      <c r="K10" s="54"/>
      <c r="L10" s="54"/>
      <c r="M10" s="54"/>
      <c r="N10" s="54"/>
    </row>
    <row r="11" spans="1:18" x14ac:dyDescent="0.2">
      <c r="A11" s="2"/>
      <c r="I11" s="54"/>
      <c r="J11" s="54"/>
      <c r="K11" s="54"/>
      <c r="L11" s="54"/>
      <c r="M11" s="54"/>
      <c r="N11" s="54"/>
      <c r="O11" s="53" t="str">
        <f>IF($I$4," PCB one-layer, size: 28 x 44 mm, 35um copper thickness, 1107 sqmm copper area",IF($J$4,"PCB one-layer, size: 28 x 41 mm,35um copper thickness, 840 sqmm copper area",IF($K$4,"PCB one-layer, size 52 x 52 mm, 35 um copper thickness, 2582 sqmm copper area","Fill in the Rthja value and Pdmax value related to your PCB")))</f>
        <v>PCB one-layer, size: 28 x 41 mm,35um copper thickness, 840 sqmm copper area</v>
      </c>
      <c r="P11" s="54"/>
    </row>
    <row r="12" spans="1:18" x14ac:dyDescent="0.2">
      <c r="A12" s="2"/>
      <c r="G12" s="6"/>
      <c r="H12" s="6"/>
    </row>
    <row r="13" spans="1:18" x14ac:dyDescent="0.2">
      <c r="A13" s="2"/>
      <c r="G13" s="6" t="s">
        <v>103</v>
      </c>
      <c r="H13" s="6"/>
    </row>
    <row r="14" spans="1:18" x14ac:dyDescent="0.2">
      <c r="A14" s="2"/>
      <c r="G14" s="15" t="s">
        <v>23</v>
      </c>
      <c r="H14" s="90">
        <f>150-(B95*G9)</f>
        <v>97.880496589810846</v>
      </c>
      <c r="I14" s="15" t="s">
        <v>24</v>
      </c>
      <c r="J14" t="str">
        <f>IF(H14&lt;25,"&lt;-- Very hot application","&lt;-- Maximum ambient temperature")</f>
        <v>&lt;-- Maximum ambient temperature</v>
      </c>
      <c r="K14" s="22"/>
      <c r="L14" s="22"/>
    </row>
    <row r="15" spans="1:18" x14ac:dyDescent="0.2">
      <c r="A15" s="2"/>
      <c r="G15" s="28" t="s">
        <v>27</v>
      </c>
      <c r="H15" s="92">
        <f>B95</f>
        <v>0.42373580008283862</v>
      </c>
      <c r="I15" s="5" t="s">
        <v>28</v>
      </c>
      <c r="J15" s="85" t="str">
        <f>IF(H15&gt;G10,"&lt;-- High Power Dissipation!!! ","&lt;-- Power Dissipation at the device")</f>
        <v>&lt;-- Power Dissipation at the device</v>
      </c>
      <c r="K15" s="86"/>
      <c r="L15" s="85"/>
      <c r="M15" s="85"/>
      <c r="N15" s="85"/>
      <c r="O15" s="85"/>
      <c r="P15" s="85"/>
    </row>
    <row r="16" spans="1:18" x14ac:dyDescent="0.2">
      <c r="A16" s="2"/>
    </row>
    <row r="17" spans="1:12" x14ac:dyDescent="0.2">
      <c r="A17" s="2"/>
      <c r="G17" t="s">
        <v>117</v>
      </c>
    </row>
    <row r="18" spans="1:12" x14ac:dyDescent="0.2">
      <c r="A18" s="2"/>
      <c r="G18" t="s">
        <v>118</v>
      </c>
    </row>
    <row r="19" spans="1:12" x14ac:dyDescent="0.2">
      <c r="A19" s="2"/>
      <c r="G19" t="s">
        <v>106</v>
      </c>
    </row>
    <row r="20" spans="1:12" x14ac:dyDescent="0.2">
      <c r="A20" s="2"/>
    </row>
    <row r="21" spans="1:12" x14ac:dyDescent="0.2">
      <c r="A21" s="2"/>
    </row>
    <row r="22" spans="1:12" ht="15.75" x14ac:dyDescent="0.25">
      <c r="A22" s="84" t="s">
        <v>8</v>
      </c>
      <c r="B22" s="7"/>
    </row>
    <row r="23" spans="1:12" x14ac:dyDescent="0.2">
      <c r="A23" s="8"/>
    </row>
    <row r="24" spans="1:12" x14ac:dyDescent="0.2">
      <c r="A24" s="9"/>
      <c r="B24" s="10" t="s">
        <v>9</v>
      </c>
      <c r="C24" s="10"/>
    </row>
    <row r="25" spans="1:12" x14ac:dyDescent="0.2">
      <c r="A25" s="11"/>
      <c r="B25" s="10" t="s">
        <v>10</v>
      </c>
      <c r="C25" s="10"/>
    </row>
    <row r="26" spans="1:12" x14ac:dyDescent="0.2">
      <c r="A26" s="67"/>
      <c r="B26" s="10" t="s">
        <v>102</v>
      </c>
    </row>
    <row r="27" spans="1:12" x14ac:dyDescent="0.2">
      <c r="A27" s="12"/>
      <c r="B27" s="13"/>
      <c r="C27" s="14" t="s">
        <v>11</v>
      </c>
      <c r="L27" t="s">
        <v>104</v>
      </c>
    </row>
    <row r="28" spans="1:12" x14ac:dyDescent="0.2">
      <c r="A28" s="15" t="s">
        <v>12</v>
      </c>
      <c r="B28" s="74">
        <v>24</v>
      </c>
      <c r="C28" s="15" t="s">
        <v>13</v>
      </c>
      <c r="D28" t="str">
        <f>IF(B28-B38-0.5&lt;B29,"    Low Input Voltage","&lt;-- Worst Case Input Voltage (usually minimum Vin)")</f>
        <v>&lt;-- Worst Case Input Voltage (usually minimum Vin)</v>
      </c>
      <c r="H28" s="16" t="s">
        <v>111</v>
      </c>
    </row>
    <row r="29" spans="1:12" x14ac:dyDescent="0.2">
      <c r="A29" s="15" t="s">
        <v>14</v>
      </c>
      <c r="B29" s="74">
        <v>5</v>
      </c>
      <c r="C29" s="15" t="s">
        <v>13</v>
      </c>
      <c r="D29" t="s">
        <v>15</v>
      </c>
      <c r="H29" s="16" t="s">
        <v>16</v>
      </c>
    </row>
    <row r="30" spans="1:12" x14ac:dyDescent="0.2">
      <c r="A30" s="15" t="s">
        <v>17</v>
      </c>
      <c r="B30" s="74">
        <v>0.8</v>
      </c>
      <c r="C30" s="15" t="s">
        <v>18</v>
      </c>
      <c r="D30" t="str">
        <f>IF(B66&lt;1.5,"&lt;-- Desired Output Current","WARING: Requested Output Current is out of allowed range")</f>
        <v>&lt;-- Desired Output Current</v>
      </c>
      <c r="H30" s="17"/>
      <c r="I30" s="18"/>
    </row>
    <row r="31" spans="1:12" x14ac:dyDescent="0.2">
      <c r="A31" s="15" t="s">
        <v>19</v>
      </c>
      <c r="B31" s="91">
        <f>B33*100</f>
        <v>24.161259146762394</v>
      </c>
      <c r="C31" s="44" t="s">
        <v>33</v>
      </c>
      <c r="D31" t="s">
        <v>116</v>
      </c>
    </row>
    <row r="32" spans="1:12" x14ac:dyDescent="0.2">
      <c r="A32" s="46"/>
      <c r="B32" s="59"/>
      <c r="C32" s="21"/>
    </row>
    <row r="33" spans="1:78" hidden="1" x14ac:dyDescent="0.2">
      <c r="A33" s="20"/>
      <c r="B33" s="58">
        <f>B64/(B64+B77)</f>
        <v>0.24161259146762393</v>
      </c>
      <c r="C33" s="21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</row>
    <row r="34" spans="1:78" ht="15.75" x14ac:dyDescent="0.25">
      <c r="A34" s="82" t="s">
        <v>20</v>
      </c>
      <c r="B34" s="24"/>
      <c r="C34" s="24"/>
      <c r="D34" s="22"/>
      <c r="E34" s="22"/>
      <c r="F34" s="22"/>
      <c r="G34" s="22"/>
      <c r="H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</row>
    <row r="35" spans="1:78" x14ac:dyDescent="0.2">
      <c r="A35" s="25"/>
      <c r="B35" s="24"/>
      <c r="C35" s="24"/>
      <c r="D35" s="22"/>
      <c r="E35" s="22"/>
      <c r="F35" s="22"/>
      <c r="G35" s="22"/>
      <c r="H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</row>
    <row r="36" spans="1:78" x14ac:dyDescent="0.2">
      <c r="A36" s="24"/>
      <c r="B36" s="24"/>
      <c r="C36" s="14" t="s">
        <v>11</v>
      </c>
      <c r="D36" s="22"/>
      <c r="E36" s="22"/>
      <c r="F36" s="22"/>
      <c r="G36" s="22"/>
      <c r="H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</row>
    <row r="37" spans="1:78" x14ac:dyDescent="0.2">
      <c r="A37" s="15" t="s">
        <v>21</v>
      </c>
      <c r="B37" s="74">
        <v>0.6</v>
      </c>
      <c r="C37" s="15" t="s">
        <v>13</v>
      </c>
      <c r="D37" t="s">
        <v>22</v>
      </c>
    </row>
    <row r="38" spans="1:78" x14ac:dyDescent="0.2">
      <c r="A38" s="26" t="s">
        <v>25</v>
      </c>
      <c r="B38" s="90">
        <f>0.225*B66+1.21</f>
        <v>1.4223999999999999</v>
      </c>
      <c r="C38" s="27" t="s">
        <v>13</v>
      </c>
      <c r="D38" t="s">
        <v>26</v>
      </c>
    </row>
    <row r="39" spans="1:78" x14ac:dyDescent="0.2">
      <c r="A39" s="24"/>
      <c r="B39" s="73" t="s">
        <v>101</v>
      </c>
      <c r="C39" s="24"/>
      <c r="E39" s="10" t="s">
        <v>29</v>
      </c>
    </row>
    <row r="40" spans="1:78" x14ac:dyDescent="0.2">
      <c r="A40" s="24"/>
      <c r="B40" s="24"/>
      <c r="C40" s="24"/>
      <c r="D40" s="22"/>
      <c r="E40" s="30" t="s">
        <v>30</v>
      </c>
      <c r="F40" s="22"/>
      <c r="G40" s="22"/>
      <c r="H40" s="22"/>
      <c r="I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</row>
    <row r="41" spans="1:78" x14ac:dyDescent="0.2">
      <c r="A41" s="24"/>
      <c r="B41" s="24"/>
      <c r="C41" s="24"/>
      <c r="D41" s="22"/>
      <c r="E41" s="30"/>
      <c r="F41" s="22"/>
      <c r="G41" s="22"/>
      <c r="H41" s="22"/>
      <c r="I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</row>
    <row r="42" spans="1:78" ht="15.75" x14ac:dyDescent="0.25">
      <c r="A42" s="71" t="s">
        <v>100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</row>
    <row r="43" spans="1:78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</row>
    <row r="44" spans="1:78" x14ac:dyDescent="0.2">
      <c r="A44" s="2" t="s">
        <v>107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</row>
    <row r="45" spans="1:78" x14ac:dyDescent="0.2">
      <c r="A45" s="2" t="s">
        <v>31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</row>
    <row r="46" spans="1:78" x14ac:dyDescent="0.2">
      <c r="A46" s="2" t="s">
        <v>109</v>
      </c>
      <c r="B46" s="24"/>
      <c r="C46" s="24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</row>
    <row r="47" spans="1:78" x14ac:dyDescent="0.2">
      <c r="A47" s="2"/>
      <c r="B47" s="24"/>
      <c r="C47" s="24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</row>
    <row r="48" spans="1:78" x14ac:dyDescent="0.2">
      <c r="A48" s="31"/>
      <c r="B48" s="31"/>
      <c r="C48" s="14" t="s">
        <v>11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</row>
    <row r="49" spans="1:78" x14ac:dyDescent="0.2">
      <c r="A49" s="32" t="s">
        <v>32</v>
      </c>
      <c r="B49" s="75">
        <v>36</v>
      </c>
      <c r="C49" s="27" t="s">
        <v>33</v>
      </c>
      <c r="D49" t="s">
        <v>34</v>
      </c>
    </row>
    <row r="50" spans="1:78" x14ac:dyDescent="0.2">
      <c r="A50" s="27" t="s">
        <v>35</v>
      </c>
      <c r="B50" s="76">
        <f>B30*B49/100</f>
        <v>0.28800000000000003</v>
      </c>
      <c r="C50" s="27" t="s">
        <v>18</v>
      </c>
      <c r="D50" t="s">
        <v>36</v>
      </c>
    </row>
    <row r="51" spans="1:78" hidden="1" x14ac:dyDescent="0.2">
      <c r="A51" s="24"/>
      <c r="B51" s="29"/>
      <c r="C51" s="24"/>
    </row>
    <row r="52" spans="1:78" x14ac:dyDescent="0.2">
      <c r="A52" s="24"/>
      <c r="B52" s="24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</row>
    <row r="53" spans="1:78" ht="15.75" x14ac:dyDescent="0.25">
      <c r="A53" s="82" t="s">
        <v>37</v>
      </c>
      <c r="B53" s="24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</row>
    <row r="54" spans="1:78" x14ac:dyDescent="0.2">
      <c r="A54" s="24"/>
      <c r="B54" s="24"/>
      <c r="C54" s="14" t="s">
        <v>11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</row>
    <row r="55" spans="1:78" x14ac:dyDescent="0.2">
      <c r="A55" s="15" t="s">
        <v>38</v>
      </c>
      <c r="B55" s="77">
        <v>80</v>
      </c>
      <c r="C55" s="33" t="s">
        <v>39</v>
      </c>
      <c r="D55" s="103" t="s">
        <v>40</v>
      </c>
      <c r="E55" s="34"/>
      <c r="F55" s="34"/>
      <c r="G55" s="34"/>
      <c r="H55" s="34"/>
      <c r="I55" s="34"/>
      <c r="J55" s="34"/>
      <c r="K55" s="34"/>
      <c r="L55" s="34"/>
    </row>
    <row r="56" spans="1:78" s="62" customFormat="1" hidden="1" x14ac:dyDescent="0.2">
      <c r="A56" s="26"/>
      <c r="B56" s="35">
        <f>B55*1000</f>
        <v>80000</v>
      </c>
      <c r="C56" s="104"/>
    </row>
    <row r="57" spans="1:78" x14ac:dyDescent="0.2">
      <c r="A57" s="101" t="s">
        <v>112</v>
      </c>
      <c r="B57" s="105">
        <f>40*B63</f>
        <v>120.80629573381195</v>
      </c>
      <c r="C57" s="102" t="s">
        <v>120</v>
      </c>
      <c r="K57" s="38" t="s">
        <v>41</v>
      </c>
    </row>
    <row r="58" spans="1:78" x14ac:dyDescent="0.2">
      <c r="K58" s="38" t="s">
        <v>42</v>
      </c>
    </row>
    <row r="59" spans="1:78" ht="15.75" x14ac:dyDescent="0.25">
      <c r="A59" s="82" t="s">
        <v>43</v>
      </c>
      <c r="B59" s="39"/>
      <c r="C59" s="39"/>
    </row>
    <row r="60" spans="1:78" x14ac:dyDescent="0.2">
      <c r="A60" s="2"/>
      <c r="K60" s="40"/>
    </row>
    <row r="61" spans="1:78" x14ac:dyDescent="0.2">
      <c r="A61" s="31"/>
      <c r="B61" s="41"/>
      <c r="C61" s="14" t="s">
        <v>11</v>
      </c>
      <c r="K61" s="42"/>
    </row>
    <row r="62" spans="1:78" x14ac:dyDescent="0.2">
      <c r="A62" s="43" t="s">
        <v>44</v>
      </c>
      <c r="B62" s="94">
        <f>(B29+B37)/(B28-B38-B29)</f>
        <v>0.3185872929182596</v>
      </c>
      <c r="C62" s="44"/>
    </row>
    <row r="63" spans="1:78" x14ac:dyDescent="0.2">
      <c r="A63" s="26" t="s">
        <v>45</v>
      </c>
      <c r="B63" s="95">
        <f>B64*1000000</f>
        <v>3.0201573933452988</v>
      </c>
      <c r="C63" s="44" t="s">
        <v>87</v>
      </c>
      <c r="E63" s="40"/>
      <c r="K63" s="40"/>
    </row>
    <row r="64" spans="1:78" hidden="1" x14ac:dyDescent="0.2">
      <c r="A64" s="26"/>
      <c r="B64" s="96">
        <f>B62/(B56*(B62+1))</f>
        <v>3.0201573933452987E-6</v>
      </c>
      <c r="C64" s="44"/>
      <c r="K64" s="40"/>
    </row>
    <row r="65" spans="1:78" x14ac:dyDescent="0.2">
      <c r="A65" s="15" t="s">
        <v>46</v>
      </c>
      <c r="B65" s="90">
        <f>B30</f>
        <v>0.8</v>
      </c>
      <c r="C65" s="44" t="s">
        <v>18</v>
      </c>
      <c r="D65" t="s">
        <v>47</v>
      </c>
      <c r="K65" s="40"/>
    </row>
    <row r="66" spans="1:78" x14ac:dyDescent="0.2">
      <c r="A66" s="15" t="s">
        <v>48</v>
      </c>
      <c r="B66" s="90">
        <f>B65+(B50/2)</f>
        <v>0.94400000000000006</v>
      </c>
      <c r="C66" s="44" t="s">
        <v>18</v>
      </c>
      <c r="D66" t="s">
        <v>49</v>
      </c>
      <c r="K66" s="40"/>
      <c r="L66" s="22"/>
      <c r="M66" s="22"/>
      <c r="N66" s="22"/>
      <c r="O66" s="22"/>
      <c r="P66" s="22"/>
      <c r="Q66" s="22"/>
    </row>
    <row r="67" spans="1:78" x14ac:dyDescent="0.2">
      <c r="A67" s="2"/>
      <c r="B67" s="37"/>
      <c r="C67" s="2"/>
      <c r="L67" s="22"/>
      <c r="M67" s="22"/>
      <c r="N67" s="22"/>
      <c r="O67" s="22"/>
      <c r="P67" s="22"/>
      <c r="Q67" s="22"/>
    </row>
    <row r="68" spans="1:78" x14ac:dyDescent="0.2">
      <c r="A68" s="46"/>
      <c r="B68" s="21"/>
      <c r="C68" s="47" t="s">
        <v>11</v>
      </c>
      <c r="D68" s="22"/>
      <c r="E68" s="22"/>
      <c r="F68" s="22"/>
      <c r="G68" s="22"/>
      <c r="H68" s="22"/>
      <c r="I68" s="22"/>
      <c r="J68" s="22"/>
      <c r="K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</row>
    <row r="69" spans="1:78" x14ac:dyDescent="0.2">
      <c r="A69" s="15" t="s">
        <v>50</v>
      </c>
      <c r="B69" s="93">
        <f>B70*1000</f>
        <v>317.79661016949149</v>
      </c>
      <c r="C69" s="48" t="s">
        <v>51</v>
      </c>
      <c r="D69" t="s">
        <v>52</v>
      </c>
      <c r="E69" s="22"/>
      <c r="F69" s="22"/>
      <c r="G69" s="22"/>
      <c r="H69" s="22"/>
      <c r="I69" s="22"/>
      <c r="J69" s="22"/>
      <c r="K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</row>
    <row r="70" spans="1:78" hidden="1" x14ac:dyDescent="0.2">
      <c r="A70" s="15"/>
      <c r="B70" s="96">
        <f>0.3/B66</f>
        <v>0.31779661016949151</v>
      </c>
      <c r="C70" s="48"/>
      <c r="E70" s="22"/>
      <c r="F70" s="22"/>
      <c r="G70" s="22"/>
      <c r="H70" s="22"/>
      <c r="I70" s="22"/>
      <c r="J70" s="22"/>
      <c r="K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</row>
    <row r="71" spans="1:78" x14ac:dyDescent="0.2">
      <c r="A71" s="15" t="s">
        <v>53</v>
      </c>
      <c r="B71" s="93">
        <f>B72*1000000</f>
        <v>184.3302729071747</v>
      </c>
      <c r="C71" s="48" t="s">
        <v>54</v>
      </c>
      <c r="D71" t="s">
        <v>55</v>
      </c>
      <c r="G71" s="10" t="s">
        <v>56</v>
      </c>
      <c r="H71" s="10"/>
    </row>
    <row r="72" spans="1:78" hidden="1" x14ac:dyDescent="0.2">
      <c r="A72" s="20"/>
      <c r="B72" s="78">
        <f>((B28-B38-B29)*B64)/B50</f>
        <v>1.8433027290717472E-4</v>
      </c>
      <c r="C72" s="49"/>
    </row>
    <row r="73" spans="1:78" ht="15.75" x14ac:dyDescent="0.3">
      <c r="A73" s="15" t="s">
        <v>57</v>
      </c>
      <c r="B73" s="79">
        <v>0.70799999999999996</v>
      </c>
      <c r="C73" s="48" t="s">
        <v>58</v>
      </c>
      <c r="D73" t="s">
        <v>59</v>
      </c>
    </row>
    <row r="74" spans="1:78" ht="18.75" hidden="1" customHeight="1" x14ac:dyDescent="0.2">
      <c r="A74" s="20"/>
      <c r="B74" s="50"/>
      <c r="C74" s="49"/>
      <c r="E74" s="10"/>
    </row>
    <row r="75" spans="1:78" hidden="1" x14ac:dyDescent="0.2">
      <c r="A75" s="2"/>
      <c r="C75" s="47"/>
    </row>
    <row r="76" spans="1:78" x14ac:dyDescent="0.2">
      <c r="A76" s="26" t="s">
        <v>60</v>
      </c>
      <c r="B76" s="92">
        <f>B77*1000000</f>
        <v>9.4798426066547012</v>
      </c>
      <c r="C76" s="44" t="s">
        <v>87</v>
      </c>
    </row>
    <row r="77" spans="1:78" hidden="1" x14ac:dyDescent="0.2">
      <c r="A77" s="26"/>
      <c r="B77" s="45">
        <f>B64*(1/B62)</f>
        <v>9.4798426066547006E-6</v>
      </c>
      <c r="C77" s="44"/>
    </row>
    <row r="78" spans="1:78" x14ac:dyDescent="0.2">
      <c r="A78" s="2"/>
    </row>
    <row r="79" spans="1:78" hidden="1" x14ac:dyDescent="0.2">
      <c r="A79" s="2"/>
    </row>
    <row r="80" spans="1:78" hidden="1" x14ac:dyDescent="0.2">
      <c r="A80" s="46"/>
      <c r="B80" s="21"/>
      <c r="C80" s="21"/>
      <c r="D80" s="2"/>
      <c r="E80" s="2"/>
      <c r="F80" s="2"/>
      <c r="G80" s="2"/>
      <c r="H80" s="2"/>
      <c r="I80" s="2"/>
      <c r="J80" s="22"/>
      <c r="K80" s="22"/>
      <c r="L80" s="2"/>
      <c r="M80" s="2"/>
      <c r="N80" s="2"/>
      <c r="O80" s="2"/>
      <c r="P80" s="2"/>
      <c r="Q80" s="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</row>
    <row r="81" spans="1:78" hidden="1" x14ac:dyDescent="0.2">
      <c r="A81" s="2"/>
      <c r="B81" s="37"/>
      <c r="C81" s="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</row>
    <row r="82" spans="1:78" ht="15.75" x14ac:dyDescent="0.25">
      <c r="A82" s="83" t="s">
        <v>61</v>
      </c>
    </row>
    <row r="83" spans="1:78" x14ac:dyDescent="0.2">
      <c r="A83" s="2"/>
    </row>
    <row r="84" spans="1:78" x14ac:dyDescent="0.2">
      <c r="A84" s="4" t="s">
        <v>62</v>
      </c>
      <c r="B84" s="92">
        <f>B33*B38*B65</f>
        <v>0.27493580008283858</v>
      </c>
      <c r="C84" s="5" t="s">
        <v>28</v>
      </c>
      <c r="D84" t="s">
        <v>63</v>
      </c>
    </row>
    <row r="85" spans="1:78" x14ac:dyDescent="0.2">
      <c r="A85" s="4" t="s">
        <v>64</v>
      </c>
      <c r="B85" s="92">
        <f>(B65*B62)^2*B69*0.001</f>
        <v>2.0643633195047788E-2</v>
      </c>
      <c r="C85" s="5" t="s">
        <v>28</v>
      </c>
      <c r="D85" t="s">
        <v>65</v>
      </c>
    </row>
    <row r="86" spans="1:78" x14ac:dyDescent="0.2">
      <c r="A86" s="4" t="s">
        <v>66</v>
      </c>
      <c r="B86" s="92">
        <f>B37*B30*(1-B33)</f>
        <v>0.3640259560955405</v>
      </c>
      <c r="C86" s="5" t="s">
        <v>28</v>
      </c>
      <c r="D86" t="s">
        <v>67</v>
      </c>
    </row>
    <row r="87" spans="1:78" x14ac:dyDescent="0.2">
      <c r="A87" s="4" t="s">
        <v>68</v>
      </c>
      <c r="B87" s="92">
        <f>B30^2*B73</f>
        <v>0.45312000000000008</v>
      </c>
      <c r="C87" s="5" t="s">
        <v>28</v>
      </c>
      <c r="D87" t="s">
        <v>69</v>
      </c>
    </row>
    <row r="88" spans="1:78" x14ac:dyDescent="0.2">
      <c r="A88" s="4" t="s">
        <v>70</v>
      </c>
      <c r="B88" s="92">
        <f>0.003*B28</f>
        <v>7.2000000000000008E-2</v>
      </c>
      <c r="C88" s="5" t="s">
        <v>28</v>
      </c>
      <c r="D88" t="s">
        <v>71</v>
      </c>
      <c r="J88" s="2"/>
      <c r="K88" s="2"/>
    </row>
    <row r="89" spans="1:78" x14ac:dyDescent="0.2">
      <c r="A89" s="4" t="s">
        <v>72</v>
      </c>
      <c r="B89" s="92">
        <f>B28*B65*B56*0.00000005</f>
        <v>7.6800000000000007E-2</v>
      </c>
      <c r="C89" s="5" t="s">
        <v>28</v>
      </c>
      <c r="D89" t="s">
        <v>73</v>
      </c>
      <c r="J89" s="2"/>
      <c r="K89" s="2"/>
    </row>
    <row r="90" spans="1:78" x14ac:dyDescent="0.2">
      <c r="A90" s="4" t="s">
        <v>74</v>
      </c>
      <c r="B90" s="80"/>
      <c r="C90" s="5" t="s">
        <v>28</v>
      </c>
      <c r="D90" t="s">
        <v>75</v>
      </c>
    </row>
    <row r="91" spans="1:78" x14ac:dyDescent="0.2">
      <c r="A91" s="4" t="s">
        <v>76</v>
      </c>
      <c r="B91" s="92">
        <f>SUM(B84:B90)</f>
        <v>1.2615253893734271</v>
      </c>
      <c r="C91" s="5" t="s">
        <v>28</v>
      </c>
      <c r="D91" t="s">
        <v>77</v>
      </c>
    </row>
    <row r="92" spans="1:78" x14ac:dyDescent="0.2">
      <c r="A92" s="4" t="s">
        <v>78</v>
      </c>
      <c r="B92" s="92">
        <f>B29*B30</f>
        <v>4</v>
      </c>
      <c r="C92" s="5" t="s">
        <v>28</v>
      </c>
      <c r="D92" t="s">
        <v>79</v>
      </c>
      <c r="K92" s="51"/>
      <c r="L92" s="2"/>
      <c r="M92" s="2"/>
      <c r="N92" s="2"/>
      <c r="O92" s="2"/>
      <c r="P92" s="2"/>
      <c r="Q92" s="2"/>
    </row>
    <row r="93" spans="1:78" x14ac:dyDescent="0.2">
      <c r="A93" s="4" t="s">
        <v>80</v>
      </c>
      <c r="B93" s="92">
        <f>B91+B92</f>
        <v>5.2615253893734266</v>
      </c>
      <c r="C93" s="5" t="s">
        <v>28</v>
      </c>
      <c r="D93" t="s">
        <v>81</v>
      </c>
      <c r="K93" s="51"/>
      <c r="L93" s="2"/>
      <c r="M93" s="2"/>
      <c r="N93" s="2"/>
      <c r="O93" s="2"/>
      <c r="P93" s="2"/>
      <c r="Q93" s="2"/>
    </row>
    <row r="94" spans="1:78" x14ac:dyDescent="0.2">
      <c r="A94" s="4" t="s">
        <v>82</v>
      </c>
      <c r="B94" s="93">
        <f>B92/B93*100</f>
        <v>76.023580691612764</v>
      </c>
      <c r="C94" s="5" t="s">
        <v>33</v>
      </c>
      <c r="D94" t="s">
        <v>83</v>
      </c>
      <c r="K94" s="5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 spans="1:78" x14ac:dyDescent="0.2">
      <c r="A95" s="4" t="s">
        <v>84</v>
      </c>
      <c r="B95" s="92">
        <f>B84+B88+B89</f>
        <v>0.42373580008283862</v>
      </c>
      <c r="C95" s="5" t="s">
        <v>28</v>
      </c>
      <c r="D95" t="s">
        <v>85</v>
      </c>
    </row>
    <row r="96" spans="1:78" x14ac:dyDescent="0.2">
      <c r="A96" s="2"/>
      <c r="B96" s="37"/>
      <c r="L96" s="51"/>
    </row>
    <row r="97" spans="1:78" x14ac:dyDescent="0.2">
      <c r="A97" s="2"/>
      <c r="B97" s="37"/>
      <c r="L97" s="51"/>
    </row>
    <row r="98" spans="1:78" x14ac:dyDescent="0.2">
      <c r="A98" s="2"/>
      <c r="B98" s="37"/>
      <c r="L98" s="52"/>
    </row>
    <row r="99" spans="1:78" x14ac:dyDescent="0.2">
      <c r="A99" s="2"/>
    </row>
    <row r="100" spans="1:78" x14ac:dyDescent="0.2">
      <c r="A100" s="2"/>
    </row>
    <row r="101" spans="1:78" x14ac:dyDescent="0.2">
      <c r="A101" s="2"/>
    </row>
    <row r="102" spans="1:78" x14ac:dyDescent="0.2">
      <c r="A102" s="2"/>
    </row>
    <row r="103" spans="1:78" x14ac:dyDescent="0.2">
      <c r="A103" s="2"/>
    </row>
    <row r="104" spans="1:78" x14ac:dyDescent="0.2">
      <c r="A104" s="2"/>
    </row>
    <row r="105" spans="1:78" x14ac:dyDescent="0.2">
      <c r="A105" s="2"/>
    </row>
    <row r="106" spans="1:78" x14ac:dyDescent="0.2">
      <c r="A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 spans="1:78" x14ac:dyDescent="0.2">
      <c r="A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 spans="1:78" x14ac:dyDescent="0.2">
      <c r="A108" s="2"/>
    </row>
    <row r="109" spans="1:78" x14ac:dyDescent="0.2">
      <c r="A109" s="2"/>
    </row>
    <row r="110" spans="1:78" x14ac:dyDescent="0.2">
      <c r="A110" s="2"/>
    </row>
    <row r="111" spans="1:78" x14ac:dyDescent="0.2">
      <c r="A111" s="2"/>
    </row>
    <row r="112" spans="1:78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</sheetData>
  <phoneticPr fontId="11" type="noConversion"/>
  <conditionalFormatting sqref="H14">
    <cfRule type="cellIs" dxfId="32" priority="1" stopIfTrue="1" operator="lessThan">
      <formula>25</formula>
    </cfRule>
  </conditionalFormatting>
  <conditionalFormatting sqref="J30 K41 D66:K66 D30:G30">
    <cfRule type="expression" dxfId="31" priority="2" stopIfTrue="1">
      <formula>IF(EXACT(#REF!,"YES"),$B$66&gt;#REF!,$B$66&gt;1.5)</formula>
    </cfRule>
  </conditionalFormatting>
  <conditionalFormatting sqref="L41 D67:I67">
    <cfRule type="expression" dxfId="30" priority="3" stopIfTrue="1">
      <formula>IF(EXACT(#REF!,"YES"),$B$66&gt;#REF!,$B$66&gt;3.4)</formula>
    </cfRule>
  </conditionalFormatting>
  <conditionalFormatting sqref="B32">
    <cfRule type="cellIs" dxfId="29" priority="4" stopIfTrue="1" operator="greaterThan">
      <formula>0.83</formula>
    </cfRule>
  </conditionalFormatting>
  <conditionalFormatting sqref="B67">
    <cfRule type="expression" dxfId="28" priority="5" stopIfTrue="1">
      <formula>"if((B63&gt;=3.4)"</formula>
    </cfRule>
  </conditionalFormatting>
  <conditionalFormatting sqref="B66">
    <cfRule type="expression" dxfId="27" priority="6" stopIfTrue="1">
      <formula>IF(EXACT(#REF!,"YES"),$B$66&gt;#REF!,$B$66&gt;1.5)</formula>
    </cfRule>
  </conditionalFormatting>
  <conditionalFormatting sqref="B55">
    <cfRule type="expression" dxfId="26" priority="7" stopIfTrue="1">
      <formula>OR(AND(B55&gt;150, EXACT(#REF!, "NO")),$B$55&gt;250)</formula>
    </cfRule>
  </conditionalFormatting>
  <conditionalFormatting sqref="D55:K55">
    <cfRule type="expression" dxfId="25" priority="8" stopIfTrue="1">
      <formula>OR(AND($B$55&gt;150, EXACT(#REF!, "NO")), $B$55&gt;250)</formula>
    </cfRule>
  </conditionalFormatting>
  <conditionalFormatting sqref="B28">
    <cfRule type="cellIs" dxfId="24" priority="9" stopIfTrue="1" operator="lessThan">
      <formula>$B$29+$B$38+0.5</formula>
    </cfRule>
  </conditionalFormatting>
  <conditionalFormatting sqref="B31">
    <cfRule type="cellIs" dxfId="23" priority="10" stopIfTrue="1" operator="greaterThan">
      <formula>84</formula>
    </cfRule>
  </conditionalFormatting>
  <conditionalFormatting sqref="B30">
    <cfRule type="expression" dxfId="22" priority="11" stopIfTrue="1">
      <formula>$B$66&gt;1.5</formula>
    </cfRule>
  </conditionalFormatting>
  <conditionalFormatting sqref="H15">
    <cfRule type="cellIs" dxfId="21" priority="12" stopIfTrue="1" operator="greaterThan">
      <formula>$G$10</formula>
    </cfRule>
  </conditionalFormatting>
  <dataValidations count="15">
    <dataValidation type="decimal" allowBlank="1" showErrorMessage="1" sqref="B29" xr:uid="{DB571FC0-8905-4558-8EA9-F7003ADF8EBA}">
      <formula1>1.25</formula1>
      <formula2>B28*0.84</formula2>
    </dataValidation>
    <dataValidation allowBlank="1" showInputMessage="1" showErrorMessage="1" errorTitle="WARNING:" error="Power dissipation of device excedes the alowed limit." sqref="H15" xr:uid="{1F8844CC-4BF7-48B3-A980-9D0563EA1149}"/>
    <dataValidation type="decimal" allowBlank="1" showInputMessage="1" showErrorMessage="1" sqref="B90" xr:uid="{31EF4335-E101-4793-B6DF-838C1BDD3AD7}">
      <formula1>0</formula1>
      <formula2>5</formula2>
    </dataValidation>
    <dataValidation type="decimal" allowBlank="1" showInputMessage="1" showErrorMessage="1" sqref="B49" xr:uid="{5296CA05-CCC8-4DEF-8C98-40FB3032D658}">
      <formula1>0</formula1>
      <formula2>100</formula2>
    </dataValidation>
    <dataValidation type="list" allowBlank="1" showInputMessage="1" showErrorMessage="1" sqref="K3" xr:uid="{61528504-3AA7-409F-8862-B94194A9B40C}">
      <formula1>$I$5:$L$5</formula1>
    </dataValidation>
    <dataValidation type="decimal" allowBlank="1" showInputMessage="1" showErrorMessage="1" promptTitle="Diode Forward Voltage Drop" sqref="B37" xr:uid="{435E9970-11C5-4709-BBC1-80DE5E00CF25}">
      <formula1>0.1</formula1>
      <formula2>3</formula2>
    </dataValidation>
    <dataValidation type="decimal" allowBlank="1" showInputMessage="1" showErrorMessage="1" promptTitle="Inductor Winding Resistance" prompt="Used to estimate the losses and efficiency of the converter. Leave Blank if not required." sqref="B73" xr:uid="{8E2C4516-A64C-49BA-A7DC-3FE2A8D4D74E}">
      <formula1>0</formula1>
      <formula2>100</formula2>
    </dataValidation>
    <dataValidation type="decimal" allowBlank="1" showInputMessage="1" showErrorMessage="1" prompt="20kHz to 100kHz_x000a_Use of higher switching frequency allows you to choose smaller filter components._x000a_" sqref="B55" xr:uid="{0DEB70E3-8251-4933-8EB9-74563263587D}">
      <formula1>20</formula1>
      <formula2>100</formula2>
    </dataValidation>
    <dataValidation type="decimal" allowBlank="1" showErrorMessage="1" prompt="_x000a_" sqref="B30" xr:uid="{2E1C6D22-82BE-420C-AF03-928E9D8E9E0B}">
      <formula1>0</formula1>
      <formula2>1.5</formula2>
    </dataValidation>
    <dataValidation type="decimal" allowBlank="1" showErrorMessage="1" prompt="_x000a_" sqref="B28" xr:uid="{3722FFD8-FC2E-453F-A71A-A2B93EDFDFA5}">
      <formula1>4</formula1>
      <formula2>40</formula2>
    </dataValidation>
    <dataValidation allowBlank="1" showInputMessage="1" showErrorMessage="1" promptTitle="External Switch Selected" prompt="Please Enter the Data for PNP switch you are using" sqref="K61" xr:uid="{175269F3-8D04-4E1C-B23D-8A28ACDA6863}"/>
    <dataValidation type="decimal" showErrorMessage="1" errorTitle="WARING" error="Change the ratio of Vin and Vout_x000a_" sqref="B32" xr:uid="{AA82753A-7878-41A8-9DAE-9984AAEA906F}">
      <formula1>0</formula1>
      <formula2>0.85</formula2>
    </dataValidation>
    <dataValidation showErrorMessage="1" errorTitle="WARING" error="Change the ratio of Vin and Vout_x000a_" sqref="B31" xr:uid="{C31CBDCE-5356-4858-BB97-52D2CCE29D2B}"/>
    <dataValidation type="decimal" allowBlank="1" showInputMessage="1" showErrorMessage="1" sqref="L6" xr:uid="{27E21D45-21DD-471F-83D8-94D96C62377B}">
      <formula1>20</formula1>
      <formula2>300</formula2>
    </dataValidation>
    <dataValidation type="list" allowBlank="1" showInputMessage="1" showErrorMessage="1" sqref="L8" xr:uid="{44EBB98D-6264-46B0-9C9B-69C2E75341EA}">
      <formula1>$I$8:$K$8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1040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5</xdr:col>
                <xdr:colOff>590550</xdr:colOff>
                <xdr:row>22</xdr:row>
                <xdr:rowOff>57150</xdr:rowOff>
              </to>
            </anchor>
          </objectPr>
        </oleObject>
      </mc:Choice>
      <mc:Fallback>
        <oleObject progId="Visio.Drawing.11" shapeId="1040" r:id="rId4"/>
      </mc:Fallback>
    </mc:AlternateContent>
  </oleObjects>
  <controls>
    <mc:AlternateContent xmlns:mc="http://schemas.openxmlformats.org/markup-compatibility/2006">
      <mc:Choice Requires="x14">
        <control shapeId="1048" r:id="rId6" name="ScrollBar2">
          <controlPr autoLine="0" linkedCell="B29" r:id="rId7">
            <anchor moveWithCells="1">
              <from>
                <xdr:col>11</xdr:col>
                <xdr:colOff>9525</xdr:colOff>
                <xdr:row>28</xdr:row>
                <xdr:rowOff>9525</xdr:rowOff>
              </from>
              <to>
                <xdr:col>15</xdr:col>
                <xdr:colOff>0</xdr:colOff>
                <xdr:row>29</xdr:row>
                <xdr:rowOff>9525</xdr:rowOff>
              </to>
            </anchor>
          </controlPr>
        </control>
      </mc:Choice>
      <mc:Fallback>
        <control shapeId="1048" r:id="rId6" name="ScrollBar2"/>
      </mc:Fallback>
    </mc:AlternateContent>
    <mc:AlternateContent xmlns:mc="http://schemas.openxmlformats.org/markup-compatibility/2006">
      <mc:Choice Requires="x14">
        <control shapeId="1047" r:id="rId8" name="ScrollBar1">
          <controlPr autoLine="0" autoPict="0" linkedCell="B28" r:id="rId9">
            <anchor moveWithCells="1">
              <from>
                <xdr:col>11</xdr:col>
                <xdr:colOff>0</xdr:colOff>
                <xdr:row>27</xdr:row>
                <xdr:rowOff>9525</xdr:rowOff>
              </from>
              <to>
                <xdr:col>15</xdr:col>
                <xdr:colOff>0</xdr:colOff>
                <xdr:row>28</xdr:row>
                <xdr:rowOff>9525</xdr:rowOff>
              </to>
            </anchor>
          </controlPr>
        </control>
      </mc:Choice>
      <mc:Fallback>
        <control shapeId="1047" r:id="rId8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A13A-012D-4D2C-94CE-AE4057F6F89D}">
  <sheetPr codeName="Sheet3"/>
  <dimension ref="A1:BZ158"/>
  <sheetViews>
    <sheetView showGridLines="0" topLeftCell="A26" zoomScale="85" zoomScaleNormal="85" workbookViewId="0">
      <selection activeCell="B50" sqref="B50"/>
    </sheetView>
  </sheetViews>
  <sheetFormatPr defaultRowHeight="12.75" x14ac:dyDescent="0.2"/>
  <cols>
    <col min="1" max="1" width="14.7109375" customWidth="1"/>
    <col min="2" max="2" width="10.140625" customWidth="1"/>
    <col min="6" max="6" width="21.7109375" customWidth="1"/>
  </cols>
  <sheetData>
    <row r="1" spans="1:18" ht="18" x14ac:dyDescent="0.25">
      <c r="A1" s="1" t="s">
        <v>0</v>
      </c>
      <c r="R1" t="s">
        <v>119</v>
      </c>
    </row>
    <row r="2" spans="1:18" x14ac:dyDescent="0.2">
      <c r="A2" s="2"/>
    </row>
    <row r="3" spans="1:18" ht="15.75" x14ac:dyDescent="0.25">
      <c r="A3" s="2"/>
      <c r="H3" s="3" t="s">
        <v>115</v>
      </c>
      <c r="K3" s="77" t="s">
        <v>3</v>
      </c>
    </row>
    <row r="4" spans="1:18" hidden="1" x14ac:dyDescent="0.2">
      <c r="A4" s="2"/>
      <c r="F4" s="55"/>
      <c r="G4" s="56"/>
      <c r="H4" s="56"/>
      <c r="I4" s="55" t="b">
        <f>EXACT(K3,I5)</f>
        <v>0</v>
      </c>
      <c r="J4" s="55" t="b">
        <f>EXACT(K3,J5)</f>
        <v>1</v>
      </c>
      <c r="K4" s="55" t="b">
        <f>EXACT(K3,K5)</f>
        <v>0</v>
      </c>
      <c r="L4" s="55"/>
      <c r="M4" s="55"/>
      <c r="N4" s="54"/>
    </row>
    <row r="5" spans="1:18" x14ac:dyDescent="0.2">
      <c r="A5" s="2"/>
      <c r="G5" s="87" t="s">
        <v>2</v>
      </c>
      <c r="H5" s="87"/>
      <c r="I5" s="87" t="s">
        <v>1</v>
      </c>
      <c r="J5" s="87" t="s">
        <v>3</v>
      </c>
      <c r="K5" s="87" t="s">
        <v>4</v>
      </c>
      <c r="L5" s="87" t="s">
        <v>114</v>
      </c>
      <c r="M5" s="54"/>
      <c r="N5" s="54"/>
    </row>
    <row r="6" spans="1:18" x14ac:dyDescent="0.2">
      <c r="A6" s="2"/>
      <c r="G6" s="57" t="s">
        <v>5</v>
      </c>
      <c r="H6" s="57"/>
      <c r="I6" s="57">
        <v>107</v>
      </c>
      <c r="J6" s="57">
        <v>123</v>
      </c>
      <c r="K6" s="57">
        <v>47</v>
      </c>
      <c r="L6" s="89">
        <v>90</v>
      </c>
      <c r="M6" s="54" t="s">
        <v>86</v>
      </c>
      <c r="N6" s="54"/>
    </row>
    <row r="7" spans="1:18" x14ac:dyDescent="0.2">
      <c r="A7" s="2"/>
      <c r="G7" s="57" t="s">
        <v>6</v>
      </c>
      <c r="H7" s="57"/>
      <c r="I7" s="57">
        <v>150</v>
      </c>
      <c r="J7" s="57">
        <v>150</v>
      </c>
      <c r="K7" s="57">
        <v>150</v>
      </c>
      <c r="L7" s="57">
        <v>150</v>
      </c>
      <c r="M7" s="54"/>
      <c r="N7" s="54"/>
    </row>
    <row r="8" spans="1:18" ht="14.25" customHeight="1" x14ac:dyDescent="0.2">
      <c r="A8" s="2"/>
      <c r="G8" s="57" t="s">
        <v>7</v>
      </c>
      <c r="H8" s="57"/>
      <c r="I8" s="57">
        <v>0.95</v>
      </c>
      <c r="J8" s="57">
        <v>0.625</v>
      </c>
      <c r="K8" s="57">
        <v>1.2</v>
      </c>
      <c r="L8" s="89">
        <v>0.625</v>
      </c>
      <c r="M8" s="54"/>
      <c r="N8" s="54"/>
    </row>
    <row r="9" spans="1:18" hidden="1" x14ac:dyDescent="0.2">
      <c r="A9" s="2"/>
      <c r="G9" s="53">
        <f>IF($I$4,I6,IF($J$4,J6,IF($K$4,K6,L6)))</f>
        <v>123</v>
      </c>
      <c r="H9" s="53"/>
      <c r="I9" s="54"/>
      <c r="J9" s="54"/>
      <c r="K9" s="54"/>
      <c r="L9" s="54"/>
      <c r="M9" s="54"/>
      <c r="N9" s="54"/>
    </row>
    <row r="10" spans="1:18" hidden="1" x14ac:dyDescent="0.2">
      <c r="A10" s="2"/>
      <c r="G10" s="53">
        <f>IF($I$4,I8,IF($J$4,J8,IF($K$4,K8,L8)))</f>
        <v>0.625</v>
      </c>
      <c r="H10" s="53"/>
      <c r="I10" s="54"/>
      <c r="J10" s="54"/>
      <c r="K10" s="54"/>
      <c r="L10" s="54"/>
      <c r="M10" s="54"/>
      <c r="N10" s="54"/>
    </row>
    <row r="11" spans="1:18" x14ac:dyDescent="0.2">
      <c r="A11" s="2"/>
      <c r="I11" s="54"/>
      <c r="J11" s="54"/>
      <c r="K11" s="54"/>
      <c r="L11" s="54"/>
      <c r="M11" s="54"/>
      <c r="N11" s="54"/>
      <c r="O11" s="53" t="str">
        <f>IF($I$4," PCB one-layer, size: 28 x 44 mm, 35um copper thickness, 1107 sqmm copper area",IF($J$4,"PCB one-layer, size: 28 x 41 mm,35um copper thickness, 840 sqmm copper area",IF($K$4,"PCB one-layer, size 52 x 52 mm, 35 um copper thickness, 2582 sqmm copper area","Fill in the Rthja value and Pdmax value related to your PCB")))</f>
        <v>PCB one-layer, size: 28 x 41 mm,35um copper thickness, 840 sqmm copper area</v>
      </c>
      <c r="P11" s="54"/>
    </row>
    <row r="12" spans="1:18" x14ac:dyDescent="0.2">
      <c r="A12" s="2"/>
      <c r="G12" s="6"/>
      <c r="H12" s="6"/>
    </row>
    <row r="13" spans="1:18" x14ac:dyDescent="0.2">
      <c r="A13" s="2"/>
      <c r="G13" s="6" t="s">
        <v>103</v>
      </c>
      <c r="H13" s="6"/>
    </row>
    <row r="14" spans="1:18" x14ac:dyDescent="0.2">
      <c r="A14" s="2"/>
      <c r="G14" s="15" t="s">
        <v>23</v>
      </c>
      <c r="H14" s="90">
        <f>150-(B95*G9)</f>
        <v>121.39233583076245</v>
      </c>
      <c r="I14" s="15" t="s">
        <v>24</v>
      </c>
      <c r="J14" t="str">
        <f>IF(H14&lt;25,"&lt;-- Very hot application","&lt;-- Maximum ambient temperature")</f>
        <v>&lt;-- Maximum ambient temperature</v>
      </c>
      <c r="K14" s="22"/>
      <c r="L14" s="22"/>
    </row>
    <row r="15" spans="1:18" x14ac:dyDescent="0.2">
      <c r="A15" s="2"/>
      <c r="G15" s="28" t="s">
        <v>27</v>
      </c>
      <c r="H15" s="92">
        <f>B95</f>
        <v>0.2325826355222565</v>
      </c>
      <c r="I15" s="5" t="s">
        <v>28</v>
      </c>
      <c r="J15" s="85" t="str">
        <f>IF(H15&gt;G10,"&lt;-- High Power Dissipation!!! ","&lt;-- Power Dissipation at the device")</f>
        <v>&lt;-- Power Dissipation at the device</v>
      </c>
      <c r="K15" s="86"/>
      <c r="L15" s="85"/>
      <c r="M15" s="85"/>
      <c r="N15" s="85"/>
      <c r="O15" s="85"/>
      <c r="P15" s="85"/>
    </row>
    <row r="16" spans="1:18" x14ac:dyDescent="0.2">
      <c r="A16" s="2"/>
    </row>
    <row r="17" spans="1:12" x14ac:dyDescent="0.2">
      <c r="A17" s="2"/>
      <c r="G17" t="s">
        <v>117</v>
      </c>
    </row>
    <row r="18" spans="1:12" x14ac:dyDescent="0.2">
      <c r="A18" s="2"/>
      <c r="G18" t="s">
        <v>118</v>
      </c>
    </row>
    <row r="19" spans="1:12" x14ac:dyDescent="0.2">
      <c r="A19" s="2"/>
      <c r="G19" t="s">
        <v>106</v>
      </c>
    </row>
    <row r="20" spans="1:12" x14ac:dyDescent="0.2">
      <c r="A20" s="2"/>
    </row>
    <row r="21" spans="1:12" x14ac:dyDescent="0.2">
      <c r="A21" s="2"/>
    </row>
    <row r="22" spans="1:12" ht="15.75" x14ac:dyDescent="0.25">
      <c r="A22" s="84" t="s">
        <v>8</v>
      </c>
      <c r="B22" s="7"/>
    </row>
    <row r="23" spans="1:12" x14ac:dyDescent="0.2">
      <c r="A23" s="8"/>
    </row>
    <row r="24" spans="1:12" x14ac:dyDescent="0.2">
      <c r="A24" s="9"/>
      <c r="B24" s="10" t="s">
        <v>9</v>
      </c>
      <c r="C24" s="10"/>
    </row>
    <row r="25" spans="1:12" x14ac:dyDescent="0.2">
      <c r="A25" s="11"/>
      <c r="B25" s="10" t="s">
        <v>10</v>
      </c>
      <c r="C25" s="10"/>
    </row>
    <row r="26" spans="1:12" x14ac:dyDescent="0.2">
      <c r="A26" s="67"/>
      <c r="B26" s="10" t="s">
        <v>102</v>
      </c>
    </row>
    <row r="27" spans="1:12" x14ac:dyDescent="0.2">
      <c r="A27" s="12"/>
      <c r="B27" s="13"/>
      <c r="C27" s="14" t="s">
        <v>11</v>
      </c>
      <c r="L27" t="s">
        <v>104</v>
      </c>
    </row>
    <row r="28" spans="1:12" x14ac:dyDescent="0.2">
      <c r="A28" s="15" t="s">
        <v>12</v>
      </c>
      <c r="B28" s="74">
        <v>24</v>
      </c>
      <c r="C28" s="15" t="s">
        <v>13</v>
      </c>
      <c r="D28" t="str">
        <f>IF(B28-B38-0.5&lt;B29,"    Low Input Voltage","&lt;-- Worst Case Input Voltage (usually minimum Vin)")</f>
        <v>&lt;-- Worst Case Input Voltage (usually minimum Vin)</v>
      </c>
      <c r="H28" s="16" t="s">
        <v>111</v>
      </c>
    </row>
    <row r="29" spans="1:12" x14ac:dyDescent="0.2">
      <c r="A29" s="15" t="s">
        <v>14</v>
      </c>
      <c r="B29" s="74">
        <v>3.3</v>
      </c>
      <c r="C29" s="15" t="s">
        <v>13</v>
      </c>
      <c r="D29" t="s">
        <v>15</v>
      </c>
      <c r="H29" s="16" t="s">
        <v>16</v>
      </c>
    </row>
    <row r="30" spans="1:12" x14ac:dyDescent="0.2">
      <c r="A30" s="15" t="s">
        <v>17</v>
      </c>
      <c r="B30" s="74">
        <v>0.5</v>
      </c>
      <c r="C30" s="15" t="s">
        <v>18</v>
      </c>
      <c r="D30" t="str">
        <f>IF(B66&lt;1.5,"&lt;-- Desired Output Current","WARING: Requested Output Current is out of allowed range")</f>
        <v>&lt;-- Desired Output Current</v>
      </c>
      <c r="H30" s="17"/>
      <c r="I30" s="18"/>
    </row>
    <row r="31" spans="1:12" x14ac:dyDescent="0.2">
      <c r="A31" s="15" t="s">
        <v>19</v>
      </c>
      <c r="B31" s="91">
        <f>B33*100</f>
        <v>16.768964516441109</v>
      </c>
      <c r="C31" s="44" t="s">
        <v>33</v>
      </c>
      <c r="D31" t="s">
        <v>116</v>
      </c>
    </row>
    <row r="32" spans="1:12" x14ac:dyDescent="0.2">
      <c r="A32" s="46"/>
      <c r="B32" s="59"/>
      <c r="C32" s="21"/>
    </row>
    <row r="33" spans="1:78" hidden="1" x14ac:dyDescent="0.2">
      <c r="A33" s="20"/>
      <c r="B33" s="58">
        <f>B64/(B64+B77)</f>
        <v>0.16768964516441109</v>
      </c>
      <c r="C33" s="21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</row>
    <row r="34" spans="1:78" ht="15.75" x14ac:dyDescent="0.25">
      <c r="A34" s="82" t="s">
        <v>20</v>
      </c>
      <c r="B34" s="24"/>
      <c r="C34" s="24"/>
      <c r="D34" s="22"/>
      <c r="E34" s="22"/>
      <c r="F34" s="22"/>
      <c r="G34" s="22"/>
      <c r="H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</row>
    <row r="35" spans="1:78" x14ac:dyDescent="0.2">
      <c r="A35" s="25"/>
      <c r="B35" s="24"/>
      <c r="C35" s="24"/>
      <c r="D35" s="22"/>
      <c r="E35" s="22"/>
      <c r="F35" s="22"/>
      <c r="G35" s="22"/>
      <c r="H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</row>
    <row r="36" spans="1:78" x14ac:dyDescent="0.2">
      <c r="A36" s="24"/>
      <c r="B36" s="24"/>
      <c r="C36" s="14" t="s">
        <v>11</v>
      </c>
      <c r="D36" s="22"/>
      <c r="E36" s="22"/>
      <c r="F36" s="22"/>
      <c r="G36" s="22"/>
      <c r="H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</row>
    <row r="37" spans="1:78" x14ac:dyDescent="0.2">
      <c r="A37" s="15" t="s">
        <v>21</v>
      </c>
      <c r="B37" s="74">
        <v>0.6</v>
      </c>
      <c r="C37" s="15" t="s">
        <v>13</v>
      </c>
      <c r="D37" t="s">
        <v>22</v>
      </c>
    </row>
    <row r="38" spans="1:78" x14ac:dyDescent="0.2">
      <c r="A38" s="26" t="s">
        <v>25</v>
      </c>
      <c r="B38" s="90">
        <f>0.225*B66+1.21</f>
        <v>1.3427499999999999</v>
      </c>
      <c r="C38" s="27" t="s">
        <v>13</v>
      </c>
      <c r="D38" t="s">
        <v>26</v>
      </c>
    </row>
    <row r="39" spans="1:78" x14ac:dyDescent="0.2">
      <c r="A39" s="24"/>
      <c r="B39" s="73" t="s">
        <v>101</v>
      </c>
      <c r="C39" s="24"/>
      <c r="E39" s="10" t="s">
        <v>29</v>
      </c>
    </row>
    <row r="40" spans="1:78" x14ac:dyDescent="0.2">
      <c r="A40" s="24"/>
      <c r="B40" s="24"/>
      <c r="C40" s="24"/>
      <c r="D40" s="22"/>
      <c r="E40" s="30" t="s">
        <v>30</v>
      </c>
      <c r="F40" s="22"/>
      <c r="G40" s="22"/>
      <c r="H40" s="22"/>
      <c r="I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</row>
    <row r="41" spans="1:78" x14ac:dyDescent="0.2">
      <c r="A41" s="24"/>
      <c r="B41" s="24"/>
      <c r="C41" s="24"/>
      <c r="D41" s="22"/>
      <c r="E41" s="30"/>
      <c r="F41" s="22"/>
      <c r="G41" s="22"/>
      <c r="H41" s="22"/>
      <c r="I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</row>
    <row r="42" spans="1:78" ht="15.75" x14ac:dyDescent="0.25">
      <c r="A42" s="71" t="s">
        <v>100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</row>
    <row r="43" spans="1:78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</row>
    <row r="44" spans="1:78" x14ac:dyDescent="0.2">
      <c r="A44" s="2" t="s">
        <v>107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</row>
    <row r="45" spans="1:78" x14ac:dyDescent="0.2">
      <c r="A45" s="2" t="s">
        <v>31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</row>
    <row r="46" spans="1:78" x14ac:dyDescent="0.2">
      <c r="A46" s="2" t="s">
        <v>109</v>
      </c>
      <c r="B46" s="24"/>
      <c r="C46" s="24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</row>
    <row r="47" spans="1:78" x14ac:dyDescent="0.2">
      <c r="A47" s="2"/>
      <c r="B47" s="24"/>
      <c r="C47" s="24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</row>
    <row r="48" spans="1:78" x14ac:dyDescent="0.2">
      <c r="A48" s="31"/>
      <c r="B48" s="31"/>
      <c r="C48" s="14" t="s">
        <v>11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</row>
    <row r="49" spans="1:78" x14ac:dyDescent="0.2">
      <c r="A49" s="32" t="s">
        <v>32</v>
      </c>
      <c r="B49" s="75">
        <v>36</v>
      </c>
      <c r="C49" s="27" t="s">
        <v>33</v>
      </c>
      <c r="D49" t="s">
        <v>34</v>
      </c>
    </row>
    <row r="50" spans="1:78" x14ac:dyDescent="0.2">
      <c r="A50" s="27" t="s">
        <v>35</v>
      </c>
      <c r="B50" s="76">
        <f>B30*B49/100</f>
        <v>0.18</v>
      </c>
      <c r="C50" s="27" t="s">
        <v>18</v>
      </c>
      <c r="D50" t="s">
        <v>36</v>
      </c>
    </row>
    <row r="51" spans="1:78" hidden="1" x14ac:dyDescent="0.2">
      <c r="A51" s="24"/>
      <c r="B51" s="29"/>
      <c r="C51" s="24"/>
    </row>
    <row r="52" spans="1:78" x14ac:dyDescent="0.2">
      <c r="A52" s="24"/>
      <c r="B52" s="24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</row>
    <row r="53" spans="1:78" ht="15.75" x14ac:dyDescent="0.25">
      <c r="A53" s="82" t="s">
        <v>37</v>
      </c>
      <c r="B53" s="24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</row>
    <row r="54" spans="1:78" x14ac:dyDescent="0.2">
      <c r="A54" s="24"/>
      <c r="B54" s="24"/>
      <c r="C54" s="14" t="s">
        <v>11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</row>
    <row r="55" spans="1:78" x14ac:dyDescent="0.2">
      <c r="A55" s="15" t="s">
        <v>38</v>
      </c>
      <c r="B55" s="77">
        <v>80</v>
      </c>
      <c r="C55" s="33" t="s">
        <v>39</v>
      </c>
      <c r="D55" s="103" t="s">
        <v>40</v>
      </c>
      <c r="E55" s="34"/>
      <c r="F55" s="34"/>
      <c r="G55" s="34"/>
      <c r="H55" s="34"/>
      <c r="I55" s="34"/>
      <c r="J55" s="34"/>
      <c r="K55" s="34"/>
      <c r="L55" s="34"/>
    </row>
    <row r="56" spans="1:78" s="62" customFormat="1" hidden="1" x14ac:dyDescent="0.2">
      <c r="A56" s="26"/>
      <c r="B56" s="35">
        <f>B55*1000</f>
        <v>80000</v>
      </c>
      <c r="C56" s="104"/>
    </row>
    <row r="57" spans="1:78" x14ac:dyDescent="0.2">
      <c r="A57" s="101" t="s">
        <v>112</v>
      </c>
      <c r="B57" s="105">
        <f>40*B63</f>
        <v>83.844822582205524</v>
      </c>
      <c r="C57" s="102" t="s">
        <v>120</v>
      </c>
      <c r="K57" s="38" t="s">
        <v>41</v>
      </c>
    </row>
    <row r="58" spans="1:78" x14ac:dyDescent="0.2">
      <c r="K58" s="38" t="s">
        <v>42</v>
      </c>
    </row>
    <row r="59" spans="1:78" ht="15.75" x14ac:dyDescent="0.25">
      <c r="A59" s="82" t="s">
        <v>43</v>
      </c>
      <c r="B59" s="39"/>
      <c r="C59" s="39"/>
    </row>
    <row r="60" spans="1:78" x14ac:dyDescent="0.2">
      <c r="A60" s="2"/>
      <c r="K60" s="40"/>
    </row>
    <row r="61" spans="1:78" x14ac:dyDescent="0.2">
      <c r="A61" s="31"/>
      <c r="B61" s="41"/>
      <c r="C61" s="14" t="s">
        <v>11</v>
      </c>
      <c r="K61" s="42"/>
    </row>
    <row r="62" spans="1:78" x14ac:dyDescent="0.2">
      <c r="A62" s="43" t="s">
        <v>44</v>
      </c>
      <c r="B62" s="94">
        <f>(B29+B37)/(B28-B38-B29)</f>
        <v>0.20147489958542664</v>
      </c>
      <c r="C62" s="44"/>
    </row>
    <row r="63" spans="1:78" x14ac:dyDescent="0.2">
      <c r="A63" s="26" t="s">
        <v>45</v>
      </c>
      <c r="B63" s="95">
        <f>B64*1000000</f>
        <v>2.0961205645551382</v>
      </c>
      <c r="C63" s="44" t="s">
        <v>87</v>
      </c>
      <c r="E63" s="40"/>
      <c r="K63" s="40"/>
    </row>
    <row r="64" spans="1:78" hidden="1" x14ac:dyDescent="0.2">
      <c r="A64" s="26"/>
      <c r="B64" s="96">
        <f>B62/(B56*(B62+1))</f>
        <v>2.0961205645551384E-6</v>
      </c>
      <c r="C64" s="44"/>
      <c r="K64" s="40"/>
    </row>
    <row r="65" spans="1:78" x14ac:dyDescent="0.2">
      <c r="A65" s="15" t="s">
        <v>46</v>
      </c>
      <c r="B65" s="90">
        <f>B30</f>
        <v>0.5</v>
      </c>
      <c r="C65" s="44" t="s">
        <v>18</v>
      </c>
      <c r="D65" t="s">
        <v>47</v>
      </c>
      <c r="K65" s="40"/>
    </row>
    <row r="66" spans="1:78" x14ac:dyDescent="0.2">
      <c r="A66" s="15" t="s">
        <v>48</v>
      </c>
      <c r="B66" s="90">
        <f>B65+(B50/2)</f>
        <v>0.59</v>
      </c>
      <c r="C66" s="44" t="s">
        <v>18</v>
      </c>
      <c r="D66" t="s">
        <v>49</v>
      </c>
      <c r="K66" s="40"/>
      <c r="L66" s="22"/>
      <c r="M66" s="22"/>
      <c r="N66" s="22"/>
      <c r="O66" s="22"/>
      <c r="P66" s="22"/>
      <c r="Q66" s="22"/>
    </row>
    <row r="67" spans="1:78" x14ac:dyDescent="0.2">
      <c r="A67" s="2"/>
      <c r="B67" s="37"/>
      <c r="C67" s="2"/>
      <c r="L67" s="22"/>
      <c r="M67" s="22"/>
      <c r="N67" s="22"/>
      <c r="O67" s="22"/>
      <c r="P67" s="22"/>
      <c r="Q67" s="22"/>
    </row>
    <row r="68" spans="1:78" x14ac:dyDescent="0.2">
      <c r="A68" s="46"/>
      <c r="B68" s="21"/>
      <c r="C68" s="47" t="s">
        <v>11</v>
      </c>
      <c r="D68" s="22"/>
      <c r="E68" s="22"/>
      <c r="F68" s="22"/>
      <c r="G68" s="22"/>
      <c r="H68" s="22"/>
      <c r="I68" s="22"/>
      <c r="J68" s="22"/>
      <c r="K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</row>
    <row r="69" spans="1:78" x14ac:dyDescent="0.2">
      <c r="A69" s="15" t="s">
        <v>50</v>
      </c>
      <c r="B69" s="93">
        <f>B70*1000</f>
        <v>508.47457627118644</v>
      </c>
      <c r="C69" s="48" t="s">
        <v>51</v>
      </c>
      <c r="D69" t="s">
        <v>52</v>
      </c>
      <c r="E69" s="22"/>
      <c r="F69" s="22"/>
      <c r="G69" s="22"/>
      <c r="H69" s="22"/>
      <c r="I69" s="22"/>
      <c r="J69" s="22"/>
      <c r="K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</row>
    <row r="70" spans="1:78" hidden="1" x14ac:dyDescent="0.2">
      <c r="A70" s="15"/>
      <c r="B70" s="96">
        <f>0.3/B66</f>
        <v>0.50847457627118642</v>
      </c>
      <c r="C70" s="48"/>
      <c r="E70" s="22"/>
      <c r="F70" s="22"/>
      <c r="G70" s="22"/>
      <c r="H70" s="22"/>
      <c r="I70" s="22"/>
      <c r="J70" s="22"/>
      <c r="K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</row>
    <row r="71" spans="1:78" x14ac:dyDescent="0.2">
      <c r="A71" s="15" t="s">
        <v>53</v>
      </c>
      <c r="B71" s="93">
        <f>B72*1000000</f>
        <v>225.41738776797197</v>
      </c>
      <c r="C71" s="48" t="s">
        <v>54</v>
      </c>
      <c r="D71" t="s">
        <v>55</v>
      </c>
      <c r="G71" s="10" t="s">
        <v>56</v>
      </c>
      <c r="H71" s="10"/>
    </row>
    <row r="72" spans="1:78" hidden="1" x14ac:dyDescent="0.2">
      <c r="A72" s="20"/>
      <c r="B72" s="78">
        <f>((B28-B38-B29)*B64)/B50</f>
        <v>2.2541738776797197E-4</v>
      </c>
      <c r="C72" s="49"/>
    </row>
    <row r="73" spans="1:78" ht="15.75" x14ac:dyDescent="0.3">
      <c r="A73" s="15" t="s">
        <v>57</v>
      </c>
      <c r="B73" s="79">
        <v>0.70799999999999996</v>
      </c>
      <c r="C73" s="48" t="s">
        <v>58</v>
      </c>
      <c r="D73" t="s">
        <v>59</v>
      </c>
    </row>
    <row r="74" spans="1:78" ht="18.75" hidden="1" customHeight="1" x14ac:dyDescent="0.2">
      <c r="A74" s="20"/>
      <c r="B74" s="50"/>
      <c r="C74" s="49"/>
      <c r="E74" s="10"/>
    </row>
    <row r="75" spans="1:78" hidden="1" x14ac:dyDescent="0.2">
      <c r="A75" s="2"/>
      <c r="C75" s="47"/>
    </row>
    <row r="76" spans="1:78" x14ac:dyDescent="0.2">
      <c r="A76" s="26" t="s">
        <v>60</v>
      </c>
      <c r="B76" s="92">
        <f>B77*1000000</f>
        <v>10.40387943544486</v>
      </c>
      <c r="C76" s="44" t="s">
        <v>87</v>
      </c>
    </row>
    <row r="77" spans="1:78" hidden="1" x14ac:dyDescent="0.2">
      <c r="A77" s="26"/>
      <c r="B77" s="45">
        <f>B64*(1/B62)</f>
        <v>1.0403879435444861E-5</v>
      </c>
      <c r="C77" s="44"/>
    </row>
    <row r="78" spans="1:78" x14ac:dyDescent="0.2">
      <c r="A78" s="2"/>
    </row>
    <row r="79" spans="1:78" hidden="1" x14ac:dyDescent="0.2">
      <c r="A79" s="2"/>
    </row>
    <row r="80" spans="1:78" hidden="1" x14ac:dyDescent="0.2">
      <c r="A80" s="46"/>
      <c r="B80" s="21"/>
      <c r="C80" s="21"/>
      <c r="D80" s="2"/>
      <c r="E80" s="2"/>
      <c r="F80" s="2"/>
      <c r="G80" s="2"/>
      <c r="H80" s="2"/>
      <c r="I80" s="2"/>
      <c r="J80" s="22"/>
      <c r="K80" s="22"/>
      <c r="L80" s="2"/>
      <c r="M80" s="2"/>
      <c r="N80" s="2"/>
      <c r="O80" s="2"/>
      <c r="P80" s="2"/>
      <c r="Q80" s="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</row>
    <row r="81" spans="1:78" hidden="1" x14ac:dyDescent="0.2">
      <c r="A81" s="2"/>
      <c r="B81" s="37"/>
      <c r="C81" s="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</row>
    <row r="82" spans="1:78" ht="15.75" x14ac:dyDescent="0.25">
      <c r="A82" s="83" t="s">
        <v>61</v>
      </c>
    </row>
    <row r="83" spans="1:78" x14ac:dyDescent="0.2">
      <c r="A83" s="2"/>
    </row>
    <row r="84" spans="1:78" x14ac:dyDescent="0.2">
      <c r="A84" s="4" t="s">
        <v>62</v>
      </c>
      <c r="B84" s="92">
        <f>B33*B38*B65</f>
        <v>0.11258263552225649</v>
      </c>
      <c r="C84" s="5" t="s">
        <v>28</v>
      </c>
      <c r="D84" t="s">
        <v>63</v>
      </c>
    </row>
    <row r="85" spans="1:78" x14ac:dyDescent="0.2">
      <c r="A85" s="4" t="s">
        <v>64</v>
      </c>
      <c r="B85" s="92">
        <f>(B65*B62)^2*B69*0.001</f>
        <v>5.1600171817319162E-3</v>
      </c>
      <c r="C85" s="5" t="s">
        <v>28</v>
      </c>
      <c r="D85" t="s">
        <v>65</v>
      </c>
    </row>
    <row r="86" spans="1:78" x14ac:dyDescent="0.2">
      <c r="A86" s="4" t="s">
        <v>66</v>
      </c>
      <c r="B86" s="92">
        <f>B37*B30*(1-B33)</f>
        <v>0.24969310645067666</v>
      </c>
      <c r="C86" s="5" t="s">
        <v>28</v>
      </c>
      <c r="D86" t="s">
        <v>67</v>
      </c>
    </row>
    <row r="87" spans="1:78" x14ac:dyDescent="0.2">
      <c r="A87" s="4" t="s">
        <v>68</v>
      </c>
      <c r="B87" s="92">
        <f>B30^2*B73</f>
        <v>0.17699999999999999</v>
      </c>
      <c r="C87" s="5" t="s">
        <v>28</v>
      </c>
      <c r="D87" t="s">
        <v>69</v>
      </c>
    </row>
    <row r="88" spans="1:78" x14ac:dyDescent="0.2">
      <c r="A88" s="4" t="s">
        <v>70</v>
      </c>
      <c r="B88" s="92">
        <f>0.003*B28</f>
        <v>7.2000000000000008E-2</v>
      </c>
      <c r="C88" s="5" t="s">
        <v>28</v>
      </c>
      <c r="D88" t="s">
        <v>71</v>
      </c>
      <c r="J88" s="2"/>
      <c r="K88" s="2"/>
    </row>
    <row r="89" spans="1:78" x14ac:dyDescent="0.2">
      <c r="A89" s="4" t="s">
        <v>72</v>
      </c>
      <c r="B89" s="92">
        <f>B28*B65*B56*0.00000005</f>
        <v>4.8000000000000001E-2</v>
      </c>
      <c r="C89" s="5" t="s">
        <v>28</v>
      </c>
      <c r="D89" t="s">
        <v>73</v>
      </c>
      <c r="J89" s="2"/>
      <c r="K89" s="2"/>
    </row>
    <row r="90" spans="1:78" x14ac:dyDescent="0.2">
      <c r="A90" s="4" t="s">
        <v>74</v>
      </c>
      <c r="B90" s="80"/>
      <c r="C90" s="5" t="s">
        <v>28</v>
      </c>
      <c r="D90" t="s">
        <v>75</v>
      </c>
    </row>
    <row r="91" spans="1:78" x14ac:dyDescent="0.2">
      <c r="A91" s="4" t="s">
        <v>76</v>
      </c>
      <c r="B91" s="92">
        <f>SUM(B84:B90)</f>
        <v>0.66443575915466524</v>
      </c>
      <c r="C91" s="5" t="s">
        <v>28</v>
      </c>
      <c r="D91" t="s">
        <v>77</v>
      </c>
    </row>
    <row r="92" spans="1:78" x14ac:dyDescent="0.2">
      <c r="A92" s="4" t="s">
        <v>78</v>
      </c>
      <c r="B92" s="92">
        <f>B29*B30</f>
        <v>1.65</v>
      </c>
      <c r="C92" s="5" t="s">
        <v>28</v>
      </c>
      <c r="D92" t="s">
        <v>79</v>
      </c>
      <c r="K92" s="51"/>
      <c r="L92" s="2"/>
      <c r="M92" s="2"/>
      <c r="N92" s="2"/>
      <c r="O92" s="2"/>
      <c r="P92" s="2"/>
      <c r="Q92" s="2"/>
    </row>
    <row r="93" spans="1:78" x14ac:dyDescent="0.2">
      <c r="A93" s="4" t="s">
        <v>80</v>
      </c>
      <c r="B93" s="92">
        <f>B91+B92</f>
        <v>2.3144357591546649</v>
      </c>
      <c r="C93" s="5" t="s">
        <v>28</v>
      </c>
      <c r="D93" t="s">
        <v>81</v>
      </c>
      <c r="K93" s="51"/>
      <c r="L93" s="2"/>
      <c r="M93" s="2"/>
      <c r="N93" s="2"/>
      <c r="O93" s="2"/>
      <c r="P93" s="2"/>
      <c r="Q93" s="2"/>
    </row>
    <row r="94" spans="1:78" x14ac:dyDescent="0.2">
      <c r="A94" s="4" t="s">
        <v>82</v>
      </c>
      <c r="B94" s="93">
        <f>B92/B93*100</f>
        <v>71.291674157447929</v>
      </c>
      <c r="C94" s="5" t="s">
        <v>33</v>
      </c>
      <c r="D94" t="s">
        <v>83</v>
      </c>
      <c r="K94" s="5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 spans="1:78" x14ac:dyDescent="0.2">
      <c r="A95" s="4" t="s">
        <v>84</v>
      </c>
      <c r="B95" s="92">
        <f>B84+B88+B89</f>
        <v>0.2325826355222565</v>
      </c>
      <c r="C95" s="5" t="s">
        <v>28</v>
      </c>
      <c r="D95" t="s">
        <v>85</v>
      </c>
    </row>
    <row r="96" spans="1:78" x14ac:dyDescent="0.2">
      <c r="A96" s="2"/>
      <c r="B96" s="37"/>
      <c r="L96" s="51"/>
    </row>
    <row r="97" spans="1:78" x14ac:dyDescent="0.2">
      <c r="A97" s="2"/>
      <c r="B97" s="37"/>
      <c r="L97" s="51"/>
    </row>
    <row r="98" spans="1:78" x14ac:dyDescent="0.2">
      <c r="A98" s="2"/>
      <c r="B98" s="37"/>
      <c r="L98" s="52"/>
    </row>
    <row r="99" spans="1:78" x14ac:dyDescent="0.2">
      <c r="A99" s="2"/>
    </row>
    <row r="100" spans="1:78" x14ac:dyDescent="0.2">
      <c r="A100" s="2"/>
    </row>
    <row r="101" spans="1:78" x14ac:dyDescent="0.2">
      <c r="A101" s="2"/>
    </row>
    <row r="102" spans="1:78" x14ac:dyDescent="0.2">
      <c r="A102" s="2"/>
    </row>
    <row r="103" spans="1:78" x14ac:dyDescent="0.2">
      <c r="A103" s="2"/>
    </row>
    <row r="104" spans="1:78" x14ac:dyDescent="0.2">
      <c r="A104" s="2"/>
    </row>
    <row r="105" spans="1:78" x14ac:dyDescent="0.2">
      <c r="A105" s="2"/>
    </row>
    <row r="106" spans="1:78" x14ac:dyDescent="0.2">
      <c r="A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 spans="1:78" x14ac:dyDescent="0.2">
      <c r="A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 spans="1:78" x14ac:dyDescent="0.2">
      <c r="A108" s="2"/>
    </row>
    <row r="109" spans="1:78" x14ac:dyDescent="0.2">
      <c r="A109" s="2"/>
    </row>
    <row r="110" spans="1:78" x14ac:dyDescent="0.2">
      <c r="A110" s="2"/>
    </row>
    <row r="111" spans="1:78" x14ac:dyDescent="0.2">
      <c r="A111" s="2"/>
    </row>
    <row r="112" spans="1:78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</sheetData>
  <conditionalFormatting sqref="H14">
    <cfRule type="cellIs" dxfId="11" priority="1" stopIfTrue="1" operator="lessThan">
      <formula>25</formula>
    </cfRule>
  </conditionalFormatting>
  <conditionalFormatting sqref="J30 K41 D66:K66 D30:G30">
    <cfRule type="expression" dxfId="10" priority="2" stopIfTrue="1">
      <formula>IF(EXACT(#REF!,"YES"),$B$66&gt;#REF!,$B$66&gt;1.5)</formula>
    </cfRule>
  </conditionalFormatting>
  <conditionalFormatting sqref="L41 D67:I67">
    <cfRule type="expression" dxfId="9" priority="3" stopIfTrue="1">
      <formula>IF(EXACT(#REF!,"YES"),$B$66&gt;#REF!,$B$66&gt;3.4)</formula>
    </cfRule>
  </conditionalFormatting>
  <conditionalFormatting sqref="B32">
    <cfRule type="cellIs" dxfId="8" priority="4" stopIfTrue="1" operator="greaterThan">
      <formula>0.83</formula>
    </cfRule>
  </conditionalFormatting>
  <conditionalFormatting sqref="B67">
    <cfRule type="expression" dxfId="7" priority="5" stopIfTrue="1">
      <formula>"if((B63&gt;=3.4)"</formula>
    </cfRule>
  </conditionalFormatting>
  <conditionalFormatting sqref="B66">
    <cfRule type="expression" dxfId="6" priority="6" stopIfTrue="1">
      <formula>IF(EXACT(#REF!,"YES"),$B$66&gt;#REF!,$B$66&gt;1.5)</formula>
    </cfRule>
  </conditionalFormatting>
  <conditionalFormatting sqref="B55">
    <cfRule type="expression" dxfId="5" priority="7" stopIfTrue="1">
      <formula>OR(AND(B55&gt;150, EXACT(#REF!, "NO")),$B$55&gt;250)</formula>
    </cfRule>
  </conditionalFormatting>
  <conditionalFormatting sqref="D55:K55">
    <cfRule type="expression" dxfId="4" priority="8" stopIfTrue="1">
      <formula>OR(AND($B$55&gt;150, EXACT(#REF!, "NO")), $B$55&gt;250)</formula>
    </cfRule>
  </conditionalFormatting>
  <conditionalFormatting sqref="B28">
    <cfRule type="cellIs" dxfId="3" priority="9" stopIfTrue="1" operator="lessThan">
      <formula>$B$29+$B$38+0.5</formula>
    </cfRule>
  </conditionalFormatting>
  <conditionalFormatting sqref="B31">
    <cfRule type="cellIs" dxfId="2" priority="10" stopIfTrue="1" operator="greaterThan">
      <formula>84</formula>
    </cfRule>
  </conditionalFormatting>
  <conditionalFormatting sqref="B30">
    <cfRule type="expression" dxfId="1" priority="11" stopIfTrue="1">
      <formula>$B$66&gt;1.5</formula>
    </cfRule>
  </conditionalFormatting>
  <conditionalFormatting sqref="H15">
    <cfRule type="cellIs" dxfId="0" priority="12" stopIfTrue="1" operator="greaterThan">
      <formula>$G$10</formula>
    </cfRule>
  </conditionalFormatting>
  <dataValidations count="15">
    <dataValidation type="list" allowBlank="1" showInputMessage="1" showErrorMessage="1" sqref="L8" xr:uid="{02E0754B-FCB8-4E20-A5B8-93AD12371C4C}">
      <formula1>$I$8:$K$8</formula1>
    </dataValidation>
    <dataValidation type="decimal" allowBlank="1" showInputMessage="1" showErrorMessage="1" sqref="L6" xr:uid="{B5D435A2-417F-4987-995C-01E1CCF3C8A6}">
      <formula1>20</formula1>
      <formula2>300</formula2>
    </dataValidation>
    <dataValidation showErrorMessage="1" errorTitle="WARING" error="Change the ratio of Vin and Vout_x000a_" sqref="B31" xr:uid="{9FF0F2F3-E8D8-4007-AE70-DF9916AA4499}"/>
    <dataValidation type="decimal" showErrorMessage="1" errorTitle="WARING" error="Change the ratio of Vin and Vout_x000a_" sqref="B32" xr:uid="{4F6F2234-A6F4-4F37-A702-560008666545}">
      <formula1>0</formula1>
      <formula2>0.85</formula2>
    </dataValidation>
    <dataValidation allowBlank="1" showInputMessage="1" showErrorMessage="1" promptTitle="External Switch Selected" prompt="Please Enter the Data for PNP switch you are using" sqref="K61" xr:uid="{B2E9B33D-158D-4A0C-8DEE-DEF13A9B4C14}"/>
    <dataValidation type="decimal" allowBlank="1" showErrorMessage="1" prompt="_x000a_" sqref="B28" xr:uid="{9186B16F-11C0-402F-ABB9-AC08D24BC985}">
      <formula1>4</formula1>
      <formula2>40</formula2>
    </dataValidation>
    <dataValidation type="decimal" allowBlank="1" showErrorMessage="1" prompt="_x000a_" sqref="B30" xr:uid="{FF3E2029-622B-416E-B7E7-2C808BC63119}">
      <formula1>0</formula1>
      <formula2>1.5</formula2>
    </dataValidation>
    <dataValidation type="decimal" allowBlank="1" showInputMessage="1" showErrorMessage="1" prompt="20kHz to 100kHz_x000a_Use of higher switching frequency allows you to choose smaller filter components._x000a_" sqref="B55" xr:uid="{44DB5267-9AFC-4A2D-8CCF-945BC2F4FE2E}">
      <formula1>20</formula1>
      <formula2>100</formula2>
    </dataValidation>
    <dataValidation type="decimal" allowBlank="1" showInputMessage="1" showErrorMessage="1" promptTitle="Inductor Winding Resistance" prompt="Used to estimate the losses and efficiency of the converter. Leave Blank if not required." sqref="B73" xr:uid="{32E1C96A-A4FE-4F87-9DA5-A2F664E98E4C}">
      <formula1>0</formula1>
      <formula2>100</formula2>
    </dataValidation>
    <dataValidation type="decimal" allowBlank="1" showInputMessage="1" showErrorMessage="1" promptTitle="Diode Forward Voltage Drop" sqref="B37" xr:uid="{CEC2C053-C10A-4665-9CBA-5B8CB3F297A2}">
      <formula1>0.1</formula1>
      <formula2>3</formula2>
    </dataValidation>
    <dataValidation type="list" allowBlank="1" showInputMessage="1" showErrorMessage="1" sqref="K3" xr:uid="{84019BC5-13EB-4B2F-A81A-F91110CCB0C4}">
      <formula1>$I$5:$L$5</formula1>
    </dataValidation>
    <dataValidation type="decimal" allowBlank="1" showInputMessage="1" showErrorMessage="1" sqref="B49" xr:uid="{33DE6082-9E13-437B-A1A7-D77CA9CF4C57}">
      <formula1>0</formula1>
      <formula2>100</formula2>
    </dataValidation>
    <dataValidation type="decimal" allowBlank="1" showInputMessage="1" showErrorMessage="1" sqref="B90" xr:uid="{D4C3A371-DD57-45D7-8A92-BAE3E10A46B7}">
      <formula1>0</formula1>
      <formula2>5</formula2>
    </dataValidation>
    <dataValidation allowBlank="1" showInputMessage="1" showErrorMessage="1" errorTitle="WARNING:" error="Power dissipation of device excedes the alowed limit." sqref="H15" xr:uid="{EDF6277B-7198-4F24-8986-60BE98EDA75E}"/>
    <dataValidation type="decimal" allowBlank="1" showErrorMessage="1" sqref="B29" xr:uid="{300C6B2B-E22A-4374-B0C2-893E5BD872A4}">
      <formula1>1.25</formula1>
      <formula2>B28*0.84</formula2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Visio.Drawing.11" shapeId="3073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5</xdr:col>
                <xdr:colOff>590550</xdr:colOff>
                <xdr:row>22</xdr:row>
                <xdr:rowOff>57150</xdr:rowOff>
              </to>
            </anchor>
          </objectPr>
        </oleObject>
      </mc:Choice>
      <mc:Fallback>
        <oleObject progId="Visio.Drawing.11" shapeId="3073" r:id="rId4"/>
      </mc:Fallback>
    </mc:AlternateContent>
  </oleObjects>
  <controls>
    <mc:AlternateContent xmlns:mc="http://schemas.openxmlformats.org/markup-compatibility/2006">
      <mc:Choice Requires="x14">
        <control shapeId="3075" r:id="rId6" name="ScrollBar2">
          <controlPr autoLine="0" linkedCell="B29" r:id="rId7">
            <anchor moveWithCells="1">
              <from>
                <xdr:col>11</xdr:col>
                <xdr:colOff>9525</xdr:colOff>
                <xdr:row>28</xdr:row>
                <xdr:rowOff>9525</xdr:rowOff>
              </from>
              <to>
                <xdr:col>15</xdr:col>
                <xdr:colOff>0</xdr:colOff>
                <xdr:row>29</xdr:row>
                <xdr:rowOff>9525</xdr:rowOff>
              </to>
            </anchor>
          </controlPr>
        </control>
      </mc:Choice>
      <mc:Fallback>
        <control shapeId="3075" r:id="rId6" name="ScrollBar2"/>
      </mc:Fallback>
    </mc:AlternateContent>
    <mc:AlternateContent xmlns:mc="http://schemas.openxmlformats.org/markup-compatibility/2006">
      <mc:Choice Requires="x14">
        <control shapeId="3074" r:id="rId8" name="ScrollBar1">
          <controlPr autoLine="0" linkedCell="B28" r:id="rId9">
            <anchor moveWithCells="1">
              <from>
                <xdr:col>11</xdr:col>
                <xdr:colOff>0</xdr:colOff>
                <xdr:row>27</xdr:row>
                <xdr:rowOff>9525</xdr:rowOff>
              </from>
              <to>
                <xdr:col>15</xdr:col>
                <xdr:colOff>0</xdr:colOff>
                <xdr:row>28</xdr:row>
                <xdr:rowOff>9525</xdr:rowOff>
              </to>
            </anchor>
          </controlPr>
        </control>
      </mc:Choice>
      <mc:Fallback>
        <control shapeId="3074" r:id="rId8" name="ScrollBa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397C-B36A-4A65-9144-BC7952978286}">
  <sheetPr codeName="Sheet2"/>
  <dimension ref="A1:R103"/>
  <sheetViews>
    <sheetView showGridLines="0" tabSelected="1" topLeftCell="A45" zoomScaleNormal="100" workbookViewId="0">
      <selection activeCell="B96" sqref="B96"/>
    </sheetView>
  </sheetViews>
  <sheetFormatPr defaultRowHeight="12.75" x14ac:dyDescent="0.2"/>
  <cols>
    <col min="1" max="1" width="15" customWidth="1"/>
    <col min="2" max="2" width="12.28515625" customWidth="1"/>
    <col min="3" max="3" width="11.5703125" customWidth="1"/>
    <col min="11" max="11" width="9.85546875" customWidth="1"/>
  </cols>
  <sheetData>
    <row r="1" spans="1:18" ht="15.75" x14ac:dyDescent="0.25">
      <c r="A1" s="60" t="s">
        <v>90</v>
      </c>
    </row>
    <row r="3" spans="1:18" ht="15.75" x14ac:dyDescent="0.25">
      <c r="H3" s="3" t="s">
        <v>115</v>
      </c>
      <c r="K3" s="77" t="s">
        <v>3</v>
      </c>
    </row>
    <row r="4" spans="1:18" hidden="1" x14ac:dyDescent="0.2">
      <c r="G4" s="56"/>
      <c r="H4" s="56"/>
      <c r="I4" s="55" t="b">
        <f>EXACT(K3,I5)</f>
        <v>0</v>
      </c>
      <c r="J4" s="55" t="b">
        <f>EXACT(K3,J5)</f>
        <v>1</v>
      </c>
      <c r="K4" s="55" t="b">
        <f>EXACT(K3,K5)</f>
        <v>0</v>
      </c>
      <c r="L4" s="55"/>
      <c r="M4" s="55"/>
      <c r="N4" s="54"/>
    </row>
    <row r="5" spans="1:18" x14ac:dyDescent="0.2">
      <c r="G5" s="87" t="s">
        <v>2</v>
      </c>
      <c r="H5" s="87"/>
      <c r="I5" s="87" t="s">
        <v>1</v>
      </c>
      <c r="J5" s="87" t="s">
        <v>3</v>
      </c>
      <c r="K5" s="87" t="s">
        <v>4</v>
      </c>
      <c r="L5" s="87" t="s">
        <v>114</v>
      </c>
      <c r="M5" s="54"/>
      <c r="N5" s="54"/>
    </row>
    <row r="6" spans="1:18" x14ac:dyDescent="0.2">
      <c r="G6" s="57" t="s">
        <v>5</v>
      </c>
      <c r="H6" s="57"/>
      <c r="I6" s="57">
        <v>107</v>
      </c>
      <c r="J6" s="57">
        <v>123</v>
      </c>
      <c r="K6" s="57">
        <v>47</v>
      </c>
      <c r="L6" s="89">
        <v>90</v>
      </c>
      <c r="M6" s="54" t="s">
        <v>86</v>
      </c>
      <c r="N6" s="54"/>
    </row>
    <row r="7" spans="1:18" x14ac:dyDescent="0.2">
      <c r="G7" s="57" t="s">
        <v>6</v>
      </c>
      <c r="H7" s="57"/>
      <c r="I7" s="57">
        <v>150</v>
      </c>
      <c r="J7" s="57">
        <v>150</v>
      </c>
      <c r="K7" s="57">
        <v>150</v>
      </c>
      <c r="L7" s="57">
        <v>150</v>
      </c>
      <c r="M7" s="54"/>
      <c r="N7" s="54"/>
    </row>
    <row r="8" spans="1:18" ht="14.25" customHeight="1" x14ac:dyDescent="0.2">
      <c r="G8" s="57" t="s">
        <v>7</v>
      </c>
      <c r="H8" s="57"/>
      <c r="I8" s="57">
        <v>0.95</v>
      </c>
      <c r="J8" s="57">
        <v>0.625</v>
      </c>
      <c r="K8" s="57">
        <v>1.2</v>
      </c>
      <c r="L8" s="89">
        <v>0.625</v>
      </c>
      <c r="M8" s="54"/>
      <c r="N8" s="54"/>
    </row>
    <row r="9" spans="1:18" hidden="1" x14ac:dyDescent="0.2">
      <c r="G9" s="53">
        <f>IF($I$4,I6,IF($J$4,J6,IF($K$4,K6,L6)))</f>
        <v>123</v>
      </c>
      <c r="H9" s="53"/>
      <c r="I9" s="54"/>
      <c r="J9" s="54"/>
      <c r="K9" s="54"/>
      <c r="L9" s="54"/>
      <c r="M9" s="54"/>
      <c r="N9" s="54"/>
    </row>
    <row r="10" spans="1:18" hidden="1" x14ac:dyDescent="0.2">
      <c r="G10" s="53">
        <f>IF($I$4,I8,IF($J$4,J8,IF($K$4,K8,L8)))</f>
        <v>0.625</v>
      </c>
      <c r="H10" s="53"/>
      <c r="I10" s="54"/>
      <c r="J10" s="54"/>
      <c r="K10" s="54"/>
      <c r="L10" s="54"/>
      <c r="M10" s="54"/>
      <c r="N10" s="54"/>
    </row>
    <row r="11" spans="1:18" x14ac:dyDescent="0.2">
      <c r="E11" t="s">
        <v>95</v>
      </c>
      <c r="I11" s="54"/>
      <c r="J11" s="54"/>
      <c r="K11" s="54"/>
      <c r="L11" s="54"/>
      <c r="M11" s="54"/>
      <c r="N11" s="53" t="str">
        <f>IF($I$4," PCB one-layer, size: 28 x 44 mm, 35um copper thickness, 1107 sqmm copper area",IF($J$4,"PCB one-layer, size: 28 x 41 mm,35um copper thickness, 840 sqmm copper area",IF($K$4,"PCB one-layer, size 52 x 52 mm, 35 um copper thickness, 2582 sqmm copper area","Fill in the Rthja value and Pdmax value related to your PCB")))</f>
        <v>PCB one-layer, size: 28 x 41 mm,35um copper thickness, 840 sqmm copper area</v>
      </c>
    </row>
    <row r="13" spans="1:18" x14ac:dyDescent="0.2">
      <c r="G13" t="s">
        <v>103</v>
      </c>
    </row>
    <row r="14" spans="1:18" x14ac:dyDescent="0.2">
      <c r="G14" s="15" t="s">
        <v>23</v>
      </c>
      <c r="H14" s="90">
        <f>150-(B100*G9)</f>
        <v>126.61988872064407</v>
      </c>
      <c r="I14" s="15" t="s">
        <v>24</v>
      </c>
      <c r="J14" t="str">
        <f>IF(H14&lt;25,"&lt;-- Very hot application","&lt;-- Maximum ambient temperature")</f>
        <v>&lt;-- Maximum ambient temperature</v>
      </c>
      <c r="K14" s="22"/>
      <c r="L14" s="22"/>
      <c r="R14" s="69"/>
    </row>
    <row r="15" spans="1:18" x14ac:dyDescent="0.2">
      <c r="G15" s="28" t="s">
        <v>27</v>
      </c>
      <c r="H15" s="92">
        <f>B100</f>
        <v>0.19008220552321892</v>
      </c>
      <c r="I15" s="5" t="s">
        <v>28</v>
      </c>
      <c r="J15" s="85" t="str">
        <f>IF(H15&gt;G10,"&lt;-- High Power Dissipation!!! ","&lt;-- Power Dissipation at the device")</f>
        <v>&lt;-- Power Dissipation at the device</v>
      </c>
      <c r="K15" s="86"/>
      <c r="L15" s="85"/>
      <c r="M15" s="85"/>
      <c r="N15" s="85"/>
    </row>
    <row r="17" spans="1:11" x14ac:dyDescent="0.2">
      <c r="G17" t="s">
        <v>110</v>
      </c>
    </row>
    <row r="18" spans="1:11" x14ac:dyDescent="0.2">
      <c r="G18" t="s">
        <v>118</v>
      </c>
    </row>
    <row r="19" spans="1:11" x14ac:dyDescent="0.2">
      <c r="G19" t="s">
        <v>106</v>
      </c>
    </row>
    <row r="22" spans="1:11" ht="15.75" x14ac:dyDescent="0.25">
      <c r="A22" s="70" t="s">
        <v>8</v>
      </c>
      <c r="B22" s="70"/>
      <c r="C22" s="70"/>
    </row>
    <row r="24" spans="1:11" x14ac:dyDescent="0.2">
      <c r="A24" s="9"/>
      <c r="B24" t="s">
        <v>91</v>
      </c>
    </row>
    <row r="25" spans="1:11" x14ac:dyDescent="0.2">
      <c r="A25" s="11"/>
      <c r="B25" t="s">
        <v>92</v>
      </c>
    </row>
    <row r="26" spans="1:11" x14ac:dyDescent="0.2">
      <c r="A26" s="67"/>
      <c r="B26" t="s">
        <v>99</v>
      </c>
    </row>
    <row r="28" spans="1:11" x14ac:dyDescent="0.2">
      <c r="C28" t="s">
        <v>11</v>
      </c>
      <c r="K28" t="s">
        <v>105</v>
      </c>
    </row>
    <row r="29" spans="1:11" x14ac:dyDescent="0.2">
      <c r="A29" s="15" t="s">
        <v>12</v>
      </c>
      <c r="B29" s="74">
        <v>24</v>
      </c>
      <c r="C29" s="15" t="s">
        <v>13</v>
      </c>
      <c r="D29" t="s">
        <v>88</v>
      </c>
      <c r="H29" s="16" t="s">
        <v>96</v>
      </c>
    </row>
    <row r="30" spans="1:11" x14ac:dyDescent="0.2">
      <c r="A30" s="15" t="s">
        <v>14</v>
      </c>
      <c r="B30" s="74">
        <v>30</v>
      </c>
      <c r="C30" s="15" t="s">
        <v>13</v>
      </c>
      <c r="D30" t="str">
        <f>IF(B30&gt;(B29+B39+0.5),"&lt;-- Desired output voltage","&lt;-- Low Output voltage")</f>
        <v>&lt;-- Desired output voltage</v>
      </c>
      <c r="H30" s="16" t="s">
        <v>97</v>
      </c>
    </row>
    <row r="31" spans="1:11" x14ac:dyDescent="0.2">
      <c r="A31" s="15" t="s">
        <v>17</v>
      </c>
      <c r="B31" s="74">
        <v>0.3</v>
      </c>
      <c r="C31" s="15" t="s">
        <v>18</v>
      </c>
      <c r="D31" t="str">
        <f>IF(B68&lt;1.5,"&lt;-- Desired output current","                                                                                              Switch transistor current exceedes max. value 1.5 A")</f>
        <v>&lt;-- Desired output current</v>
      </c>
    </row>
    <row r="32" spans="1:11" x14ac:dyDescent="0.2">
      <c r="A32" s="15" t="s">
        <v>19</v>
      </c>
      <c r="B32" s="97">
        <f>B33</f>
        <v>0.22259696458684661</v>
      </c>
      <c r="C32" s="19"/>
      <c r="D32" t="s">
        <v>94</v>
      </c>
    </row>
    <row r="33" spans="1:13" hidden="1" x14ac:dyDescent="0.2">
      <c r="B33" s="65">
        <f>B65/(B65+B79)</f>
        <v>0.22259696458684661</v>
      </c>
      <c r="C33" s="66">
        <f>B29+B39+0.5</f>
        <v>25.389462039045554</v>
      </c>
    </row>
    <row r="34" spans="1:13" x14ac:dyDescent="0.2">
      <c r="B34" s="65"/>
      <c r="C34" s="66"/>
    </row>
    <row r="35" spans="1:13" ht="15.75" x14ac:dyDescent="0.25">
      <c r="A35" s="70" t="s">
        <v>20</v>
      </c>
      <c r="B35" s="68"/>
      <c r="C35" s="68"/>
      <c r="D35" s="68"/>
      <c r="E35" s="68"/>
      <c r="F35" s="68"/>
      <c r="G35" s="68"/>
      <c r="H35" s="68"/>
      <c r="I35" s="68"/>
    </row>
    <row r="37" spans="1:13" x14ac:dyDescent="0.2">
      <c r="C37" t="s">
        <v>11</v>
      </c>
    </row>
    <row r="38" spans="1:13" x14ac:dyDescent="0.2">
      <c r="A38" s="15" t="s">
        <v>21</v>
      </c>
      <c r="B38" s="74">
        <v>0.6</v>
      </c>
      <c r="C38" s="15" t="s">
        <v>13</v>
      </c>
      <c r="D38" t="s">
        <v>22</v>
      </c>
    </row>
    <row r="39" spans="1:13" x14ac:dyDescent="0.2">
      <c r="A39" s="26" t="s">
        <v>25</v>
      </c>
      <c r="B39" s="98">
        <f>0.82+B67*0.18</f>
        <v>0.8894620390455531</v>
      </c>
      <c r="C39" s="27" t="s">
        <v>13</v>
      </c>
      <c r="D39" t="s">
        <v>26</v>
      </c>
    </row>
    <row r="40" spans="1:13" x14ac:dyDescent="0.2">
      <c r="A40" s="24"/>
      <c r="B40" s="24"/>
      <c r="C40" s="24"/>
      <c r="E40" s="10" t="s">
        <v>29</v>
      </c>
    </row>
    <row r="41" spans="1:13" x14ac:dyDescent="0.2">
      <c r="A41" s="24"/>
      <c r="B41" s="24"/>
      <c r="C41" s="24"/>
      <c r="D41" s="22"/>
      <c r="E41" s="30" t="s">
        <v>30</v>
      </c>
      <c r="F41" s="22"/>
      <c r="G41" s="22"/>
      <c r="H41" s="22"/>
      <c r="I41" s="22"/>
      <c r="J41" s="22"/>
    </row>
    <row r="43" spans="1:13" ht="15.75" x14ac:dyDescent="0.25">
      <c r="A43" s="71" t="s">
        <v>100</v>
      </c>
      <c r="B43" s="72"/>
      <c r="C43" s="7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x14ac:dyDescent="0.2">
      <c r="A45" s="2" t="s">
        <v>107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x14ac:dyDescent="0.2">
      <c r="A46" s="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">
      <c r="A47" s="2" t="s">
        <v>108</v>
      </c>
      <c r="B47" s="24"/>
      <c r="C47" s="24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x14ac:dyDescent="0.2">
      <c r="A48" s="2"/>
      <c r="B48" s="24"/>
      <c r="C48" s="24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x14ac:dyDescent="0.2">
      <c r="A49" s="31"/>
      <c r="B49" s="31"/>
      <c r="C49" s="14" t="s">
        <v>11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x14ac:dyDescent="0.2">
      <c r="A50" s="32" t="s">
        <v>32</v>
      </c>
      <c r="B50" s="75">
        <v>30</v>
      </c>
      <c r="C50" s="27" t="s">
        <v>33</v>
      </c>
      <c r="D50" t="s">
        <v>34</v>
      </c>
    </row>
    <row r="51" spans="1:13" x14ac:dyDescent="0.2">
      <c r="A51" s="27" t="s">
        <v>35</v>
      </c>
      <c r="B51" s="90">
        <f>B67*B50/100</f>
        <v>0.11577006507592191</v>
      </c>
      <c r="C51" s="27" t="s">
        <v>18</v>
      </c>
      <c r="D51" t="s">
        <v>36</v>
      </c>
    </row>
    <row r="52" spans="1:13" x14ac:dyDescent="0.2">
      <c r="A52" s="24"/>
      <c r="B52" s="24"/>
      <c r="C52" s="24"/>
    </row>
    <row r="53" spans="1:13" hidden="1" x14ac:dyDescent="0.2">
      <c r="A53" s="24"/>
      <c r="B53" s="24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x14ac:dyDescent="0.2">
      <c r="A54" s="23" t="s">
        <v>37</v>
      </c>
      <c r="B54" s="24"/>
      <c r="C54" s="24"/>
      <c r="D54" s="22"/>
      <c r="E54" s="22"/>
      <c r="F54" s="22"/>
      <c r="G54" s="22"/>
      <c r="H54" s="22"/>
      <c r="I54" s="22"/>
      <c r="J54" s="22"/>
      <c r="K54" s="22"/>
    </row>
    <row r="55" spans="1:13" x14ac:dyDescent="0.2">
      <c r="A55" s="24"/>
      <c r="B55" s="24"/>
      <c r="C55" s="14" t="s">
        <v>11</v>
      </c>
      <c r="D55" s="22"/>
      <c r="E55" s="22"/>
      <c r="F55" s="22"/>
      <c r="G55" s="22"/>
      <c r="H55" s="22"/>
      <c r="I55" s="22"/>
      <c r="J55" s="22"/>
      <c r="K55" s="22"/>
    </row>
    <row r="56" spans="1:13" x14ac:dyDescent="0.2">
      <c r="A56" s="15" t="s">
        <v>38</v>
      </c>
      <c r="B56" s="77">
        <v>90</v>
      </c>
      <c r="C56" s="33" t="s">
        <v>39</v>
      </c>
      <c r="D56" s="107" t="str">
        <f>IF(AND($B$56&gt;150, EXACT($L$62, "NO")), "&lt;--Switching frequency can not be more than 150kHz when using the internal switch",IF(AND($B$56&gt;250, EXACT($L$62, "YES")), "&lt;--Recommended switching frequency is not greater than 250 kHz when using the extenal switch","&lt;-- Targeted maximum switching frequency"))</f>
        <v>&lt;-- Targeted maximum switching frequency</v>
      </c>
      <c r="E56" s="108"/>
      <c r="F56" s="108"/>
      <c r="G56" s="108"/>
      <c r="H56" s="108"/>
      <c r="I56" s="108"/>
      <c r="J56" s="108"/>
      <c r="K56" s="108"/>
    </row>
    <row r="57" spans="1:13" hidden="1" x14ac:dyDescent="0.2">
      <c r="A57" s="24"/>
      <c r="B57" s="88">
        <f>B56*1000</f>
        <v>90000</v>
      </c>
      <c r="C57" s="36"/>
    </row>
    <row r="58" spans="1:13" x14ac:dyDescent="0.2">
      <c r="A58" s="101" t="s">
        <v>112</v>
      </c>
      <c r="B58" s="106">
        <f>4*0.00001*B65*1000000</f>
        <v>98.931984260820727</v>
      </c>
      <c r="C58" s="102" t="s">
        <v>120</v>
      </c>
      <c r="D58" t="s">
        <v>113</v>
      </c>
      <c r="J58" s="38" t="s">
        <v>41</v>
      </c>
    </row>
    <row r="59" spans="1:13" hidden="1" x14ac:dyDescent="0.2"/>
    <row r="61" spans="1:13" ht="15.75" x14ac:dyDescent="0.25">
      <c r="A61" s="82" t="s">
        <v>43</v>
      </c>
      <c r="B61" s="39"/>
      <c r="C61" s="39"/>
    </row>
    <row r="62" spans="1:13" x14ac:dyDescent="0.2">
      <c r="A62" s="2"/>
    </row>
    <row r="63" spans="1:13" x14ac:dyDescent="0.2">
      <c r="A63" s="31"/>
      <c r="B63" s="99"/>
      <c r="C63" s="14" t="s">
        <v>11</v>
      </c>
    </row>
    <row r="64" spans="1:13" x14ac:dyDescent="0.2">
      <c r="A64" s="43" t="s">
        <v>44</v>
      </c>
      <c r="B64" s="94">
        <f>(B30+B38-B29)/(B29-0.95)</f>
        <v>0.2863340563991324</v>
      </c>
      <c r="C64" s="44"/>
    </row>
    <row r="65" spans="1:12" x14ac:dyDescent="0.2">
      <c r="A65" s="26" t="s">
        <v>45</v>
      </c>
      <c r="B65" s="95">
        <f>B66*1000000</f>
        <v>2.4732996065205177</v>
      </c>
      <c r="C65" s="44" t="s">
        <v>87</v>
      </c>
    </row>
    <row r="66" spans="1:12" hidden="1" x14ac:dyDescent="0.2">
      <c r="A66" s="26"/>
      <c r="B66" s="96">
        <f>B64/(B57*(B64+1))</f>
        <v>2.4732996065205176E-6</v>
      </c>
      <c r="C66" s="44"/>
    </row>
    <row r="67" spans="1:12" x14ac:dyDescent="0.2">
      <c r="A67" s="15" t="s">
        <v>46</v>
      </c>
      <c r="B67" s="90">
        <f>B31*(B64+1)</f>
        <v>0.38590021691973969</v>
      </c>
      <c r="C67" s="44" t="s">
        <v>18</v>
      </c>
      <c r="D67" t="s">
        <v>89</v>
      </c>
    </row>
    <row r="68" spans="1:12" x14ac:dyDescent="0.2">
      <c r="A68" s="15" t="s">
        <v>48</v>
      </c>
      <c r="B68" s="90">
        <f>B67+(B51/2)</f>
        <v>0.44378524945770065</v>
      </c>
      <c r="C68" s="44" t="s">
        <v>18</v>
      </c>
      <c r="D68" t="str">
        <f>IF(B68&gt;1.5, "&lt;--Current Rating Exceeded Please Use and external switch of higher current rating", "&lt;-- Peak Inductor Current. For Boost Converter this equals IL(avg) + Iripple/2")</f>
        <v>&lt;-- Peak Inductor Current. For Boost Converter this equals IL(avg) + Iripple/2</v>
      </c>
      <c r="L68" t="s">
        <v>98</v>
      </c>
    </row>
    <row r="69" spans="1:12" x14ac:dyDescent="0.2">
      <c r="A69" s="2"/>
      <c r="C69" s="2"/>
    </row>
    <row r="70" spans="1:12" x14ac:dyDescent="0.2">
      <c r="A70" s="46"/>
      <c r="B70" s="21"/>
      <c r="C70" s="47" t="s">
        <v>11</v>
      </c>
      <c r="D70" s="22"/>
      <c r="E70" s="22"/>
      <c r="F70" s="22"/>
      <c r="G70" s="22"/>
      <c r="H70" s="22"/>
      <c r="I70" s="22"/>
    </row>
    <row r="71" spans="1:12" x14ac:dyDescent="0.2">
      <c r="A71" s="15" t="s">
        <v>50</v>
      </c>
      <c r="B71" s="93">
        <f>B72*1000</f>
        <v>676.00263948969859</v>
      </c>
      <c r="C71" s="48" t="s">
        <v>51</v>
      </c>
      <c r="D71" t="s">
        <v>52</v>
      </c>
      <c r="E71" s="22"/>
      <c r="F71" s="22"/>
      <c r="G71" s="22"/>
      <c r="H71" s="22"/>
      <c r="I71" s="22"/>
    </row>
    <row r="72" spans="1:12" hidden="1" x14ac:dyDescent="0.2">
      <c r="A72" s="15"/>
      <c r="B72" s="96">
        <f>0.3/B68</f>
        <v>0.67600263948969863</v>
      </c>
      <c r="C72" s="48"/>
      <c r="E72" s="22"/>
      <c r="F72" s="22"/>
      <c r="G72" s="22"/>
      <c r="H72" s="22"/>
      <c r="I72" s="22"/>
    </row>
    <row r="73" spans="1:12" x14ac:dyDescent="0.2">
      <c r="A73" s="15" t="s">
        <v>53</v>
      </c>
      <c r="B73" s="93">
        <f>B74*1000000</f>
        <v>493.73112477583135</v>
      </c>
      <c r="C73" s="48" t="s">
        <v>54</v>
      </c>
      <c r="D73" t="s">
        <v>55</v>
      </c>
      <c r="G73" s="10" t="s">
        <v>93</v>
      </c>
    </row>
    <row r="74" spans="1:12" hidden="1" x14ac:dyDescent="0.2">
      <c r="A74" s="20"/>
      <c r="B74" s="78">
        <f>((B29-B39)/B51)*B66</f>
        <v>4.9373112477583134E-4</v>
      </c>
      <c r="C74" s="49"/>
    </row>
    <row r="75" spans="1:12" ht="15.75" hidden="1" x14ac:dyDescent="0.3">
      <c r="A75" s="15" t="s">
        <v>57</v>
      </c>
      <c r="B75" s="79">
        <v>8.5999999999999993E-2</v>
      </c>
      <c r="C75" s="48" t="s">
        <v>58</v>
      </c>
      <c r="D75" t="s">
        <v>59</v>
      </c>
    </row>
    <row r="76" spans="1:12" hidden="1" x14ac:dyDescent="0.2">
      <c r="A76" s="20"/>
      <c r="B76" s="81"/>
      <c r="C76" s="49"/>
      <c r="E76" s="10"/>
    </row>
    <row r="77" spans="1:12" hidden="1" x14ac:dyDescent="0.2">
      <c r="A77" s="2"/>
      <c r="B77" s="68"/>
      <c r="C77" s="47"/>
    </row>
    <row r="78" spans="1:12" ht="15.75" x14ac:dyDescent="0.3">
      <c r="A78" s="15" t="s">
        <v>57</v>
      </c>
      <c r="B78" s="79">
        <v>2</v>
      </c>
      <c r="C78" s="48" t="s">
        <v>58</v>
      </c>
      <c r="D78" t="s">
        <v>59</v>
      </c>
    </row>
    <row r="79" spans="1:12" x14ac:dyDescent="0.2">
      <c r="A79" s="26" t="s">
        <v>60</v>
      </c>
      <c r="B79" s="92">
        <f>B80*1000000</f>
        <v>8.6378115045905925</v>
      </c>
      <c r="C79" s="44" t="s">
        <v>87</v>
      </c>
    </row>
    <row r="80" spans="1:12" hidden="1" x14ac:dyDescent="0.2">
      <c r="A80" s="26"/>
      <c r="B80" s="45">
        <f>B66*(1/B64)</f>
        <v>8.637811504590592E-6</v>
      </c>
      <c r="C80" s="44"/>
    </row>
    <row r="81" spans="1:13" hidden="1" x14ac:dyDescent="0.2"/>
    <row r="82" spans="1:13" hidden="1" x14ac:dyDescent="0.2"/>
    <row r="83" spans="1:13" hidden="1" x14ac:dyDescent="0.2"/>
    <row r="84" spans="1:13" hidden="1" x14ac:dyDescent="0.2"/>
    <row r="85" spans="1:13" hidden="1" x14ac:dyDescent="0.2"/>
    <row r="87" spans="1:13" ht="15.75" x14ac:dyDescent="0.25">
      <c r="A87" s="83" t="s">
        <v>61</v>
      </c>
    </row>
    <row r="88" spans="1:13" x14ac:dyDescent="0.2">
      <c r="A88" s="2"/>
    </row>
    <row r="89" spans="1:13" x14ac:dyDescent="0.2">
      <c r="A89" s="4" t="s">
        <v>62</v>
      </c>
      <c r="B89" s="92">
        <f>B39*B33*B67</f>
        <v>7.6404982095887017E-2</v>
      </c>
      <c r="C89" s="5" t="s">
        <v>28</v>
      </c>
      <c r="D89" t="s">
        <v>63</v>
      </c>
    </row>
    <row r="90" spans="1:13" x14ac:dyDescent="0.2">
      <c r="A90" s="4" t="s">
        <v>64</v>
      </c>
      <c r="B90" s="92">
        <f>B67^2*B72</f>
        <v>0.10066962180514948</v>
      </c>
      <c r="C90" s="5" t="s">
        <v>28</v>
      </c>
      <c r="D90" t="s">
        <v>65</v>
      </c>
    </row>
    <row r="91" spans="1:13" x14ac:dyDescent="0.2">
      <c r="A91" s="4" t="s">
        <v>66</v>
      </c>
      <c r="B91" s="92">
        <f>B38*B31</f>
        <v>0.18</v>
      </c>
      <c r="C91" s="5" t="s">
        <v>28</v>
      </c>
      <c r="D91" t="s">
        <v>67</v>
      </c>
    </row>
    <row r="92" spans="1:13" x14ac:dyDescent="0.2">
      <c r="A92" s="4" t="s">
        <v>68</v>
      </c>
      <c r="B92" s="92">
        <f>B67^2*B78</f>
        <v>0.29783795483740427</v>
      </c>
      <c r="C92" s="5" t="s">
        <v>28</v>
      </c>
      <c r="D92" t="s">
        <v>69</v>
      </c>
    </row>
    <row r="93" spans="1:13" x14ac:dyDescent="0.2">
      <c r="A93" s="4" t="s">
        <v>70</v>
      </c>
      <c r="B93" s="92">
        <f>0.003*B29</f>
        <v>7.2000000000000008E-2</v>
      </c>
      <c r="C93" s="5" t="s">
        <v>28</v>
      </c>
      <c r="D93" t="s">
        <v>71</v>
      </c>
    </row>
    <row r="94" spans="1:13" x14ac:dyDescent="0.2">
      <c r="A94" s="4" t="s">
        <v>72</v>
      </c>
      <c r="B94" s="92">
        <f>B29*B67*B57*0.00000005</f>
        <v>4.1677223427331891E-2</v>
      </c>
      <c r="C94" s="5" t="s">
        <v>28</v>
      </c>
      <c r="D94" t="s">
        <v>73</v>
      </c>
    </row>
    <row r="95" spans="1:13" x14ac:dyDescent="0.2">
      <c r="A95" s="4" t="s">
        <v>74</v>
      </c>
      <c r="B95" s="80"/>
      <c r="C95" s="5" t="s">
        <v>28</v>
      </c>
      <c r="D95" t="s">
        <v>75</v>
      </c>
    </row>
    <row r="96" spans="1:13" x14ac:dyDescent="0.2">
      <c r="A96" s="4" t="s">
        <v>76</v>
      </c>
      <c r="B96" s="92">
        <f>SUM(B89:B95)</f>
        <v>0.76858978216577278</v>
      </c>
      <c r="C96" s="5" t="s">
        <v>28</v>
      </c>
      <c r="D96" t="s">
        <v>77</v>
      </c>
      <c r="H96" s="62"/>
      <c r="I96" s="61"/>
      <c r="J96" s="61"/>
      <c r="K96" s="61"/>
      <c r="L96" s="61"/>
      <c r="M96" s="62"/>
    </row>
    <row r="97" spans="1:13" x14ac:dyDescent="0.2">
      <c r="A97" s="4" t="s">
        <v>78</v>
      </c>
      <c r="B97" s="92">
        <f>B30*B31</f>
        <v>9</v>
      </c>
      <c r="C97" s="5" t="s">
        <v>28</v>
      </c>
      <c r="D97" t="s">
        <v>79</v>
      </c>
      <c r="H97" s="63"/>
      <c r="I97" s="61"/>
      <c r="J97" s="61"/>
      <c r="K97" s="62"/>
      <c r="L97" s="63"/>
      <c r="M97" s="62"/>
    </row>
    <row r="98" spans="1:13" x14ac:dyDescent="0.2">
      <c r="A98" s="4" t="s">
        <v>80</v>
      </c>
      <c r="B98" s="92">
        <f>B96+B97</f>
        <v>9.7685897821657726</v>
      </c>
      <c r="C98" s="5" t="s">
        <v>28</v>
      </c>
      <c r="D98" t="s">
        <v>81</v>
      </c>
      <c r="H98" s="61"/>
      <c r="I98" s="61"/>
      <c r="J98" s="61"/>
      <c r="K98" s="61"/>
      <c r="L98" s="61"/>
      <c r="M98" s="62"/>
    </row>
    <row r="99" spans="1:13" x14ac:dyDescent="0.2">
      <c r="A99" s="4" t="s">
        <v>82</v>
      </c>
      <c r="B99" s="92">
        <f>B97/B98*100</f>
        <v>92.132029296910758</v>
      </c>
      <c r="C99" s="5" t="s">
        <v>33</v>
      </c>
      <c r="D99" t="s">
        <v>83</v>
      </c>
      <c r="H99" s="61"/>
      <c r="I99" s="61"/>
      <c r="J99" s="61"/>
      <c r="K99" s="61"/>
      <c r="L99" s="61"/>
      <c r="M99" s="62"/>
    </row>
    <row r="100" spans="1:13" x14ac:dyDescent="0.2">
      <c r="A100" s="4" t="s">
        <v>84</v>
      </c>
      <c r="B100" s="100">
        <f>B89+B93+B94</f>
        <v>0.19008220552321892</v>
      </c>
      <c r="C100" s="5"/>
      <c r="H100" s="64"/>
      <c r="I100" s="61"/>
      <c r="J100" s="61"/>
      <c r="K100" s="61"/>
      <c r="L100" s="61"/>
      <c r="M100" s="62"/>
    </row>
    <row r="101" spans="1:13" x14ac:dyDescent="0.2">
      <c r="A101" s="2"/>
      <c r="B101" s="37"/>
      <c r="H101" s="61"/>
      <c r="I101" s="62"/>
      <c r="J101" s="62"/>
      <c r="K101" s="62"/>
      <c r="L101" s="62"/>
      <c r="M101" s="62"/>
    </row>
    <row r="102" spans="1:13" x14ac:dyDescent="0.2">
      <c r="A102" s="2"/>
      <c r="B102" s="37"/>
    </row>
    <row r="103" spans="1:13" x14ac:dyDescent="0.2">
      <c r="A103" s="2"/>
      <c r="B103" s="37"/>
    </row>
  </sheetData>
  <mergeCells count="1">
    <mergeCell ref="D56:K56"/>
  </mergeCells>
  <phoneticPr fontId="11" type="noConversion"/>
  <conditionalFormatting sqref="H14">
    <cfRule type="cellIs" dxfId="20" priority="1" stopIfTrue="1" operator="lessThan">
      <formula>25</formula>
    </cfRule>
  </conditionalFormatting>
  <conditionalFormatting sqref="D68:K68 B31 H31:L31">
    <cfRule type="expression" dxfId="19" priority="2" stopIfTrue="1">
      <formula>IF(EXACT("YES", $L$62), $B$68&gt;$K$68, $B$68&gt;1.5)</formula>
    </cfRule>
  </conditionalFormatting>
  <conditionalFormatting sqref="B32">
    <cfRule type="cellIs" dxfId="18" priority="3" stopIfTrue="1" operator="greaterThan">
      <formula>83</formula>
    </cfRule>
  </conditionalFormatting>
  <conditionalFormatting sqref="D31:E31">
    <cfRule type="expression" dxfId="17" priority="4" stopIfTrue="1">
      <formula>IF(EXACT("YES", $L$62), $B$68&gt;$K$68, $B$68&gt;3.4)</formula>
    </cfRule>
  </conditionalFormatting>
  <conditionalFormatting sqref="B56">
    <cfRule type="expression" dxfId="16" priority="5" stopIfTrue="1">
      <formula>OR(AND(B56&gt;150, EXACT($L$62, "NO")),$B$56&gt;250)</formula>
    </cfRule>
  </conditionalFormatting>
  <conditionalFormatting sqref="D56">
    <cfRule type="expression" dxfId="15" priority="6" stopIfTrue="1">
      <formula>OR(AND($B$56&gt;150, EXACT($L$62, "NO")), $B$56&gt;250)</formula>
    </cfRule>
  </conditionalFormatting>
  <conditionalFormatting sqref="B68">
    <cfRule type="expression" dxfId="14" priority="7" stopIfTrue="1">
      <formula>IF(EXACT("YES", $L$62), $B$68&gt;$K$68, $B$68&gt;1.5)</formula>
    </cfRule>
  </conditionalFormatting>
  <conditionalFormatting sqref="B30">
    <cfRule type="cellIs" dxfId="13" priority="8" stopIfTrue="1" operator="lessThan">
      <formula>$C$33</formula>
    </cfRule>
  </conditionalFormatting>
  <conditionalFormatting sqref="H15">
    <cfRule type="cellIs" dxfId="12" priority="9" stopIfTrue="1" operator="greaterThan">
      <formula>$G$10</formula>
    </cfRule>
  </conditionalFormatting>
  <dataValidations count="9">
    <dataValidation type="decimal" allowBlank="1" showInputMessage="1" showErrorMessage="1" sqref="B30" xr:uid="{CFA2571A-DA48-4A9D-A519-4DB4D766B95A}">
      <formula1>B29+B39+0.5</formula1>
      <formula2>40</formula2>
    </dataValidation>
    <dataValidation allowBlank="1" showInputMessage="1" showErrorMessage="1" errorTitle="WARNING:" error="Power dissipation of device excedes the alowed limit." sqref="H15" xr:uid="{4803F212-D9A6-4B79-A71E-5EEF450B6A2C}"/>
    <dataValidation type="list" allowBlank="1" showInputMessage="1" showErrorMessage="1" sqref="K3" xr:uid="{0A360DC8-A1D2-4EBF-A9F4-B59479FE41E9}">
      <formula1>$I$5:$L$5</formula1>
    </dataValidation>
    <dataValidation type="decimal" allowBlank="1" showInputMessage="1" showErrorMessage="1" sqref="B29" xr:uid="{72B5FCE4-5268-4002-A7F7-A9AEEC569E3A}">
      <formula1>2.5</formula1>
      <formula2>38</formula2>
    </dataValidation>
    <dataValidation type="decimal" allowBlank="1" showInputMessage="1" showErrorMessage="1" prompt="_x000a_20kHz to 100kHz with Inrternal Switch_x000a_Use of higher switching frequency allows you to choose smaller filter components._x000a_" sqref="B56" xr:uid="{BCE58ED5-152E-4131-87C6-F0FFA1236780}">
      <formula1>20</formula1>
      <formula2>100</formula2>
    </dataValidation>
    <dataValidation allowBlank="1" showInputMessage="1" showErrorMessage="1" promptTitle="Inductor Winding Resistance" prompt="Used to estimate the losses and efficiency of the converter. Leave Blank if not required." sqref="B75" xr:uid="{12A591A1-E913-40A7-880C-425CD1B825B9}"/>
    <dataValidation type="decimal" allowBlank="1" showInputMessage="1" showErrorMessage="1" promptTitle="Inductor Winding Resistance" prompt="Used to estimate the losses and efficiency of the converter. Leave Blank if not required." sqref="B78" xr:uid="{85F921CC-B067-4FB9-BAF3-55F6F74ADC43}">
      <formula1>0</formula1>
      <formula2>100</formula2>
    </dataValidation>
    <dataValidation type="list" allowBlank="1" showInputMessage="1" showErrorMessage="1" sqref="L8" xr:uid="{E93AC760-DE9E-4001-A7A6-D995A79724BD}">
      <formula1>$I$8:$K$8</formula1>
    </dataValidation>
    <dataValidation type="decimal" allowBlank="1" showInputMessage="1" showErrorMessage="1" sqref="L6" xr:uid="{CEA7FDF7-4968-4FBD-802D-2E8C9CFFA7D0}">
      <formula1>20</formula1>
      <formula2>300</formula2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90" r:id="rId4">
          <objectPr defaultSize="0" autoPict="0" r:id="rId5">
            <anchor moveWithCells="1" sizeWithCells="1">
              <from>
                <xdr:col>10</xdr:col>
                <xdr:colOff>466725</xdr:colOff>
                <xdr:row>68</xdr:row>
                <xdr:rowOff>0</xdr:rowOff>
              </from>
              <to>
                <xdr:col>12</xdr:col>
                <xdr:colOff>133350</xdr:colOff>
                <xdr:row>72</xdr:row>
                <xdr:rowOff>123825</xdr:rowOff>
              </to>
            </anchor>
          </objectPr>
        </oleObject>
      </mc:Choice>
      <mc:Fallback>
        <oleObject progId="Equation.3" shapeId="2090" r:id="rId4"/>
      </mc:Fallback>
    </mc:AlternateContent>
  </oleObjects>
  <controls>
    <mc:AlternateContent xmlns:mc="http://schemas.openxmlformats.org/markup-compatibility/2006">
      <mc:Choice Requires="x14">
        <control shapeId="2138" r:id="rId6" name="ScrollBar2">
          <controlPr autoLine="0" linkedCell="B30" r:id="rId7">
            <anchor moveWithCells="1">
              <from>
                <xdr:col>10</xdr:col>
                <xdr:colOff>9525</xdr:colOff>
                <xdr:row>28</xdr:row>
                <xdr:rowOff>152400</xdr:rowOff>
              </from>
              <to>
                <xdr:col>13</xdr:col>
                <xdr:colOff>552450</xdr:colOff>
                <xdr:row>29</xdr:row>
                <xdr:rowOff>152400</xdr:rowOff>
              </to>
            </anchor>
          </controlPr>
        </control>
      </mc:Choice>
      <mc:Fallback>
        <control shapeId="2138" r:id="rId6" name="ScrollBar2"/>
      </mc:Fallback>
    </mc:AlternateContent>
    <mc:AlternateContent xmlns:mc="http://schemas.openxmlformats.org/markup-compatibility/2006">
      <mc:Choice Requires="x14">
        <control shapeId="2137" r:id="rId8" name="ScrollBar1">
          <controlPr autoLine="0" linkedCell="B29" r:id="rId9">
            <anchor moveWithCells="1">
              <from>
                <xdr:col>10</xdr:col>
                <xdr:colOff>9525</xdr:colOff>
                <xdr:row>28</xdr:row>
                <xdr:rowOff>9525</xdr:rowOff>
              </from>
              <to>
                <xdr:col>13</xdr:col>
                <xdr:colOff>552450</xdr:colOff>
                <xdr:row>29</xdr:row>
                <xdr:rowOff>0</xdr:rowOff>
              </to>
            </anchor>
          </controlPr>
        </control>
      </mc:Choice>
      <mc:Fallback>
        <control shapeId="2137" r:id="rId8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DOWN</vt:lpstr>
      <vt:lpstr>STEP DOWN (2)</vt:lpstr>
      <vt:lpstr>STEP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</dc:creator>
  <cp:lastModifiedBy>Jed Wang</cp:lastModifiedBy>
  <dcterms:created xsi:type="dcterms:W3CDTF">1996-10-14T23:33:28Z</dcterms:created>
  <dcterms:modified xsi:type="dcterms:W3CDTF">2025-05-14T01:34:48Z</dcterms:modified>
</cp:coreProperties>
</file>