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hi\Documents\Nerd Shit\rm_electrical-supercap\Design\"/>
    </mc:Choice>
  </mc:AlternateContent>
  <xr:revisionPtr revIDLastSave="0" documentId="13_ncr:1_{1DCEDC1A-5548-4E16-89A2-33C3651108D2}" xr6:coauthVersionLast="47" xr6:coauthVersionMax="47" xr10:uidLastSave="{00000000-0000-0000-0000-000000000000}"/>
  <bookViews>
    <workbookView xWindow="0" yWindow="0" windowWidth="14400" windowHeight="15600" activeTab="1" xr2:uid="{54449181-DBEC-415B-9D38-DA42EECC2BCF}"/>
  </bookViews>
  <sheets>
    <sheet name="Intro" sheetId="7" r:id="rId1"/>
    <sheet name="Boost Calculations" sheetId="1" r:id="rId2"/>
    <sheet name="Small Signal" sheetId="4" r:id="rId3"/>
    <sheet name="EVM Matching" sheetId="9" state="hidden" r:id="rId4"/>
    <sheet name="Std. R and C Values" sheetId="6" state="hidden" r:id="rId5"/>
    <sheet name="partdata" sheetId="8" state="hidden" r:id="rId6"/>
  </sheets>
  <definedNames>
    <definedName name="Acs">'Small Signal'!$C$56</definedName>
    <definedName name="aol">'Small Signal'!$C$58</definedName>
    <definedName name="C_f1">'Std. R and C Values'!$K$18</definedName>
    <definedName name="C_f2">'Std. R and C Values'!$K$25</definedName>
    <definedName name="c_s1">'Std. R and C Values'!$J$7</definedName>
    <definedName name="C_s2">'Std. R and C Values'!$J$20</definedName>
    <definedName name="Cbulkss">'Small Signal'!$F$17</definedName>
    <definedName name="Ccerss">'Small Signal'!$C$54</definedName>
    <definedName name="Ccomp">'Boost Calculations'!$D$174</definedName>
    <definedName name="Ccompss">'Small Signal'!$F$11</definedName>
    <definedName name="Cffss">'Small Signal'!$C$50</definedName>
    <definedName name="Chf">'Boost Calculations'!$D$177</definedName>
    <definedName name="Chfss">'Small Signal'!$F$12</definedName>
    <definedName name="Cin_chosen">'Boost Calculations'!$D$129</definedName>
    <definedName name="Co">'Boost Calculations'!$D$83</definedName>
    <definedName name="Co_esr">'Boost Calculations'!$D$84</definedName>
    <definedName name="Cochosen">'Boost Calculations'!$D$83</definedName>
    <definedName name="Coss">'Boost Calculations'!$D$94</definedName>
    <definedName name="CVcc">'Boost Calculations'!$D$117</definedName>
    <definedName name="DCR">'Boost Calculations'!$D$59</definedName>
    <definedName name="DCRss">'Small Signal'!$F$15</definedName>
    <definedName name="devfreqmax">'Boost Calculations'!$F$186</definedName>
    <definedName name="devfreqmin">'Boost Calculations'!$D$186</definedName>
    <definedName name="dItran">'Boost Calculations'!$D$15</definedName>
    <definedName name="Dmax">'Boost Calculations'!$D$45</definedName>
    <definedName name="Dmin">'Boost Calculations'!$D$46</definedName>
    <definedName name="Dnom">'Boost Calculations'!$D$44</definedName>
    <definedName name="Dss">'Small Signal'!$F$27</definedName>
    <definedName name="dVtran">'Boost Calculations'!$D$16</definedName>
    <definedName name="E12_f">'Std. R and C Values'!$F$22</definedName>
    <definedName name="E12_s">'Std. R and C Values'!$E$11</definedName>
    <definedName name="E24_f">'Std. R and C Values'!$F$47</definedName>
    <definedName name="E24_s">'Std. R and C Values'!$E$24</definedName>
    <definedName name="E48_f">'Std. R and C Values'!$F$96</definedName>
    <definedName name="E48_s">'Std. R and C Values'!$E$49</definedName>
    <definedName name="E6_f">'Std. R and C Values'!$F$9</definedName>
    <definedName name="E6_s">'Std. R and C Values'!$E$4</definedName>
    <definedName name="E96_f">'Std. R and C Values'!$H$99</definedName>
    <definedName name="E96_s">'Std. R and C Values'!$G$4</definedName>
    <definedName name="ESRss">'Small Signal'!$F$18</definedName>
    <definedName name="Fco_target">'Boost Calculations'!$D$167</definedName>
    <definedName name="Fm">'Small Signal'!$F$30</definedName>
    <definedName name="frhpz">'Boost Calculations'!$D$161</definedName>
    <definedName name="fsw">'Boost Calculations'!$D$14*1000</definedName>
    <definedName name="fswss">'Small Signal'!$F$13</definedName>
    <definedName name="gbw">'Small Signal'!$F$36</definedName>
    <definedName name="gea">'Boost Calculations'!$E$187</definedName>
    <definedName name="gea_typ">'Boost Calculations'!$E$187</definedName>
    <definedName name="Icrit">'Boost Calculations'!$F$61</definedName>
    <definedName name="Idrive_hs">'Boost Calculations'!$D$105</definedName>
    <definedName name="Idrive_ls">'Boost Calculations'!$D$90</definedName>
    <definedName name="Ien_hys">'Boost Calculations'!$E$204</definedName>
    <definedName name="Ien_pup">'Boost Calculations'!$E$203</definedName>
    <definedName name="Iin_max">'Boost Calculations'!$D$52</definedName>
    <definedName name="Ilpeak">'Boost Calculations'!$D$64</definedName>
    <definedName name="Ilrms">'Boost Calculations'!$D$63</definedName>
    <definedName name="Iout">'Boost Calculations'!$D$13</definedName>
    <definedName name="Ioutss">'Small Signal'!$F$7</definedName>
    <definedName name="Iq">'Boost Calculations'!$E$205</definedName>
    <definedName name="Iripple">'Boost Calculations'!$D$60</definedName>
    <definedName name="Irms_cin">'Boost Calculations'!$D$130</definedName>
    <definedName name="Irms_cout">'Boost Calculations'!$D$85</definedName>
    <definedName name="Isat">'Boost Calculations'!$E$64</definedName>
    <definedName name="Iss">'Boost Calculations'!$E$206</definedName>
    <definedName name="k_3">'Small Signal'!$C$49</definedName>
    <definedName name="Kind">'Boost Calculations'!$D$53</definedName>
    <definedName name="L">'Boost Calculations'!$D$58</definedName>
    <definedName name="Lss">'Small Signal'!$F$14</definedName>
    <definedName name="M">'Small Signal'!$F$28</definedName>
    <definedName name="mc">'Small Signal'!$F$35</definedName>
    <definedName name="Pind">'Boost Calculations'!$D$65</definedName>
    <definedName name="Pls_sw">'Boost Calculations'!$D$97</definedName>
    <definedName name="_xlnm.Print_Area" localSheetId="4">'Std. R and C Values'!$A$2:$I$46</definedName>
    <definedName name="PSgain_fco">'Boost Calculations'!$D$169</definedName>
    <definedName name="Psw_cond">'Boost Calculations'!$D$92</definedName>
    <definedName name="q0">'Small Signal'!$F$33</definedName>
    <definedName name="Qg_hs">'Boost Calculations'!$D$104</definedName>
    <definedName name="Qg_ls">'Boost Calculations'!$D$89</definedName>
    <definedName name="Qgd">'Boost Calculations'!$D$95</definedName>
    <definedName name="Rcerss">'Small Signal'!$C$55</definedName>
    <definedName name="Rcomp">'Boost Calculations'!$D$172</definedName>
    <definedName name="Rcompss">'Small Signal'!$F$10</definedName>
    <definedName name="Rdson_hs">'Boost Calculations'!$D$108</definedName>
    <definedName name="Rdson_ls">'Boost Calculations'!$D$91</definedName>
    <definedName name="Rdsonss">'Small Signal'!$C$16</definedName>
    <definedName name="Rea">'Boost Calculations'!$E$188</definedName>
    <definedName name="Rffss">'Small Signal'!$C$51</definedName>
    <definedName name="Rfreq">'Boost Calculations'!$D$49</definedName>
    <definedName name="Rg_hs">'Boost Calculations'!$D$110</definedName>
    <definedName name="Rg_ls">'Boost Calculations'!$D$96</definedName>
    <definedName name="Rgd_hs">'Boost Calculations'!$D$122</definedName>
    <definedName name="Rgd_ls">'Boost Calculations'!$D$121</definedName>
    <definedName name="Rhdrv_pd">'Boost Calculations'!$E$200</definedName>
    <definedName name="Rhdrv_pu">'Boost Calculations'!$E$199</definedName>
    <definedName name="Risense">'Small Signal'!$F$19</definedName>
    <definedName name="Rldrv_pd">'Boost Calculations'!$E$198</definedName>
    <definedName name="Rldrv_pu">'Boost Calculations'!$E$197</definedName>
    <definedName name="Ro">'Boost Calculations'!$D$158</definedName>
    <definedName name="Ross">'Small Signal'!$F$29</definedName>
    <definedName name="Rsense">'Boost Calculations'!$D$71</definedName>
    <definedName name="Rsh">'Boost Calculations'!$D$137</definedName>
    <definedName name="Rshss">'Small Signal'!$F$8</definedName>
    <definedName name="Rsl">'Boost Calculations'!$D$135</definedName>
    <definedName name="Rslss">'Small Signal'!$F$9</definedName>
    <definedName name="Ruvloh">'Boost Calculations'!$D$146</definedName>
    <definedName name="Ruvlol">'Boost Calculations'!$D$148</definedName>
    <definedName name="sess">'Small Signal'!$F$32</definedName>
    <definedName name="snss">'Small Signal'!$F$31</definedName>
    <definedName name="tnonoverlap">'Boost Calculations'!$E$196</definedName>
    <definedName name="toffmin">'Boost Calculations'!$E$191</definedName>
    <definedName name="tonmin">'Boost Calculations'!$E$190</definedName>
    <definedName name="tss">'Boost Calculations'!$D$140</definedName>
    <definedName name="Vcc_typ">'Boost Calculations'!$E$194</definedName>
    <definedName name="Vcs">'Boost Calculations'!$D$69</definedName>
    <definedName name="Vcs0duty_max">'Boost Calculations'!$F$192</definedName>
    <definedName name="Vcs0duty_min">'Boost Calculations'!$D$192</definedName>
    <definedName name="vdevmax">'Boost Calculations'!$F$184</definedName>
    <definedName name="Ven_dis">'Boost Calculations'!$E$202</definedName>
    <definedName name="Ven_on">'Boost Calculations'!$E$201</definedName>
    <definedName name="vf_body">'Boost Calculations'!$D$111</definedName>
    <definedName name="Vfboot">'Boost Calculations'!$D$119</definedName>
    <definedName name="Vfboot_int">'Boost Calculations'!$E$195</definedName>
    <definedName name="Vin_Max">'Boost Calculations'!$D$9</definedName>
    <definedName name="Vin_Min">'Boost Calculations'!$D$8</definedName>
    <definedName name="Vin_Nom">'Boost Calculations'!$D$7</definedName>
    <definedName name="Vinss">'Small Signal'!$F$3</definedName>
    <definedName name="Viripple">'Boost Calculations'!$D$10</definedName>
    <definedName name="Vout">'Boost Calculations'!$D$11</definedName>
    <definedName name="Vout_ripple">'Boost Calculations'!$D$12</definedName>
    <definedName name="Voutss">'Small Signal'!$F$6</definedName>
    <definedName name="Vref">'Boost Calculations'!$E$189</definedName>
    <definedName name="Vsl">'Small Signal'!$C$57</definedName>
    <definedName name="Vstart">'Boost Calculations'!$D$17</definedName>
    <definedName name="Vstop">'Boost Calculations'!$D$18</definedName>
    <definedName name="Vth">'Boost Calculations'!$D$93</definedName>
    <definedName name="wn">'Small Signal'!$F$34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03" i="1"/>
  <c r="D12" i="1"/>
  <c r="D110" i="1"/>
  <c r="D108" i="1"/>
  <c r="D104" i="1"/>
  <c r="D106" i="1" s="1"/>
  <c r="E106" i="1" s="1"/>
  <c r="F13" i="4"/>
  <c r="F6" i="4"/>
  <c r="D10" i="1"/>
  <c r="D39" i="1"/>
  <c r="E27" i="1"/>
  <c r="E28" i="1"/>
  <c r="D31" i="1"/>
  <c r="D30" i="1"/>
  <c r="D26" i="1"/>
  <c r="D25" i="1"/>
  <c r="D166" i="1"/>
  <c r="C7" i="4"/>
  <c r="F7" i="4" s="1"/>
  <c r="F29" i="4" s="1"/>
  <c r="D3" i="6"/>
  <c r="K4" i="6"/>
  <c r="C5" i="6"/>
  <c r="C6" i="6"/>
  <c r="C7" i="6"/>
  <c r="L7" i="6"/>
  <c r="C8" i="6"/>
  <c r="L20" i="6"/>
  <c r="C3" i="4"/>
  <c r="F3" i="4" s="1"/>
  <c r="C4" i="4"/>
  <c r="J4" i="4"/>
  <c r="K4" i="4"/>
  <c r="L4" i="4"/>
  <c r="C5" i="4"/>
  <c r="J5" i="4"/>
  <c r="K5" i="4"/>
  <c r="L5" i="4"/>
  <c r="C6" i="4"/>
  <c r="J6" i="4"/>
  <c r="K6" i="4"/>
  <c r="J7" i="4"/>
  <c r="K7" i="4"/>
  <c r="J8" i="4"/>
  <c r="K8" i="4"/>
  <c r="C9" i="4"/>
  <c r="F9" i="4"/>
  <c r="J9" i="4"/>
  <c r="K9" i="4"/>
  <c r="J10" i="4"/>
  <c r="K10" i="4"/>
  <c r="J11" i="4"/>
  <c r="K11" i="4"/>
  <c r="Q11" i="4"/>
  <c r="J12" i="4"/>
  <c r="K12" i="4"/>
  <c r="C13" i="4"/>
  <c r="J13" i="4"/>
  <c r="K13" i="4"/>
  <c r="L13" i="4"/>
  <c r="J14" i="4"/>
  <c r="K14" i="4"/>
  <c r="C15" i="4"/>
  <c r="F15" i="4"/>
  <c r="J15" i="4"/>
  <c r="K15" i="4"/>
  <c r="L15" i="4"/>
  <c r="C16" i="4"/>
  <c r="F16" i="4" s="1"/>
  <c r="J16" i="4"/>
  <c r="K16" i="4"/>
  <c r="Q16" i="4"/>
  <c r="J17" i="4"/>
  <c r="K17" i="4"/>
  <c r="J18" i="4"/>
  <c r="K18" i="4"/>
  <c r="J19" i="4"/>
  <c r="K19" i="4"/>
  <c r="J20" i="4"/>
  <c r="K20" i="4"/>
  <c r="Q20" i="4"/>
  <c r="J21" i="4"/>
  <c r="K21" i="4"/>
  <c r="J22" i="4"/>
  <c r="K22" i="4"/>
  <c r="J23" i="4"/>
  <c r="K23" i="4"/>
  <c r="J24" i="4"/>
  <c r="K24" i="4"/>
  <c r="L24" i="4"/>
  <c r="J25" i="4"/>
  <c r="K25" i="4"/>
  <c r="J26" i="4"/>
  <c r="K26" i="4"/>
  <c r="J27" i="4"/>
  <c r="K27" i="4"/>
  <c r="J28" i="4"/>
  <c r="K28" i="4"/>
  <c r="J29" i="4"/>
  <c r="K29" i="4"/>
  <c r="L29" i="4"/>
  <c r="J30" i="4"/>
  <c r="K30" i="4"/>
  <c r="J31" i="4"/>
  <c r="K31" i="4"/>
  <c r="L31" i="4"/>
  <c r="J32" i="4"/>
  <c r="K32" i="4"/>
  <c r="J33" i="4"/>
  <c r="K33" i="4"/>
  <c r="J34" i="4"/>
  <c r="K34" i="4"/>
  <c r="J35" i="4"/>
  <c r="K35" i="4"/>
  <c r="J36" i="4"/>
  <c r="K36" i="4"/>
  <c r="Q36" i="4"/>
  <c r="J37" i="4"/>
  <c r="K37" i="4"/>
  <c r="Q37" i="4"/>
  <c r="J38" i="4"/>
  <c r="K38" i="4"/>
  <c r="J39" i="4"/>
  <c r="K39" i="4"/>
  <c r="J40" i="4"/>
  <c r="K40" i="4"/>
  <c r="Q40" i="4"/>
  <c r="J41" i="4"/>
  <c r="K41" i="4"/>
  <c r="L41" i="4"/>
  <c r="J42" i="4"/>
  <c r="K42" i="4"/>
  <c r="L42" i="4"/>
  <c r="J43" i="4"/>
  <c r="K43" i="4"/>
  <c r="J44" i="4"/>
  <c r="K44" i="4"/>
  <c r="L44" i="4"/>
  <c r="J45" i="4"/>
  <c r="K45" i="4"/>
  <c r="L45" i="4"/>
  <c r="J46" i="4"/>
  <c r="K46" i="4"/>
  <c r="J47" i="4"/>
  <c r="K47" i="4"/>
  <c r="J48" i="4"/>
  <c r="K48" i="4"/>
  <c r="Q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L57" i="4"/>
  <c r="C58" i="4"/>
  <c r="J58" i="4"/>
  <c r="K58" i="4"/>
  <c r="L58" i="4"/>
  <c r="J59" i="4"/>
  <c r="K59" i="4"/>
  <c r="J60" i="4"/>
  <c r="K60" i="4"/>
  <c r="L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L69" i="4"/>
  <c r="J70" i="4"/>
  <c r="K70" i="4"/>
  <c r="J71" i="4"/>
  <c r="K71" i="4"/>
  <c r="J72" i="4"/>
  <c r="K72" i="4"/>
  <c r="J73" i="4"/>
  <c r="K73" i="4"/>
  <c r="J74" i="4"/>
  <c r="K74" i="4"/>
  <c r="J75" i="4"/>
  <c r="K75" i="4"/>
  <c r="L75" i="4"/>
  <c r="J76" i="4"/>
  <c r="K76" i="4"/>
  <c r="J77" i="4"/>
  <c r="K77" i="4"/>
  <c r="J78" i="4"/>
  <c r="K78" i="4"/>
  <c r="Q78" i="4"/>
  <c r="J79" i="4"/>
  <c r="K79" i="4"/>
  <c r="J80" i="4"/>
  <c r="K80" i="4"/>
  <c r="J81" i="4"/>
  <c r="K81" i="4"/>
  <c r="L81" i="4"/>
  <c r="J82" i="4"/>
  <c r="K82" i="4"/>
  <c r="L82" i="4"/>
  <c r="J83" i="4"/>
  <c r="K83" i="4"/>
  <c r="J84" i="4"/>
  <c r="K84" i="4"/>
  <c r="J85" i="4"/>
  <c r="K85" i="4"/>
  <c r="J86" i="4"/>
  <c r="K86" i="4"/>
  <c r="J87" i="4"/>
  <c r="K87" i="4"/>
  <c r="J88" i="4"/>
  <c r="K88" i="4"/>
  <c r="Q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Q93" i="4"/>
  <c r="J94" i="4"/>
  <c r="K94" i="4"/>
  <c r="Q94" i="4"/>
  <c r="J95" i="4"/>
  <c r="K95" i="4"/>
  <c r="J96" i="4"/>
  <c r="K96" i="4"/>
  <c r="J97" i="4"/>
  <c r="K97" i="4"/>
  <c r="J98" i="4"/>
  <c r="K98" i="4"/>
  <c r="Q98" i="4"/>
  <c r="J99" i="4"/>
  <c r="K99" i="4"/>
  <c r="J100" i="4"/>
  <c r="K100" i="4"/>
  <c r="Q100" i="4"/>
  <c r="J101" i="4"/>
  <c r="K101" i="4"/>
  <c r="J102" i="4"/>
  <c r="K102" i="4"/>
  <c r="J103" i="4"/>
  <c r="K103" i="4"/>
  <c r="Q103" i="4"/>
  <c r="J104" i="4"/>
  <c r="K104" i="4"/>
  <c r="J105" i="4"/>
  <c r="K105" i="4"/>
  <c r="J106" i="4"/>
  <c r="K106" i="4"/>
  <c r="Q106" i="4"/>
  <c r="J107" i="4"/>
  <c r="K107" i="4"/>
  <c r="L107" i="4"/>
  <c r="J108" i="4"/>
  <c r="K108" i="4"/>
  <c r="J109" i="4"/>
  <c r="K109" i="4"/>
  <c r="J110" i="4"/>
  <c r="K110" i="4"/>
  <c r="J111" i="4"/>
  <c r="K111" i="4"/>
  <c r="Q111" i="4"/>
  <c r="J112" i="4"/>
  <c r="K112" i="4"/>
  <c r="Q112" i="4"/>
  <c r="J113" i="4"/>
  <c r="K113" i="4"/>
  <c r="J114" i="4"/>
  <c r="K114" i="4"/>
  <c r="Q114" i="4"/>
  <c r="J115" i="4"/>
  <c r="K115" i="4"/>
  <c r="J116" i="4"/>
  <c r="K116" i="4"/>
  <c r="Q116" i="4"/>
  <c r="J117" i="4"/>
  <c r="K117" i="4"/>
  <c r="J118" i="4"/>
  <c r="K118" i="4"/>
  <c r="J119" i="4"/>
  <c r="K119" i="4"/>
  <c r="Q119" i="4"/>
  <c r="J120" i="4"/>
  <c r="K120" i="4"/>
  <c r="Q120" i="4"/>
  <c r="J121" i="4"/>
  <c r="K121" i="4"/>
  <c r="J122" i="4"/>
  <c r="K122" i="4"/>
  <c r="J123" i="4"/>
  <c r="K123" i="4"/>
  <c r="Q123" i="4"/>
  <c r="J124" i="4"/>
  <c r="K124" i="4"/>
  <c r="J125" i="4"/>
  <c r="K125" i="4"/>
  <c r="J126" i="4"/>
  <c r="K126" i="4"/>
  <c r="L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Q132" i="4"/>
  <c r="J133" i="4"/>
  <c r="K133" i="4"/>
  <c r="J134" i="4"/>
  <c r="K134" i="4"/>
  <c r="J135" i="4"/>
  <c r="K135" i="4"/>
  <c r="J136" i="4"/>
  <c r="K136" i="4"/>
  <c r="J137" i="4"/>
  <c r="K137" i="4"/>
  <c r="L137" i="4"/>
  <c r="J138" i="4"/>
  <c r="K138" i="4"/>
  <c r="J139" i="4"/>
  <c r="K139" i="4"/>
  <c r="J140" i="4"/>
  <c r="K140" i="4"/>
  <c r="J141" i="4"/>
  <c r="K141" i="4"/>
  <c r="Q141" i="4"/>
  <c r="J142" i="4"/>
  <c r="K142" i="4"/>
  <c r="J143" i="4"/>
  <c r="K143" i="4"/>
  <c r="L143" i="4"/>
  <c r="J144" i="4"/>
  <c r="K144" i="4"/>
  <c r="L144" i="4"/>
  <c r="J145" i="4"/>
  <c r="K145" i="4"/>
  <c r="J146" i="4"/>
  <c r="K146" i="4"/>
  <c r="J147" i="4"/>
  <c r="K147" i="4"/>
  <c r="Q147" i="4"/>
  <c r="J148" i="4"/>
  <c r="K148" i="4"/>
  <c r="Q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L159" i="4"/>
  <c r="J160" i="4"/>
  <c r="K160" i="4"/>
  <c r="J161" i="4"/>
  <c r="K161" i="4"/>
  <c r="J162" i="4"/>
  <c r="K162" i="4"/>
  <c r="J163" i="4"/>
  <c r="K163" i="4"/>
  <c r="Q163" i="4"/>
  <c r="J164" i="4"/>
  <c r="K164" i="4"/>
  <c r="J165" i="4"/>
  <c r="K165" i="4"/>
  <c r="Q165" i="4"/>
  <c r="J166" i="4"/>
  <c r="K166" i="4"/>
  <c r="Q166" i="4"/>
  <c r="J167" i="4"/>
  <c r="K167" i="4"/>
  <c r="Q167" i="4"/>
  <c r="J168" i="4"/>
  <c r="K168" i="4"/>
  <c r="J169" i="4"/>
  <c r="K169" i="4"/>
  <c r="J170" i="4"/>
  <c r="K170" i="4"/>
  <c r="L170" i="4"/>
  <c r="J171" i="4"/>
  <c r="K171" i="4"/>
  <c r="J172" i="4"/>
  <c r="K172" i="4"/>
  <c r="J173" i="4"/>
  <c r="K173" i="4"/>
  <c r="J174" i="4"/>
  <c r="K174" i="4"/>
  <c r="L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Q185" i="4"/>
  <c r="J186" i="4"/>
  <c r="K186" i="4"/>
  <c r="J187" i="4"/>
  <c r="K187" i="4"/>
  <c r="L187" i="4"/>
  <c r="J188" i="4"/>
  <c r="K188" i="4"/>
  <c r="J189" i="4"/>
  <c r="K189" i="4"/>
  <c r="J190" i="4"/>
  <c r="K190" i="4"/>
  <c r="J191" i="4"/>
  <c r="K191" i="4"/>
  <c r="Q191" i="4"/>
  <c r="J192" i="4"/>
  <c r="K192" i="4"/>
  <c r="J193" i="4"/>
  <c r="K193" i="4"/>
  <c r="Q193" i="4"/>
  <c r="J194" i="4"/>
  <c r="K194" i="4"/>
  <c r="L194" i="4"/>
  <c r="J195" i="4"/>
  <c r="K195" i="4"/>
  <c r="J196" i="4"/>
  <c r="K196" i="4"/>
  <c r="L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Q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Q214" i="4"/>
  <c r="J215" i="4"/>
  <c r="K215" i="4"/>
  <c r="J216" i="4"/>
  <c r="K216" i="4"/>
  <c r="Q216" i="4"/>
  <c r="J217" i="4"/>
  <c r="K217" i="4"/>
  <c r="J218" i="4"/>
  <c r="K218" i="4"/>
  <c r="L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Q240" i="4"/>
  <c r="J241" i="4"/>
  <c r="K241" i="4"/>
  <c r="L241" i="4"/>
  <c r="J242" i="4"/>
  <c r="K242" i="4"/>
  <c r="J243" i="4"/>
  <c r="K243" i="4"/>
  <c r="J244" i="4"/>
  <c r="K244" i="4"/>
  <c r="L244" i="4"/>
  <c r="J245" i="4"/>
  <c r="K245" i="4"/>
  <c r="J246" i="4"/>
  <c r="K246" i="4"/>
  <c r="J247" i="4"/>
  <c r="K247" i="4"/>
  <c r="Q247" i="4"/>
  <c r="J248" i="4"/>
  <c r="K248" i="4"/>
  <c r="J249" i="4"/>
  <c r="K249" i="4"/>
  <c r="J250" i="4"/>
  <c r="K250" i="4"/>
  <c r="L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L257" i="4"/>
  <c r="J258" i="4"/>
  <c r="K258" i="4"/>
  <c r="J259" i="4"/>
  <c r="K259" i="4"/>
  <c r="J260" i="4"/>
  <c r="K260" i="4"/>
  <c r="Q260" i="4"/>
  <c r="J261" i="4"/>
  <c r="K261" i="4"/>
  <c r="Q261" i="4"/>
  <c r="J262" i="4"/>
  <c r="K262" i="4"/>
  <c r="J263" i="4"/>
  <c r="K263" i="4"/>
  <c r="J264" i="4"/>
  <c r="K264" i="4"/>
  <c r="L264" i="4"/>
  <c r="J265" i="4"/>
  <c r="K265" i="4"/>
  <c r="J266" i="4"/>
  <c r="K266" i="4"/>
  <c r="J267" i="4"/>
  <c r="K267" i="4"/>
  <c r="L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L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L287" i="4"/>
  <c r="J288" i="4"/>
  <c r="K288" i="4"/>
  <c r="J289" i="4"/>
  <c r="K289" i="4"/>
  <c r="J290" i="4"/>
  <c r="K290" i="4"/>
  <c r="L290" i="4"/>
  <c r="J291" i="4"/>
  <c r="K291" i="4"/>
  <c r="Q291" i="4"/>
  <c r="J292" i="4"/>
  <c r="K292" i="4"/>
  <c r="Q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Q298" i="4"/>
  <c r="J299" i="4"/>
  <c r="K299" i="4"/>
  <c r="L299" i="4"/>
  <c r="J300" i="4"/>
  <c r="K300" i="4"/>
  <c r="Q300" i="4"/>
  <c r="J301" i="4"/>
  <c r="K301" i="4"/>
  <c r="Q301" i="4"/>
  <c r="J302" i="4"/>
  <c r="K302" i="4"/>
  <c r="Q302" i="4"/>
  <c r="J303" i="4"/>
  <c r="K303" i="4"/>
  <c r="J304" i="4"/>
  <c r="K304" i="4"/>
  <c r="J305" i="4"/>
  <c r="K305" i="4"/>
  <c r="J306" i="4"/>
  <c r="K306" i="4"/>
  <c r="Q306" i="4"/>
  <c r="J307" i="4"/>
  <c r="K307" i="4"/>
  <c r="J308" i="4"/>
  <c r="K308" i="4"/>
  <c r="Q308" i="4"/>
  <c r="J309" i="4"/>
  <c r="K309" i="4"/>
  <c r="J310" i="4"/>
  <c r="K310" i="4"/>
  <c r="L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L323" i="4"/>
  <c r="J324" i="4"/>
  <c r="K324" i="4"/>
  <c r="L324" i="4"/>
  <c r="J325" i="4"/>
  <c r="K325" i="4"/>
  <c r="J326" i="4"/>
  <c r="K326" i="4"/>
  <c r="L326" i="4"/>
  <c r="J327" i="4"/>
  <c r="K327" i="4"/>
  <c r="J328" i="4"/>
  <c r="K328" i="4"/>
  <c r="J329" i="4"/>
  <c r="K329" i="4"/>
  <c r="J330" i="4"/>
  <c r="K330" i="4"/>
  <c r="L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L342" i="4"/>
  <c r="J343" i="4"/>
  <c r="K343" i="4"/>
  <c r="Q343" i="4"/>
  <c r="J344" i="4"/>
  <c r="K344" i="4"/>
  <c r="L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L353" i="4"/>
  <c r="J354" i="4"/>
  <c r="K354" i="4"/>
  <c r="J355" i="4"/>
  <c r="K355" i="4"/>
  <c r="J356" i="4"/>
  <c r="K356" i="4"/>
  <c r="Q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Q364" i="4"/>
  <c r="L364" i="4"/>
  <c r="J365" i="4"/>
  <c r="K365" i="4"/>
  <c r="J366" i="4"/>
  <c r="K366" i="4"/>
  <c r="J367" i="4"/>
  <c r="K367" i="4"/>
  <c r="L367" i="4"/>
  <c r="J368" i="4"/>
  <c r="K368" i="4"/>
  <c r="J369" i="4"/>
  <c r="K369" i="4"/>
  <c r="J370" i="4"/>
  <c r="K370" i="4"/>
  <c r="J371" i="4"/>
  <c r="K371" i="4"/>
  <c r="J372" i="4"/>
  <c r="K372" i="4"/>
  <c r="Q372" i="4"/>
  <c r="J373" i="4"/>
  <c r="K373" i="4"/>
  <c r="J374" i="4"/>
  <c r="K374" i="4"/>
  <c r="J375" i="4"/>
  <c r="K375" i="4"/>
  <c r="L375" i="4"/>
  <c r="J376" i="4"/>
  <c r="K376" i="4"/>
  <c r="J377" i="4"/>
  <c r="K377" i="4"/>
  <c r="Q377" i="4"/>
  <c r="J378" i="4"/>
  <c r="K378" i="4"/>
  <c r="J379" i="4"/>
  <c r="K379" i="4"/>
  <c r="J380" i="4"/>
  <c r="K380" i="4"/>
  <c r="J381" i="4"/>
  <c r="K381" i="4"/>
  <c r="L381" i="4"/>
  <c r="J382" i="4"/>
  <c r="K382" i="4"/>
  <c r="J383" i="4"/>
  <c r="K383" i="4"/>
  <c r="L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Q390" i="4"/>
  <c r="J391" i="4"/>
  <c r="K391" i="4"/>
  <c r="J392" i="4"/>
  <c r="K392" i="4"/>
  <c r="J393" i="4"/>
  <c r="K393" i="4"/>
  <c r="Q393" i="4"/>
  <c r="J394" i="4"/>
  <c r="K394" i="4"/>
  <c r="J395" i="4"/>
  <c r="K395" i="4"/>
  <c r="J396" i="4"/>
  <c r="K396" i="4"/>
  <c r="L396" i="4"/>
  <c r="J397" i="4"/>
  <c r="K397" i="4"/>
  <c r="J398" i="4"/>
  <c r="K398" i="4"/>
  <c r="J399" i="4"/>
  <c r="K399" i="4"/>
  <c r="J400" i="4"/>
  <c r="K400" i="4"/>
  <c r="L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Q406" i="4"/>
  <c r="J407" i="4"/>
  <c r="K407" i="4"/>
  <c r="J408" i="4"/>
  <c r="K408" i="4"/>
  <c r="L408" i="4"/>
  <c r="J409" i="4"/>
  <c r="K409" i="4"/>
  <c r="J410" i="4"/>
  <c r="K410" i="4"/>
  <c r="J411" i="4"/>
  <c r="K411" i="4"/>
  <c r="Q411" i="4"/>
  <c r="J412" i="4"/>
  <c r="K412" i="4"/>
  <c r="Q412" i="4"/>
  <c r="J413" i="4"/>
  <c r="K413" i="4"/>
  <c r="J414" i="4"/>
  <c r="K414" i="4"/>
  <c r="Q414" i="4"/>
  <c r="J415" i="4"/>
  <c r="K415" i="4"/>
  <c r="J416" i="4"/>
  <c r="K416" i="4"/>
  <c r="Q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Q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Q429" i="4"/>
  <c r="J430" i="4"/>
  <c r="K430" i="4"/>
  <c r="J431" i="4"/>
  <c r="K431" i="4"/>
  <c r="Q431" i="4"/>
  <c r="J432" i="4"/>
  <c r="K432" i="4"/>
  <c r="J433" i="4"/>
  <c r="K433" i="4"/>
  <c r="J434" i="4"/>
  <c r="K434" i="4"/>
  <c r="Q434" i="4"/>
  <c r="J435" i="4"/>
  <c r="K435" i="4"/>
  <c r="Q435" i="4"/>
  <c r="J436" i="4"/>
  <c r="K436" i="4"/>
  <c r="J437" i="4"/>
  <c r="K437" i="4"/>
  <c r="L437" i="4"/>
  <c r="J438" i="4"/>
  <c r="K438" i="4"/>
  <c r="J439" i="4"/>
  <c r="K439" i="4"/>
  <c r="J440" i="4"/>
  <c r="K440" i="4"/>
  <c r="Q440" i="4"/>
  <c r="J441" i="4"/>
  <c r="K441" i="4"/>
  <c r="J442" i="4"/>
  <c r="K442" i="4"/>
  <c r="J443" i="4"/>
  <c r="K443" i="4"/>
  <c r="Q443" i="4"/>
  <c r="L443" i="4"/>
  <c r="J444" i="4"/>
  <c r="K444" i="4"/>
  <c r="J445" i="4"/>
  <c r="K445" i="4"/>
  <c r="J446" i="4"/>
  <c r="K446" i="4"/>
  <c r="L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L465" i="4"/>
  <c r="Q465" i="4"/>
  <c r="J466" i="4"/>
  <c r="K466" i="4"/>
  <c r="J467" i="4"/>
  <c r="K467" i="4"/>
  <c r="J468" i="4"/>
  <c r="K468" i="4"/>
  <c r="J469" i="4"/>
  <c r="K469" i="4"/>
  <c r="L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Q477" i="4"/>
  <c r="J478" i="4"/>
  <c r="K478" i="4"/>
  <c r="Q478" i="4"/>
  <c r="J479" i="4"/>
  <c r="K479" i="4"/>
  <c r="J480" i="4"/>
  <c r="K480" i="4"/>
  <c r="Q480" i="4"/>
  <c r="J481" i="4"/>
  <c r="K481" i="4"/>
  <c r="Q481" i="4"/>
  <c r="J482" i="4"/>
  <c r="K482" i="4"/>
  <c r="L482" i="4"/>
  <c r="J483" i="4"/>
  <c r="K483" i="4"/>
  <c r="L483" i="4"/>
  <c r="Q483" i="4"/>
  <c r="J484" i="4"/>
  <c r="K484" i="4"/>
  <c r="J485" i="4"/>
  <c r="K485" i="4"/>
  <c r="L485" i="4"/>
  <c r="J486" i="4"/>
  <c r="K486" i="4"/>
  <c r="J487" i="4"/>
  <c r="K487" i="4"/>
  <c r="Q487" i="4"/>
  <c r="J488" i="4"/>
  <c r="K488" i="4"/>
  <c r="J489" i="4"/>
  <c r="K489" i="4"/>
  <c r="Q489" i="4"/>
  <c r="L489" i="4"/>
  <c r="J490" i="4"/>
  <c r="K490" i="4"/>
  <c r="Q490" i="4"/>
  <c r="J491" i="4"/>
  <c r="K491" i="4"/>
  <c r="L491" i="4"/>
  <c r="J492" i="4"/>
  <c r="K492" i="4"/>
  <c r="J493" i="4"/>
  <c r="K493" i="4"/>
  <c r="Q493" i="4"/>
  <c r="J494" i="4"/>
  <c r="K494" i="4"/>
  <c r="J495" i="4"/>
  <c r="K495" i="4"/>
  <c r="Q495" i="4"/>
  <c r="L495" i="4"/>
  <c r="J496" i="4"/>
  <c r="K496" i="4"/>
  <c r="J497" i="4"/>
  <c r="K497" i="4"/>
  <c r="J498" i="4"/>
  <c r="K498" i="4"/>
  <c r="L498" i="4"/>
  <c r="J499" i="4"/>
  <c r="K499" i="4"/>
  <c r="J500" i="4"/>
  <c r="K500" i="4"/>
  <c r="L500" i="4"/>
  <c r="J501" i="4"/>
  <c r="K501" i="4"/>
  <c r="J502" i="4"/>
  <c r="K502" i="4"/>
  <c r="Q502" i="4"/>
  <c r="J503" i="4"/>
  <c r="K503" i="4"/>
  <c r="J504" i="4"/>
  <c r="K504" i="4"/>
  <c r="E187" i="1"/>
  <c r="E188" i="1"/>
  <c r="E194" i="1"/>
  <c r="E25" i="1"/>
  <c r="E195" i="1"/>
  <c r="D119" i="1"/>
  <c r="D118" i="1"/>
  <c r="D28" i="1"/>
  <c r="E197" i="1"/>
  <c r="E198" i="1"/>
  <c r="E199" i="1"/>
  <c r="D123" i="1"/>
  <c r="E200" i="1"/>
  <c r="D16" i="1"/>
  <c r="E21" i="1"/>
  <c r="D37" i="1"/>
  <c r="D43" i="1"/>
  <c r="E43" i="1"/>
  <c r="D44" i="1"/>
  <c r="E68" i="1" s="1"/>
  <c r="E74" i="1" s="1"/>
  <c r="D45" i="1"/>
  <c r="E47" i="1" s="1"/>
  <c r="D46" i="1"/>
  <c r="F69" i="1" s="1"/>
  <c r="F73" i="1" s="1"/>
  <c r="D90" i="1"/>
  <c r="D116" i="1" s="1"/>
  <c r="D105" i="1"/>
  <c r="D125" i="1"/>
  <c r="D145" i="1"/>
  <c r="E145" i="1"/>
  <c r="D146" i="1" s="1"/>
  <c r="D136" i="1"/>
  <c r="E136" i="1"/>
  <c r="D137" i="1" s="1"/>
  <c r="D48" i="1"/>
  <c r="E48" i="1"/>
  <c r="D49" i="1" s="1"/>
  <c r="D36" i="1" s="1"/>
  <c r="D141" i="1"/>
  <c r="E141" i="1"/>
  <c r="D142" i="1" s="1"/>
  <c r="D23" i="1" s="1"/>
  <c r="D158" i="1"/>
  <c r="D161" i="1" s="1"/>
  <c r="D165" i="1" s="1"/>
  <c r="D167" i="1" s="1"/>
  <c r="D15" i="1"/>
  <c r="Q326" i="4"/>
  <c r="Q44" i="4"/>
  <c r="L40" i="4"/>
  <c r="L147" i="4"/>
  <c r="L343" i="4"/>
  <c r="L103" i="4"/>
  <c r="L37" i="4"/>
  <c r="L141" i="4"/>
  <c r="Q81" i="4"/>
  <c r="Q196" i="4"/>
  <c r="L216" i="4"/>
  <c r="L377" i="4"/>
  <c r="L112" i="4"/>
  <c r="L185" i="4"/>
  <c r="L20" i="4"/>
  <c r="Q287" i="4"/>
  <c r="Q45" i="4"/>
  <c r="L261" i="4"/>
  <c r="Q241" i="4"/>
  <c r="Q24" i="4"/>
  <c r="L301" i="4"/>
  <c r="Q290" i="4"/>
  <c r="L66" i="4"/>
  <c r="Q66" i="4"/>
  <c r="L390" i="4"/>
  <c r="L248" i="4"/>
  <c r="Q248" i="4"/>
  <c r="Q29" i="4"/>
  <c r="Q15" i="4"/>
  <c r="Q264" i="4"/>
  <c r="L39" i="4"/>
  <c r="Q39" i="4"/>
  <c r="Q381" i="4"/>
  <c r="L243" i="4"/>
  <c r="Q243" i="4"/>
  <c r="L179" i="4"/>
  <c r="Q179" i="4"/>
  <c r="Q72" i="4"/>
  <c r="L72" i="4"/>
  <c r="L302" i="4"/>
  <c r="Q187" i="4"/>
  <c r="Q57" i="4"/>
  <c r="L193" i="4"/>
  <c r="L111" i="4"/>
  <c r="Q375" i="4"/>
  <c r="L114" i="4"/>
  <c r="L406" i="4"/>
  <c r="L306" i="4"/>
  <c r="Q133" i="4"/>
  <c r="L133" i="4"/>
  <c r="Q408" i="4"/>
  <c r="Q299" i="4"/>
  <c r="L260" i="4"/>
  <c r="L163" i="4"/>
  <c r="Q107" i="4"/>
  <c r="Q90" i="4"/>
  <c r="Q92" i="4"/>
  <c r="Q304" i="4"/>
  <c r="L304" i="4"/>
  <c r="Q437" i="4"/>
  <c r="L481" i="4"/>
  <c r="Q367" i="4"/>
  <c r="Q324" i="4"/>
  <c r="Q143" i="4"/>
  <c r="L88" i="4"/>
  <c r="Q69" i="4"/>
  <c r="Q5" i="4"/>
  <c r="L167" i="4"/>
  <c r="L106" i="4"/>
  <c r="L120" i="4"/>
  <c r="Q383" i="4"/>
  <c r="L36" i="4"/>
  <c r="Q75" i="4"/>
  <c r="Q485" i="4"/>
  <c r="L365" i="4"/>
  <c r="Q365" i="4"/>
  <c r="L289" i="4"/>
  <c r="Q289" i="4"/>
  <c r="L411" i="4"/>
  <c r="L308" i="4"/>
  <c r="L203" i="4"/>
  <c r="Q203" i="4"/>
  <c r="L173" i="4"/>
  <c r="Q173" i="4"/>
  <c r="Q374" i="4"/>
  <c r="L374" i="4"/>
  <c r="Q204" i="4"/>
  <c r="L204" i="4"/>
  <c r="Q194" i="4"/>
  <c r="Q124" i="4"/>
  <c r="L124" i="4"/>
  <c r="Q101" i="4"/>
  <c r="L101" i="4"/>
  <c r="Q33" i="4"/>
  <c r="L33" i="4"/>
  <c r="Q137" i="4"/>
  <c r="Q330" i="4"/>
  <c r="L393" i="4"/>
  <c r="Q170" i="4"/>
  <c r="Q344" i="4"/>
  <c r="Q274" i="4"/>
  <c r="Q310" i="4"/>
  <c r="Q244" i="4"/>
  <c r="Q323" i="4"/>
  <c r="L292" i="4"/>
  <c r="L98" i="4"/>
  <c r="L422" i="4"/>
  <c r="L414" i="4"/>
  <c r="L412" i="4"/>
  <c r="L284" i="4"/>
  <c r="Q284" i="4"/>
  <c r="Q252" i="4"/>
  <c r="L252" i="4"/>
  <c r="Q250" i="4"/>
  <c r="Q142" i="4"/>
  <c r="L142" i="4"/>
  <c r="L48" i="4"/>
  <c r="Q41" i="4"/>
  <c r="Q18" i="4"/>
  <c r="L18" i="4"/>
  <c r="L10" i="4"/>
  <c r="Q10" i="4"/>
  <c r="Q21" i="4"/>
  <c r="L21" i="4"/>
  <c r="L11" i="4"/>
  <c r="Q58" i="4"/>
  <c r="L298" i="4"/>
  <c r="L296" i="4"/>
  <c r="Q296" i="4"/>
  <c r="L259" i="4"/>
  <c r="Q259" i="4"/>
  <c r="Q144" i="4"/>
  <c r="L132" i="4"/>
  <c r="Q91" i="4"/>
  <c r="Q85" i="4"/>
  <c r="L85" i="4"/>
  <c r="Q245" i="4"/>
  <c r="L245" i="4"/>
  <c r="L207" i="4"/>
  <c r="Q174" i="4"/>
  <c r="L166" i="4"/>
  <c r="L151" i="4"/>
  <c r="Q151" i="4"/>
  <c r="L140" i="4"/>
  <c r="Q140" i="4"/>
  <c r="L78" i="4"/>
  <c r="Q469" i="4"/>
  <c r="L434" i="4"/>
  <c r="L431" i="4"/>
  <c r="L211" i="4"/>
  <c r="Q211" i="4"/>
  <c r="L178" i="4"/>
  <c r="Q178" i="4"/>
  <c r="Q146" i="4"/>
  <c r="L146" i="4"/>
  <c r="L97" i="4"/>
  <c r="Q97" i="4"/>
  <c r="L93" i="4"/>
  <c r="Q89" i="4"/>
  <c r="L73" i="4"/>
  <c r="Q73" i="4"/>
  <c r="Q71" i="4"/>
  <c r="L71" i="4"/>
  <c r="Q65" i="4"/>
  <c r="L65" i="4"/>
  <c r="Q60" i="4"/>
  <c r="Q52" i="4"/>
  <c r="L52" i="4"/>
  <c r="Q31" i="4"/>
  <c r="Q207" i="4"/>
  <c r="Q491" i="4"/>
  <c r="Q455" i="4"/>
  <c r="L455" i="4"/>
  <c r="L435" i="4"/>
  <c r="Q353" i="4"/>
  <c r="L300" i="4"/>
  <c r="L291" i="4"/>
  <c r="Q267" i="4"/>
  <c r="L263" i="4"/>
  <c r="Q263" i="4"/>
  <c r="Q218" i="4"/>
  <c r="L214" i="4"/>
  <c r="Q126" i="4"/>
  <c r="L117" i="4"/>
  <c r="Q117" i="4"/>
  <c r="L109" i="4"/>
  <c r="Q109" i="4"/>
  <c r="L17" i="4"/>
  <c r="Q17" i="4"/>
  <c r="Q13" i="4"/>
  <c r="Q4" i="4"/>
  <c r="L490" i="4"/>
  <c r="Q446" i="4"/>
  <c r="L429" i="4"/>
  <c r="Q400" i="4"/>
  <c r="L325" i="4"/>
  <c r="Q325" i="4"/>
  <c r="Q271" i="4"/>
  <c r="L271" i="4"/>
  <c r="Q262" i="4"/>
  <c r="L262" i="4"/>
  <c r="L255" i="4"/>
  <c r="Q255" i="4"/>
  <c r="L247" i="4"/>
  <c r="L199" i="4"/>
  <c r="Q199" i="4"/>
  <c r="Q128" i="4"/>
  <c r="L128" i="4"/>
  <c r="L123" i="4"/>
  <c r="L119" i="4"/>
  <c r="L100" i="4"/>
  <c r="Q82" i="4"/>
  <c r="Q46" i="4"/>
  <c r="L46" i="4"/>
  <c r="Q19" i="4"/>
  <c r="L19" i="4"/>
  <c r="L16" i="4"/>
  <c r="L206" i="4"/>
  <c r="L70" i="4"/>
  <c r="Q70" i="4"/>
  <c r="L487" i="4"/>
  <c r="L502" i="4"/>
  <c r="Q266" i="4"/>
  <c r="L266" i="4"/>
  <c r="Q168" i="4"/>
  <c r="L168" i="4"/>
  <c r="L165" i="4"/>
  <c r="L145" i="4"/>
  <c r="Q145" i="4"/>
  <c r="Q131" i="4"/>
  <c r="L131" i="4"/>
  <c r="L104" i="4"/>
  <c r="Q104" i="4"/>
  <c r="Q51" i="4"/>
  <c r="L51" i="4"/>
  <c r="L94" i="4"/>
  <c r="D32" i="1"/>
  <c r="C19" i="4"/>
  <c r="F19" i="4" s="1"/>
  <c r="D159" i="1"/>
  <c r="D72" i="1"/>
  <c r="E32" i="1" s="1"/>
  <c r="E159" i="1"/>
  <c r="Q504" i="4"/>
  <c r="L504" i="4"/>
  <c r="Q500" i="4"/>
  <c r="Q498" i="4"/>
  <c r="L480" i="4"/>
  <c r="Q442" i="4"/>
  <c r="L442" i="4"/>
  <c r="L440" i="4"/>
  <c r="L372" i="4"/>
  <c r="Q360" i="4"/>
  <c r="L360" i="4"/>
  <c r="Q358" i="4"/>
  <c r="L358" i="4"/>
  <c r="L356" i="4"/>
  <c r="Q354" i="4"/>
  <c r="L354" i="4"/>
  <c r="L352" i="4"/>
  <c r="Q352" i="4"/>
  <c r="Q342" i="4"/>
  <c r="Q337" i="4"/>
  <c r="L337" i="4"/>
  <c r="Q321" i="4"/>
  <c r="L321" i="4"/>
  <c r="Q276" i="4"/>
  <c r="L276" i="4"/>
  <c r="L240" i="4"/>
  <c r="L238" i="4"/>
  <c r="Q238" i="4"/>
  <c r="Q236" i="4"/>
  <c r="L236" i="4"/>
  <c r="Q230" i="4"/>
  <c r="L230" i="4"/>
  <c r="Q228" i="4"/>
  <c r="L228" i="4"/>
  <c r="L190" i="4"/>
  <c r="Q190" i="4"/>
  <c r="Q183" i="4"/>
  <c r="L183" i="4"/>
  <c r="L181" i="4"/>
  <c r="Q181" i="4"/>
  <c r="Q176" i="4"/>
  <c r="L176" i="4"/>
  <c r="L171" i="4"/>
  <c r="Q171" i="4"/>
  <c r="Q164" i="4"/>
  <c r="L164" i="4"/>
  <c r="Q161" i="4"/>
  <c r="L161" i="4"/>
  <c r="Q158" i="4"/>
  <c r="L158" i="4"/>
  <c r="L155" i="4"/>
  <c r="Q155" i="4"/>
  <c r="Q152" i="4"/>
  <c r="L152" i="4"/>
  <c r="L149" i="4"/>
  <c r="Q149" i="4"/>
  <c r="L135" i="4"/>
  <c r="Q135" i="4"/>
  <c r="L127" i="4"/>
  <c r="Q127" i="4"/>
  <c r="Q122" i="4"/>
  <c r="L122" i="4"/>
  <c r="Q110" i="4"/>
  <c r="L110" i="4"/>
  <c r="Q102" i="4"/>
  <c r="L102" i="4"/>
  <c r="Q87" i="4"/>
  <c r="L87" i="4"/>
  <c r="L76" i="4"/>
  <c r="Q76" i="4"/>
  <c r="L62" i="4"/>
  <c r="Q62" i="4"/>
  <c r="Q59" i="4"/>
  <c r="L59" i="4"/>
  <c r="Q56" i="4"/>
  <c r="L56" i="4"/>
  <c r="Q54" i="4"/>
  <c r="L54" i="4"/>
  <c r="Q34" i="4"/>
  <c r="L34" i="4"/>
  <c r="Q28" i="4"/>
  <c r="L28" i="4"/>
  <c r="L25" i="4"/>
  <c r="Q25" i="4"/>
  <c r="L22" i="4"/>
  <c r="Q22" i="4"/>
  <c r="L12" i="4"/>
  <c r="Q12" i="4"/>
  <c r="Q9" i="4"/>
  <c r="L9" i="4"/>
  <c r="Q6" i="4"/>
  <c r="L6" i="4"/>
  <c r="Q503" i="4"/>
  <c r="L503" i="4"/>
  <c r="Q501" i="4"/>
  <c r="L501" i="4"/>
  <c r="Q482" i="4"/>
  <c r="L479" i="4"/>
  <c r="Q479" i="4"/>
  <c r="L477" i="4"/>
  <c r="Q463" i="4"/>
  <c r="L463" i="4"/>
  <c r="Q453" i="4"/>
  <c r="L453" i="4"/>
  <c r="L417" i="4"/>
  <c r="Q417" i="4"/>
  <c r="L373" i="4"/>
  <c r="Q373" i="4"/>
  <c r="L371" i="4"/>
  <c r="Q371" i="4"/>
  <c r="L369" i="4"/>
  <c r="Q369" i="4"/>
  <c r="Q366" i="4"/>
  <c r="L366" i="4"/>
  <c r="L362" i="4"/>
  <c r="Q362" i="4"/>
  <c r="Q359" i="4"/>
  <c r="L359" i="4"/>
  <c r="Q357" i="4"/>
  <c r="L357" i="4"/>
  <c r="L355" i="4"/>
  <c r="Q355" i="4"/>
  <c r="Q349" i="4"/>
  <c r="L349" i="4"/>
  <c r="Q347" i="4"/>
  <c r="L347" i="4"/>
  <c r="Q341" i="4"/>
  <c r="L341" i="4"/>
  <c r="L339" i="4"/>
  <c r="Q339" i="4"/>
  <c r="Q335" i="4"/>
  <c r="L335" i="4"/>
  <c r="Q327" i="4"/>
  <c r="L327" i="4"/>
  <c r="Q319" i="4"/>
  <c r="L319" i="4"/>
  <c r="L282" i="4"/>
  <c r="Q282" i="4"/>
  <c r="Q278" i="4"/>
  <c r="L278" i="4"/>
  <c r="Q234" i="4"/>
  <c r="L234" i="4"/>
  <c r="Q231" i="4"/>
  <c r="L231" i="4"/>
  <c r="L229" i="4"/>
  <c r="Q229" i="4"/>
  <c r="L201" i="4"/>
  <c r="Q201" i="4"/>
  <c r="L191" i="4"/>
  <c r="L184" i="4"/>
  <c r="Q184" i="4"/>
  <c r="Q180" i="4"/>
  <c r="L180" i="4"/>
  <c r="L177" i="4"/>
  <c r="Q177" i="4"/>
  <c r="Q175" i="4"/>
  <c r="L175" i="4"/>
  <c r="L172" i="4"/>
  <c r="Q172" i="4"/>
  <c r="Q160" i="4"/>
  <c r="L160" i="4"/>
  <c r="L156" i="4"/>
  <c r="Q156" i="4"/>
  <c r="Q154" i="4"/>
  <c r="L154" i="4"/>
  <c r="L150" i="4"/>
  <c r="Q150" i="4"/>
  <c r="L139" i="4"/>
  <c r="Q139" i="4"/>
  <c r="Q136" i="4"/>
  <c r="L136" i="4"/>
  <c r="Q118" i="4"/>
  <c r="L118" i="4"/>
  <c r="Q96" i="4"/>
  <c r="L96" i="4"/>
  <c r="L86" i="4"/>
  <c r="Q86" i="4"/>
  <c r="L83" i="4"/>
  <c r="Q83" i="4"/>
  <c r="L80" i="4"/>
  <c r="Q80" i="4"/>
  <c r="Q77" i="4"/>
  <c r="L77" i="4"/>
  <c r="Q64" i="4"/>
  <c r="L64" i="4"/>
  <c r="Q61" i="4"/>
  <c r="L61" i="4"/>
  <c r="L55" i="4"/>
  <c r="Q55" i="4"/>
  <c r="Q49" i="4"/>
  <c r="L49" i="4"/>
  <c r="L38" i="4"/>
  <c r="Q38" i="4"/>
  <c r="L35" i="4"/>
  <c r="Q35" i="4"/>
  <c r="L27" i="4"/>
  <c r="Q27" i="4"/>
  <c r="Q23" i="4"/>
  <c r="L23" i="4"/>
  <c r="F32" i="4"/>
  <c r="F34" i="4"/>
  <c r="Q7" i="4"/>
  <c r="L7" i="4"/>
  <c r="Q472" i="4"/>
  <c r="L472" i="4"/>
  <c r="Q427" i="4"/>
  <c r="L427" i="4"/>
  <c r="L415" i="4"/>
  <c r="Q415" i="4"/>
  <c r="L388" i="4"/>
  <c r="Q388" i="4"/>
  <c r="Q474" i="4"/>
  <c r="L474" i="4"/>
  <c r="Q396" i="4"/>
  <c r="Q419" i="4"/>
  <c r="L419" i="4"/>
  <c r="D47" i="1"/>
  <c r="Q497" i="4"/>
  <c r="L497" i="4"/>
  <c r="L488" i="4"/>
  <c r="Q488" i="4"/>
  <c r="L473" i="4"/>
  <c r="Q473" i="4"/>
  <c r="L470" i="4"/>
  <c r="Q470" i="4"/>
  <c r="L468" i="4"/>
  <c r="Q468" i="4"/>
  <c r="L462" i="4"/>
  <c r="Q462" i="4"/>
  <c r="L460" i="4"/>
  <c r="Q460" i="4"/>
  <c r="Q458" i="4"/>
  <c r="L458" i="4"/>
  <c r="L456" i="4"/>
  <c r="Q456" i="4"/>
  <c r="L452" i="4"/>
  <c r="Q452" i="4"/>
  <c r="Q450" i="4"/>
  <c r="L450" i="4"/>
  <c r="L444" i="4"/>
  <c r="Q444" i="4"/>
  <c r="Q430" i="4"/>
  <c r="L430" i="4"/>
  <c r="Q407" i="4"/>
  <c r="L407" i="4"/>
  <c r="L405" i="4"/>
  <c r="Q405" i="4"/>
  <c r="L403" i="4"/>
  <c r="Q403" i="4"/>
  <c r="Q401" i="4"/>
  <c r="L401" i="4"/>
  <c r="L399" i="4"/>
  <c r="Q399" i="4"/>
  <c r="Q397" i="4"/>
  <c r="L397" i="4"/>
  <c r="Q394" i="4"/>
  <c r="L394" i="4"/>
  <c r="L392" i="4"/>
  <c r="Q392" i="4"/>
  <c r="L387" i="4"/>
  <c r="Q387" i="4"/>
  <c r="L385" i="4"/>
  <c r="Q385" i="4"/>
  <c r="L380" i="4"/>
  <c r="Q380" i="4"/>
  <c r="L378" i="4"/>
  <c r="Q378" i="4"/>
  <c r="L376" i="4"/>
  <c r="Q376" i="4"/>
  <c r="Q350" i="4"/>
  <c r="L350" i="4"/>
  <c r="L346" i="4"/>
  <c r="Q346" i="4"/>
  <c r="Q338" i="4"/>
  <c r="L338" i="4"/>
  <c r="Q334" i="4"/>
  <c r="L334" i="4"/>
  <c r="L332" i="4"/>
  <c r="Q332" i="4"/>
  <c r="Q322" i="4"/>
  <c r="L322" i="4"/>
  <c r="Q318" i="4"/>
  <c r="L318" i="4"/>
  <c r="L316" i="4"/>
  <c r="Q316" i="4"/>
  <c r="Q314" i="4"/>
  <c r="L314" i="4"/>
  <c r="L312" i="4"/>
  <c r="Q312" i="4"/>
  <c r="Q307" i="4"/>
  <c r="L307" i="4"/>
  <c r="L303" i="4"/>
  <c r="Q303" i="4"/>
  <c r="L295" i="4"/>
  <c r="Q295" i="4"/>
  <c r="Q285" i="4"/>
  <c r="L285" i="4"/>
  <c r="Q281" i="4"/>
  <c r="L281" i="4"/>
  <c r="L277" i="4"/>
  <c r="Q277" i="4"/>
  <c r="Q251" i="4"/>
  <c r="L251" i="4"/>
  <c r="Q246" i="4"/>
  <c r="L246" i="4"/>
  <c r="L235" i="4"/>
  <c r="Q235" i="4"/>
  <c r="L232" i="4"/>
  <c r="Q232" i="4"/>
  <c r="L226" i="4"/>
  <c r="Q226" i="4"/>
  <c r="L224" i="4"/>
  <c r="Q224" i="4"/>
  <c r="L222" i="4"/>
  <c r="Q222" i="4"/>
  <c r="L220" i="4"/>
  <c r="Q220" i="4"/>
  <c r="L215" i="4"/>
  <c r="Q215" i="4"/>
  <c r="L210" i="4"/>
  <c r="Q210" i="4"/>
  <c r="Q205" i="4"/>
  <c r="L205" i="4"/>
  <c r="Q202" i="4"/>
  <c r="L202" i="4"/>
  <c r="Q195" i="4"/>
  <c r="L195" i="4"/>
  <c r="L189" i="4"/>
  <c r="Q189" i="4"/>
  <c r="Q499" i="4"/>
  <c r="L499" i="4"/>
  <c r="L496" i="4"/>
  <c r="Q496" i="4"/>
  <c r="L494" i="4"/>
  <c r="Q494" i="4"/>
  <c r="Q475" i="4"/>
  <c r="L475" i="4"/>
  <c r="Q471" i="4"/>
  <c r="L471" i="4"/>
  <c r="L466" i="4"/>
  <c r="Q466" i="4"/>
  <c r="Q464" i="4"/>
  <c r="L464" i="4"/>
  <c r="L461" i="4"/>
  <c r="Q461" i="4"/>
  <c r="Q459" i="4"/>
  <c r="L459" i="4"/>
  <c r="L454" i="4"/>
  <c r="Q454" i="4"/>
  <c r="L451" i="4"/>
  <c r="Q451" i="4"/>
  <c r="L449" i="4"/>
  <c r="Q449" i="4"/>
  <c r="Q447" i="4"/>
  <c r="L447" i="4"/>
  <c r="Q445" i="4"/>
  <c r="L445" i="4"/>
  <c r="Q421" i="4"/>
  <c r="L421" i="4"/>
  <c r="Q409" i="4"/>
  <c r="L409" i="4"/>
  <c r="L404" i="4"/>
  <c r="Q404" i="4"/>
  <c r="L402" i="4"/>
  <c r="Q402" i="4"/>
  <c r="Q391" i="4"/>
  <c r="L391" i="4"/>
  <c r="L389" i="4"/>
  <c r="Q389" i="4"/>
  <c r="L386" i="4"/>
  <c r="Q386" i="4"/>
  <c r="L384" i="4"/>
  <c r="Q384" i="4"/>
  <c r="Q382" i="4"/>
  <c r="L382" i="4"/>
  <c r="Q348" i="4"/>
  <c r="L348" i="4"/>
  <c r="Q340" i="4"/>
  <c r="L340" i="4"/>
  <c r="Q333" i="4"/>
  <c r="L333" i="4"/>
  <c r="Q331" i="4"/>
  <c r="L331" i="4"/>
  <c r="Q329" i="4"/>
  <c r="L329" i="4"/>
  <c r="L320" i="4"/>
  <c r="Q320" i="4"/>
  <c r="Q317" i="4"/>
  <c r="L317" i="4"/>
  <c r="L315" i="4"/>
  <c r="Q315" i="4"/>
  <c r="L313" i="4"/>
  <c r="Q313" i="4"/>
  <c r="Q311" i="4"/>
  <c r="L311" i="4"/>
  <c r="Q309" i="4"/>
  <c r="L309" i="4"/>
  <c r="L305" i="4"/>
  <c r="Q305" i="4"/>
  <c r="Q297" i="4"/>
  <c r="L297" i="4"/>
  <c r="L293" i="4"/>
  <c r="Q293" i="4"/>
  <c r="L283" i="4"/>
  <c r="Q283" i="4"/>
  <c r="L279" i="4"/>
  <c r="Q279" i="4"/>
  <c r="L275" i="4"/>
  <c r="Q275" i="4"/>
  <c r="Q239" i="4"/>
  <c r="L239" i="4"/>
  <c r="L233" i="4"/>
  <c r="Q233" i="4"/>
  <c r="L227" i="4"/>
  <c r="Q227" i="4"/>
  <c r="Q223" i="4"/>
  <c r="L223" i="4"/>
  <c r="Q221" i="4"/>
  <c r="L221" i="4"/>
  <c r="L219" i="4"/>
  <c r="Q219" i="4"/>
  <c r="Q217" i="4"/>
  <c r="L217" i="4"/>
  <c r="L188" i="4"/>
  <c r="Q188" i="4"/>
  <c r="Q484" i="4"/>
  <c r="L484" i="4"/>
  <c r="Q438" i="4"/>
  <c r="L438" i="4"/>
  <c r="Q426" i="4"/>
  <c r="L426" i="4"/>
  <c r="L424" i="4"/>
  <c r="Q424" i="4"/>
  <c r="Q486" i="4"/>
  <c r="L486" i="4"/>
  <c r="Q441" i="4"/>
  <c r="L441" i="4"/>
  <c r="Q433" i="4"/>
  <c r="L433" i="4"/>
  <c r="Q428" i="4"/>
  <c r="L428" i="4"/>
  <c r="L416" i="4"/>
  <c r="L186" i="4"/>
  <c r="Q186" i="4"/>
  <c r="Q115" i="4"/>
  <c r="L115" i="4"/>
  <c r="L30" i="4"/>
  <c r="Q30" i="4"/>
  <c r="L476" i="4"/>
  <c r="Q476" i="4"/>
  <c r="L418" i="4"/>
  <c r="Q418" i="4"/>
  <c r="Q270" i="4"/>
  <c r="L270" i="4"/>
  <c r="Q182" i="4"/>
  <c r="L182" i="4"/>
  <c r="Q47" i="4"/>
  <c r="L47" i="4"/>
  <c r="Q32" i="4"/>
  <c r="L32" i="4"/>
  <c r="D62" i="1"/>
  <c r="C18" i="4"/>
  <c r="E61" i="1"/>
  <c r="L395" i="4"/>
  <c r="Q395" i="4"/>
  <c r="Q351" i="4"/>
  <c r="L351" i="4"/>
  <c r="L336" i="4"/>
  <c r="Q336" i="4"/>
  <c r="Q288" i="4"/>
  <c r="L288" i="4"/>
  <c r="L280" i="4"/>
  <c r="Q280" i="4"/>
  <c r="Q273" i="4"/>
  <c r="L273" i="4"/>
  <c r="L258" i="4"/>
  <c r="Q258" i="4"/>
  <c r="Q249" i="4"/>
  <c r="L249" i="4"/>
  <c r="L242" i="4"/>
  <c r="Q242" i="4"/>
  <c r="Q225" i="4"/>
  <c r="L225" i="4"/>
  <c r="L209" i="4"/>
  <c r="Q209" i="4"/>
  <c r="L200" i="4"/>
  <c r="Q200" i="4"/>
  <c r="L192" i="4"/>
  <c r="Q192" i="4"/>
  <c r="L169" i="4"/>
  <c r="Q169" i="4"/>
  <c r="Q162" i="4"/>
  <c r="L162" i="4"/>
  <c r="Q153" i="4"/>
  <c r="L153" i="4"/>
  <c r="Q138" i="4"/>
  <c r="L138" i="4"/>
  <c r="Q121" i="4"/>
  <c r="L121" i="4"/>
  <c r="L113" i="4"/>
  <c r="Q113" i="4"/>
  <c r="Q84" i="4"/>
  <c r="L84" i="4"/>
  <c r="Q68" i="4"/>
  <c r="L68" i="4"/>
  <c r="L53" i="4"/>
  <c r="Q53" i="4"/>
  <c r="Q26" i="4"/>
  <c r="L26" i="4"/>
  <c r="Q410" i="4"/>
  <c r="L410" i="4"/>
  <c r="L436" i="4"/>
  <c r="Q436" i="4"/>
  <c r="Q423" i="4"/>
  <c r="L423" i="4"/>
  <c r="Q457" i="4"/>
  <c r="L457" i="4"/>
  <c r="L448" i="4"/>
  <c r="Q448" i="4"/>
  <c r="F62" i="1"/>
  <c r="F61" i="1"/>
  <c r="D61" i="1"/>
  <c r="E62" i="1"/>
  <c r="D29" i="1"/>
  <c r="F14" i="4"/>
  <c r="F60" i="1"/>
  <c r="C14" i="4"/>
  <c r="L439" i="4"/>
  <c r="Q439" i="4"/>
  <c r="L328" i="4"/>
  <c r="Q328" i="4"/>
  <c r="Q265" i="4"/>
  <c r="L265" i="4"/>
  <c r="L208" i="4"/>
  <c r="Q208" i="4"/>
  <c r="Q130" i="4"/>
  <c r="L130" i="4"/>
  <c r="Q105" i="4"/>
  <c r="L105" i="4"/>
  <c r="Q67" i="4"/>
  <c r="L67" i="4"/>
  <c r="Q379" i="4"/>
  <c r="L379" i="4"/>
  <c r="Q272" i="4"/>
  <c r="L272" i="4"/>
  <c r="Q129" i="4"/>
  <c r="L129" i="4"/>
  <c r="Q14" i="4"/>
  <c r="L14" i="4"/>
  <c r="L8" i="4"/>
  <c r="Q8" i="4"/>
  <c r="L294" i="4"/>
  <c r="Q294" i="4"/>
  <c r="Q286" i="4"/>
  <c r="L286" i="4"/>
  <c r="L198" i="4"/>
  <c r="Q198" i="4"/>
  <c r="L95" i="4"/>
  <c r="Q95" i="4"/>
  <c r="Q74" i="4"/>
  <c r="L74" i="4"/>
  <c r="D68" i="1"/>
  <c r="D74" i="1" s="1"/>
  <c r="L493" i="4"/>
  <c r="L467" i="4"/>
  <c r="Q467" i="4"/>
  <c r="L256" i="4"/>
  <c r="Q256" i="4"/>
  <c r="L197" i="4"/>
  <c r="Q197" i="4"/>
  <c r="Q50" i="4"/>
  <c r="L50" i="4"/>
  <c r="Q420" i="4"/>
  <c r="L420" i="4"/>
  <c r="Q370" i="4"/>
  <c r="L370" i="4"/>
  <c r="L363" i="4"/>
  <c r="Q363" i="4"/>
  <c r="L43" i="4"/>
  <c r="Q43" i="4"/>
  <c r="L413" i="4"/>
  <c r="Q413" i="4"/>
  <c r="L269" i="4"/>
  <c r="Q269" i="4"/>
  <c r="Q254" i="4"/>
  <c r="L254" i="4"/>
  <c r="L237" i="4"/>
  <c r="Q237" i="4"/>
  <c r="Q213" i="4"/>
  <c r="L213" i="4"/>
  <c r="L134" i="4"/>
  <c r="Q134" i="4"/>
  <c r="E26" i="1"/>
  <c r="L492" i="4"/>
  <c r="Q492" i="4"/>
  <c r="L398" i="4"/>
  <c r="Q398" i="4"/>
  <c r="L253" i="4"/>
  <c r="Q253" i="4"/>
  <c r="L212" i="4"/>
  <c r="Q212" i="4"/>
  <c r="L157" i="4"/>
  <c r="Q157" i="4"/>
  <c r="L125" i="4"/>
  <c r="Q125" i="4"/>
  <c r="L63" i="4"/>
  <c r="Q63" i="4"/>
  <c r="L432" i="4"/>
  <c r="Q432" i="4"/>
  <c r="Q425" i="4"/>
  <c r="L425" i="4"/>
  <c r="L368" i="4"/>
  <c r="Q368" i="4"/>
  <c r="L361" i="4"/>
  <c r="Q361" i="4"/>
  <c r="L268" i="4"/>
  <c r="Q268" i="4"/>
  <c r="L108" i="4"/>
  <c r="Q108" i="4"/>
  <c r="L79" i="4"/>
  <c r="Q79" i="4"/>
  <c r="L345" i="4"/>
  <c r="Q345" i="4"/>
  <c r="Q99" i="4"/>
  <c r="L99" i="4"/>
  <c r="L478" i="4"/>
  <c r="L116" i="4"/>
  <c r="Q257" i="4"/>
  <c r="Q159" i="4"/>
  <c r="F68" i="1"/>
  <c r="F74" i="1" s="1"/>
  <c r="F77" i="1" s="1"/>
  <c r="Q42" i="4"/>
  <c r="L148" i="4"/>
  <c r="F18" i="4"/>
  <c r="F63" i="1"/>
  <c r="F65" i="1" s="1"/>
  <c r="D21" i="1"/>
  <c r="R398" i="4" l="1"/>
  <c r="R462" i="4"/>
  <c r="R178" i="4"/>
  <c r="R99" i="4"/>
  <c r="R20" i="4"/>
  <c r="R31" i="4"/>
  <c r="R103" i="4"/>
  <c r="R319" i="4"/>
  <c r="R214" i="4"/>
  <c r="R465" i="4"/>
  <c r="R467" i="4"/>
  <c r="R190" i="4"/>
  <c r="R123" i="4"/>
  <c r="R284" i="4"/>
  <c r="R442" i="4"/>
  <c r="R312" i="4"/>
  <c r="R416" i="4"/>
  <c r="R146" i="4"/>
  <c r="R67" i="4"/>
  <c r="R79" i="4"/>
  <c r="R296" i="4"/>
  <c r="R279" i="4"/>
  <c r="R130" i="4"/>
  <c r="R222" i="4"/>
  <c r="R484" i="4"/>
  <c r="R186" i="4"/>
  <c r="R9" i="4"/>
  <c r="R502" i="4"/>
  <c r="R14" i="4"/>
  <c r="R433" i="4"/>
  <c r="R135" i="4"/>
  <c r="R406" i="4"/>
  <c r="R469" i="4"/>
  <c r="R57" i="4"/>
  <c r="R276" i="4"/>
  <c r="R257" i="4"/>
  <c r="D80" i="1"/>
  <c r="D85" i="1"/>
  <c r="F27" i="1" s="1"/>
  <c r="D57" i="1"/>
  <c r="D55" i="1"/>
  <c r="D69" i="1"/>
  <c r="D73" i="1" s="1"/>
  <c r="D76" i="1" s="1"/>
  <c r="D60" i="1"/>
  <c r="D63" i="1" s="1"/>
  <c r="D65" i="1" s="1"/>
  <c r="D52" i="1"/>
  <c r="D56" i="1"/>
  <c r="D54" i="1"/>
  <c r="E69" i="1"/>
  <c r="E73" i="1" s="1"/>
  <c r="E60" i="1"/>
  <c r="E63" i="1" s="1"/>
  <c r="E65" i="1" s="1"/>
  <c r="D124" i="1"/>
  <c r="D120" i="1"/>
  <c r="M163" i="4"/>
  <c r="M96" i="4"/>
  <c r="M281" i="4"/>
  <c r="M213" i="4"/>
  <c r="M206" i="4"/>
  <c r="M193" i="4"/>
  <c r="M492" i="4"/>
  <c r="M118" i="4"/>
  <c r="M443" i="4"/>
  <c r="M365" i="4"/>
  <c r="M490" i="4"/>
  <c r="M90" i="4"/>
  <c r="M7" i="4"/>
  <c r="M479" i="4"/>
  <c r="M293" i="4"/>
  <c r="M405" i="4"/>
  <c r="M195" i="4"/>
  <c r="M398" i="4"/>
  <c r="M175" i="4"/>
  <c r="D64" i="1"/>
  <c r="M112" i="4"/>
  <c r="M360" i="4"/>
  <c r="M435" i="4"/>
  <c r="M454" i="4"/>
  <c r="M400" i="4"/>
  <c r="M48" i="4"/>
  <c r="F76" i="1"/>
  <c r="M375" i="4"/>
  <c r="M234" i="4"/>
  <c r="M62" i="4"/>
  <c r="M312" i="4"/>
  <c r="M491" i="4"/>
  <c r="M432" i="4"/>
  <c r="M10" i="4"/>
  <c r="M176" i="4"/>
  <c r="M179" i="4"/>
  <c r="M252" i="4"/>
  <c r="M335" i="4"/>
  <c r="D92" i="1"/>
  <c r="D109" i="1"/>
  <c r="M40" i="4"/>
  <c r="M177" i="4"/>
  <c r="M473" i="4"/>
  <c r="M153" i="4"/>
  <c r="M54" i="4"/>
  <c r="M353" i="4"/>
  <c r="M242" i="4"/>
  <c r="M337" i="4"/>
  <c r="M249" i="4"/>
  <c r="M239" i="4"/>
  <c r="M134" i="4"/>
  <c r="M183" i="4"/>
  <c r="M39" i="4"/>
  <c r="M265" i="4"/>
  <c r="M111" i="4"/>
  <c r="M99" i="4"/>
  <c r="M369" i="4"/>
  <c r="M370" i="4"/>
  <c r="M205" i="4"/>
  <c r="M387" i="4"/>
  <c r="M384" i="4"/>
  <c r="M330" i="4"/>
  <c r="M100" i="4"/>
  <c r="M338" i="4"/>
  <c r="M137" i="4"/>
  <c r="M463" i="4"/>
  <c r="M296" i="4"/>
  <c r="M257" i="4"/>
  <c r="F27" i="4"/>
  <c r="F28" i="4"/>
  <c r="M77" i="4"/>
  <c r="M444" i="4"/>
  <c r="M354" i="4"/>
  <c r="M327" i="4"/>
  <c r="M147" i="4"/>
  <c r="M376" i="4"/>
  <c r="M452" i="4"/>
  <c r="M504" i="4"/>
  <c r="M185" i="4"/>
  <c r="M85" i="4"/>
  <c r="M426" i="4"/>
  <c r="M494" i="4"/>
  <c r="M59" i="4"/>
  <c r="M66" i="4"/>
  <c r="M470" i="4"/>
  <c r="M498" i="4"/>
  <c r="M186" i="4"/>
  <c r="M379" i="4"/>
  <c r="M268" i="4"/>
  <c r="M73" i="4"/>
  <c r="M17" i="4"/>
  <c r="M427" i="4"/>
  <c r="M350" i="4"/>
  <c r="M503" i="4"/>
  <c r="M291" i="4"/>
  <c r="M132" i="4"/>
  <c r="M262" i="4"/>
  <c r="M104" i="4"/>
  <c r="M64" i="4"/>
  <c r="M390" i="4"/>
  <c r="M456" i="4"/>
  <c r="M395" i="4"/>
  <c r="M81" i="4"/>
  <c r="M33" i="4"/>
  <c r="M58" i="4"/>
  <c r="M47" i="4"/>
  <c r="M229" i="4"/>
  <c r="M74" i="4"/>
  <c r="M29" i="4"/>
  <c r="M276" i="4"/>
  <c r="M194" i="4"/>
  <c r="M148" i="4"/>
  <c r="M41" i="4"/>
  <c r="M409" i="4"/>
  <c r="M143" i="4"/>
  <c r="M280" i="4"/>
  <c r="M355" i="4"/>
  <c r="M502" i="4"/>
  <c r="M367" i="4"/>
  <c r="M422" i="4"/>
  <c r="M144" i="4"/>
  <c r="M297" i="4"/>
  <c r="M286" i="4"/>
  <c r="M352" i="4"/>
  <c r="M217" i="4"/>
  <c r="M200" i="4"/>
  <c r="M106" i="4"/>
  <c r="M138" i="4"/>
  <c r="M495" i="4"/>
  <c r="M271" i="4"/>
  <c r="M188" i="4"/>
  <c r="M122" i="4"/>
  <c r="M394" i="4"/>
  <c r="M299" i="4"/>
  <c r="M241" i="4"/>
  <c r="M396" i="4"/>
  <c r="M319" i="4"/>
  <c r="M49" i="4"/>
  <c r="M288" i="4"/>
  <c r="M440" i="4"/>
  <c r="M468" i="4"/>
  <c r="M216" i="4"/>
  <c r="M71" i="4"/>
  <c r="M75" i="4"/>
  <c r="M289" i="4"/>
  <c r="M86" i="4"/>
  <c r="M142" i="4"/>
  <c r="M20" i="4"/>
  <c r="M453" i="4"/>
  <c r="M88" i="4"/>
  <c r="M347" i="4"/>
  <c r="M65" i="4"/>
  <c r="M56" i="4"/>
  <c r="M282" i="4"/>
  <c r="M223" i="4"/>
  <c r="M404" i="4"/>
  <c r="M156" i="4"/>
  <c r="M212" i="4"/>
  <c r="M389" i="4"/>
  <c r="M309" i="4"/>
  <c r="M410" i="4"/>
  <c r="M259" i="4"/>
  <c r="M70" i="4"/>
  <c r="M4" i="4"/>
  <c r="M256" i="4"/>
  <c r="M382" i="4"/>
  <c r="M52" i="4"/>
  <c r="M320" i="4"/>
  <c r="M474" i="4"/>
  <c r="M162" i="4"/>
  <c r="M383" i="4"/>
  <c r="M130" i="4"/>
  <c r="M151" i="4"/>
  <c r="M55" i="4"/>
  <c r="M388" i="4"/>
  <c r="M125" i="4"/>
  <c r="M274" i="4"/>
  <c r="M251" i="4"/>
  <c r="M279" i="4"/>
  <c r="M214" i="4"/>
  <c r="M341" i="4"/>
  <c r="M328" i="4"/>
  <c r="M181" i="4"/>
  <c r="M407" i="4"/>
  <c r="M43" i="4"/>
  <c r="M225" i="4"/>
  <c r="M283" i="4"/>
  <c r="M496" i="4"/>
  <c r="M129" i="4"/>
  <c r="M329" i="4"/>
  <c r="M161" i="4"/>
  <c r="M374" i="4"/>
  <c r="M377" i="4"/>
  <c r="M311" i="4"/>
  <c r="M15" i="4"/>
  <c r="M169" i="4"/>
  <c r="M306" i="4"/>
  <c r="M380" i="4"/>
  <c r="M437" i="4"/>
  <c r="M431" i="4"/>
  <c r="M362" i="4"/>
  <c r="M349" i="4"/>
  <c r="M94" i="4"/>
  <c r="M191" i="4"/>
  <c r="M433" i="4"/>
  <c r="M19" i="4"/>
  <c r="M102" i="4"/>
  <c r="M105" i="4"/>
  <c r="M476" i="4"/>
  <c r="M485" i="4"/>
  <c r="M89" i="4"/>
  <c r="M103" i="4"/>
  <c r="M378" i="4"/>
  <c r="M160" i="4"/>
  <c r="M209" i="4"/>
  <c r="M123" i="4"/>
  <c r="M451" i="4"/>
  <c r="M246" i="4"/>
  <c r="M133" i="4"/>
  <c r="M6" i="4"/>
  <c r="M203" i="4"/>
  <c r="M457" i="4"/>
  <c r="M471" i="4"/>
  <c r="M207" i="4"/>
  <c r="M423" i="4"/>
  <c r="M42" i="4"/>
  <c r="M68" i="4"/>
  <c r="M344" i="4"/>
  <c r="M208" i="4"/>
  <c r="M182" i="4"/>
  <c r="M124" i="4"/>
  <c r="M401" i="4"/>
  <c r="M201" i="4"/>
  <c r="M418" i="4"/>
  <c r="M232" i="4"/>
  <c r="M342" i="4"/>
  <c r="M318" i="4"/>
  <c r="M16" i="4"/>
  <c r="M270" i="4"/>
  <c r="M91" i="4"/>
  <c r="M326" i="4"/>
  <c r="M434" i="4"/>
  <c r="M190" i="4"/>
  <c r="M23" i="4"/>
  <c r="M292" i="4"/>
  <c r="M430" i="4"/>
  <c r="M261" i="4"/>
  <c r="M321" i="4"/>
  <c r="M412" i="4"/>
  <c r="M439" i="4"/>
  <c r="M255" i="4"/>
  <c r="M198" i="4"/>
  <c r="M178" i="4"/>
  <c r="M340" i="4"/>
  <c r="M219" i="4"/>
  <c r="M126" i="4"/>
  <c r="M51" i="4"/>
  <c r="M184" i="4"/>
  <c r="M34" i="4"/>
  <c r="M449" i="4"/>
  <c r="M83" i="4"/>
  <c r="M167" i="4"/>
  <c r="M272" i="4"/>
  <c r="M235" i="4"/>
  <c r="M475" i="4"/>
  <c r="M275" i="4"/>
  <c r="M290" i="4"/>
  <c r="M465" i="4"/>
  <c r="M211" i="4"/>
  <c r="M325" i="4"/>
  <c r="M373" i="4"/>
  <c r="M215" i="4"/>
  <c r="M27" i="4"/>
  <c r="M381" i="4"/>
  <c r="M117" i="4"/>
  <c r="M135" i="4"/>
  <c r="M428" i="4"/>
  <c r="M128" i="4"/>
  <c r="M230" i="4"/>
  <c r="M264" i="4"/>
  <c r="M98" i="4"/>
  <c r="M233" i="4"/>
  <c r="M244" i="4"/>
  <c r="M416" i="4"/>
  <c r="M14" i="4"/>
  <c r="M222" i="4"/>
  <c r="M481" i="4"/>
  <c r="M189" i="4"/>
  <c r="M314" i="4"/>
  <c r="M145" i="4"/>
  <c r="M110" i="4"/>
  <c r="M278" i="4"/>
  <c r="M322" i="4"/>
  <c r="M450" i="4"/>
  <c r="M406" i="4"/>
  <c r="M298" i="4"/>
  <c r="M159" i="4"/>
  <c r="M30" i="4"/>
  <c r="M323" i="4"/>
  <c r="M78" i="4"/>
  <c r="M317" i="4"/>
  <c r="M155" i="4"/>
  <c r="M420" i="4"/>
  <c r="M11" i="4"/>
  <c r="M417" i="4"/>
  <c r="M154" i="4"/>
  <c r="M483" i="4"/>
  <c r="M346" i="4"/>
  <c r="M45" i="4"/>
  <c r="M121" i="4"/>
  <c r="M196" i="4"/>
  <c r="M455" i="4"/>
  <c r="M21" i="4"/>
  <c r="M44" i="4"/>
  <c r="D81" i="1"/>
  <c r="D170" i="1" s="1"/>
  <c r="E170" i="1" s="1"/>
  <c r="M467" i="4"/>
  <c r="M273" i="4"/>
  <c r="M67" i="4"/>
  <c r="M480" i="4"/>
  <c r="M359" i="4"/>
  <c r="M204" i="4"/>
  <c r="M87" i="4"/>
  <c r="M386" i="4"/>
  <c r="M226" i="4"/>
  <c r="M53" i="4"/>
  <c r="M187" i="4"/>
  <c r="M36" i="4"/>
  <c r="M487" i="4"/>
  <c r="M461" i="4"/>
  <c r="M192" i="4"/>
  <c r="M331" i="4"/>
  <c r="M250" i="4"/>
  <c r="M397" i="4"/>
  <c r="M489" i="4"/>
  <c r="M462" i="4"/>
  <c r="M224" i="4"/>
  <c r="M477" i="4"/>
  <c r="M263" i="4"/>
  <c r="M97" i="4"/>
  <c r="M258" i="4"/>
  <c r="M82" i="4"/>
  <c r="M158" i="4"/>
  <c r="M466" i="4"/>
  <c r="M472" i="4"/>
  <c r="M13" i="4"/>
  <c r="M339" i="4"/>
  <c r="M385" i="4"/>
  <c r="M18" i="4"/>
  <c r="M260" i="4"/>
  <c r="M141" i="4"/>
  <c r="M120" i="4"/>
  <c r="M50" i="4"/>
  <c r="M46" i="4"/>
  <c r="M35" i="4"/>
  <c r="M364" i="4"/>
  <c r="M228" i="4"/>
  <c r="M303" i="4"/>
  <c r="M199" i="4"/>
  <c r="M438" i="4"/>
  <c r="M501" i="4"/>
  <c r="M305" i="4"/>
  <c r="M240" i="4"/>
  <c r="M197" i="4"/>
  <c r="M295" i="4"/>
  <c r="M116" i="4"/>
  <c r="M446" i="4"/>
  <c r="M469" i="4"/>
  <c r="M95" i="4"/>
  <c r="M399" i="4"/>
  <c r="M333" i="4"/>
  <c r="M5" i="4"/>
  <c r="M448" i="4"/>
  <c r="M84" i="4"/>
  <c r="M345" i="4"/>
  <c r="M493" i="4"/>
  <c r="M164" i="4"/>
  <c r="M31" i="4"/>
  <c r="M371" i="4"/>
  <c r="M316" i="4"/>
  <c r="M445" i="4"/>
  <c r="M403" i="4"/>
  <c r="M80" i="4"/>
  <c r="M269" i="4"/>
  <c r="M139" i="4"/>
  <c r="M284" i="4"/>
  <c r="M180" i="4"/>
  <c r="M210" i="4"/>
  <c r="M146" i="4"/>
  <c r="M166" i="4"/>
  <c r="M248" i="4"/>
  <c r="M413" i="4"/>
  <c r="M172" i="4"/>
  <c r="M238" i="4"/>
  <c r="M237" i="4"/>
  <c r="M294" i="4"/>
  <c r="M285" i="4"/>
  <c r="M245" i="4"/>
  <c r="M221" i="4"/>
  <c r="M302" i="4"/>
  <c r="M150" i="4"/>
  <c r="M361" i="4"/>
  <c r="M157" i="4"/>
  <c r="M26" i="4"/>
  <c r="M254" i="4"/>
  <c r="M168" i="4"/>
  <c r="M220" i="4"/>
  <c r="M300" i="4"/>
  <c r="M243" i="4"/>
  <c r="M113" i="4"/>
  <c r="M72" i="4"/>
  <c r="M12" i="4"/>
  <c r="M436" i="4"/>
  <c r="M313" i="4"/>
  <c r="M37" i="4"/>
  <c r="M363" i="4"/>
  <c r="M165" i="4"/>
  <c r="M115" i="4"/>
  <c r="M24" i="4"/>
  <c r="M127" i="4"/>
  <c r="M458" i="4"/>
  <c r="M76" i="4"/>
  <c r="M218" i="4"/>
  <c r="M478" i="4"/>
  <c r="M32" i="4"/>
  <c r="M108" i="4"/>
  <c r="M315" i="4"/>
  <c r="M484" i="4"/>
  <c r="M307" i="4"/>
  <c r="M236" i="4"/>
  <c r="M442" i="4"/>
  <c r="M421" i="4"/>
  <c r="M366" i="4"/>
  <c r="M348" i="4"/>
  <c r="M202" i="4"/>
  <c r="M63" i="4"/>
  <c r="M425" i="4"/>
  <c r="M419" i="4"/>
  <c r="M356" i="4"/>
  <c r="M247" i="4"/>
  <c r="M136" i="4"/>
  <c r="M500" i="4"/>
  <c r="M266" i="4"/>
  <c r="M392" i="4"/>
  <c r="M336" i="4"/>
  <c r="M499" i="4"/>
  <c r="M334" i="4"/>
  <c r="M267" i="4"/>
  <c r="M9" i="4"/>
  <c r="M93" i="4"/>
  <c r="M92" i="4"/>
  <c r="M57" i="4"/>
  <c r="M79" i="4"/>
  <c r="M107" i="4"/>
  <c r="M38" i="4"/>
  <c r="M488" i="4"/>
  <c r="M460" i="4"/>
  <c r="M411" i="4"/>
  <c r="M357" i="4"/>
  <c r="M101" i="4"/>
  <c r="M60" i="4"/>
  <c r="M171" i="4"/>
  <c r="M301" i="4"/>
  <c r="M486" i="4"/>
  <c r="M28" i="4"/>
  <c r="M69" i="4"/>
  <c r="M358" i="4"/>
  <c r="M277" i="4"/>
  <c r="M441" i="4"/>
  <c r="M25" i="4"/>
  <c r="M22" i="4"/>
  <c r="M414" i="4"/>
  <c r="M140" i="4"/>
  <c r="M119" i="4"/>
  <c r="M459" i="4"/>
  <c r="M227" i="4"/>
  <c r="M332" i="4"/>
  <c r="M114" i="4"/>
  <c r="M308" i="4"/>
  <c r="M149" i="4"/>
  <c r="M231" i="4"/>
  <c r="M482" i="4"/>
  <c r="M497" i="4"/>
  <c r="M170" i="4"/>
  <c r="M324" i="4"/>
  <c r="M408" i="4"/>
  <c r="M393" i="4"/>
  <c r="M402" i="4"/>
  <c r="M415" i="4"/>
  <c r="M61" i="4"/>
  <c r="M351" i="4"/>
  <c r="M253" i="4"/>
  <c r="M109" i="4"/>
  <c r="M8" i="4"/>
  <c r="M429" i="4"/>
  <c r="M152" i="4"/>
  <c r="M464" i="4"/>
  <c r="M174" i="4"/>
  <c r="M131" i="4"/>
  <c r="M304" i="4"/>
  <c r="M343" i="4"/>
  <c r="M391" i="4"/>
  <c r="M447" i="4"/>
  <c r="M287" i="4"/>
  <c r="M173" i="4"/>
  <c r="M310" i="4"/>
  <c r="M368" i="4"/>
  <c r="M424" i="4"/>
  <c r="M372" i="4"/>
  <c r="R172" i="4"/>
  <c r="R236" i="4"/>
  <c r="R15" i="4"/>
  <c r="R94" i="4"/>
  <c r="R138" i="4"/>
  <c r="R50" i="4"/>
  <c r="R227" i="4"/>
  <c r="R176" i="4"/>
  <c r="R306" i="4"/>
  <c r="R307" i="4"/>
  <c r="R479" i="4"/>
  <c r="R239" i="4"/>
  <c r="R368" i="4"/>
  <c r="R86" i="4"/>
  <c r="R151" i="4"/>
  <c r="R393" i="4"/>
  <c r="R238" i="4"/>
  <c r="R235" i="4"/>
  <c r="R125" i="4"/>
  <c r="R411" i="4"/>
  <c r="R231" i="4"/>
  <c r="R256" i="4"/>
  <c r="R221" i="4"/>
  <c r="R386" i="4"/>
  <c r="R60" i="4"/>
  <c r="R80" i="4"/>
  <c r="R494" i="4"/>
  <c r="R277" i="4"/>
  <c r="R258" i="4"/>
  <c r="R51" i="4"/>
  <c r="R89" i="4"/>
  <c r="R233" i="4"/>
  <c r="R347" i="4"/>
  <c r="R253" i="4"/>
  <c r="R309" i="4"/>
  <c r="R311" i="4"/>
  <c r="R223" i="4"/>
  <c r="R145" i="4"/>
  <c r="R420" i="4"/>
  <c r="R108" i="4"/>
  <c r="R384" i="4"/>
  <c r="R446" i="4"/>
  <c r="R129" i="4"/>
  <c r="R127" i="4"/>
  <c r="R308" i="4"/>
  <c r="R177" i="4"/>
  <c r="R182" i="4"/>
  <c r="R260" i="4"/>
  <c r="R489" i="4"/>
  <c r="R346" i="4"/>
  <c r="R19" i="4"/>
  <c r="R207" i="4"/>
  <c r="R113" i="4"/>
  <c r="R301" i="4"/>
  <c r="R441" i="4"/>
  <c r="R30" i="4"/>
  <c r="R141" i="4"/>
  <c r="R337" i="4"/>
  <c r="R272" i="4"/>
  <c r="R374" i="4"/>
  <c r="R289" i="4"/>
  <c r="R310" i="4"/>
  <c r="R237" i="4"/>
  <c r="R456" i="4"/>
  <c r="R84" i="4"/>
  <c r="R112" i="4"/>
  <c r="R77" i="4"/>
  <c r="R328" i="4"/>
  <c r="R181" i="4"/>
  <c r="R189" i="4"/>
  <c r="R367" i="4"/>
  <c r="R444" i="4"/>
  <c r="R300" i="4"/>
  <c r="R37" i="4"/>
  <c r="R332" i="4"/>
  <c r="R211" i="4"/>
  <c r="R199" i="4"/>
  <c r="R259" i="4"/>
  <c r="R387" i="4"/>
  <c r="R448" i="4"/>
  <c r="R64" i="4"/>
  <c r="R385" i="4"/>
  <c r="R143" i="4"/>
  <c r="R109" i="4"/>
  <c r="R490" i="4"/>
  <c r="R115" i="4"/>
  <c r="R476" i="4"/>
  <c r="R76" i="4"/>
  <c r="R355" i="4"/>
  <c r="R134" i="4"/>
  <c r="R395" i="4"/>
  <c r="R271" i="4"/>
  <c r="R74" i="4"/>
  <c r="R34" i="4"/>
  <c r="R91" i="4"/>
  <c r="R443" i="4"/>
  <c r="R477" i="4"/>
  <c r="R499" i="4"/>
  <c r="R21" i="4"/>
  <c r="R97" i="4"/>
  <c r="R350" i="4"/>
  <c r="R503" i="4"/>
  <c r="R366" i="4"/>
  <c r="R370" i="4"/>
  <c r="F31" i="4"/>
  <c r="R156" i="4"/>
  <c r="R154" i="4"/>
  <c r="R52" i="4"/>
  <c r="R144" i="4"/>
  <c r="R93" i="4"/>
  <c r="R478" i="4"/>
  <c r="R379" i="4"/>
  <c r="R359" i="4"/>
  <c r="R458" i="4"/>
  <c r="R438" i="4"/>
  <c r="R269" i="4"/>
  <c r="R460" i="4"/>
  <c r="R240" i="4"/>
  <c r="R48" i="4"/>
  <c r="R191" i="4"/>
  <c r="R251" i="4"/>
  <c r="R266" i="4"/>
  <c r="R304" i="4"/>
  <c r="R409" i="4"/>
  <c r="R407" i="4"/>
  <c r="R81" i="4"/>
  <c r="R62" i="4"/>
  <c r="R282" i="4"/>
  <c r="R475" i="4"/>
  <c r="R397" i="4"/>
  <c r="R55" i="4"/>
  <c r="R352" i="4"/>
  <c r="R247" i="4"/>
  <c r="R450" i="4"/>
  <c r="R17" i="4"/>
  <c r="R302" i="4"/>
  <c r="R116" i="4"/>
  <c r="R316" i="4"/>
  <c r="R201" i="4"/>
  <c r="R330" i="4"/>
  <c r="R392" i="4"/>
  <c r="R356" i="4"/>
  <c r="R139" i="4"/>
  <c r="R363" i="4"/>
  <c r="R200" i="4"/>
  <c r="R318" i="4"/>
  <c r="R375" i="4"/>
  <c r="R380" i="4"/>
  <c r="R262" i="4"/>
  <c r="R313" i="4"/>
  <c r="R452" i="4"/>
  <c r="R294" i="4"/>
  <c r="R252" i="4"/>
  <c r="R168" i="4"/>
  <c r="R13" i="4"/>
  <c r="R209" i="4"/>
  <c r="R429" i="4"/>
  <c r="R447" i="4"/>
  <c r="R504" i="4"/>
  <c r="R381" i="4"/>
  <c r="R261" i="4"/>
  <c r="R273" i="4"/>
  <c r="R229" i="4"/>
  <c r="R396" i="4"/>
  <c r="R405" i="4"/>
  <c r="R339" i="4"/>
  <c r="R210" i="4"/>
  <c r="R12" i="4"/>
  <c r="R428" i="4"/>
  <c r="R474" i="4"/>
  <c r="R43" i="4"/>
  <c r="R344" i="4"/>
  <c r="R104" i="4"/>
  <c r="R404" i="4"/>
  <c r="R29" i="4"/>
  <c r="R82" i="4"/>
  <c r="R180" i="4"/>
  <c r="R487" i="4"/>
  <c r="R179" i="4"/>
  <c r="R383" i="4"/>
  <c r="R25" i="4"/>
  <c r="R183" i="4"/>
  <c r="R354" i="4"/>
  <c r="R120" i="4"/>
  <c r="R249" i="4"/>
  <c r="R388" i="4"/>
  <c r="R353" i="4"/>
  <c r="R333" i="4"/>
  <c r="R345" i="4"/>
  <c r="R132" i="4"/>
  <c r="R198" i="4"/>
  <c r="R391" i="4"/>
  <c r="R49" i="4"/>
  <c r="R27" i="4"/>
  <c r="R216" i="4"/>
  <c r="R297" i="4"/>
  <c r="R334" i="4"/>
  <c r="R268" i="4"/>
  <c r="R7" i="4"/>
  <c r="R137" i="4"/>
  <c r="R215" i="4"/>
  <c r="R83" i="4"/>
  <c r="R263" i="4"/>
  <c r="R372" i="4"/>
  <c r="R35" i="4"/>
  <c r="R248" i="4"/>
  <c r="R98" i="4"/>
  <c r="R483" i="4"/>
  <c r="R343" i="4"/>
  <c r="R206" i="4"/>
  <c r="R5" i="4"/>
  <c r="R149" i="4"/>
  <c r="R205" i="4"/>
  <c r="R340" i="4"/>
  <c r="R219" i="4"/>
  <c r="R196" i="4"/>
  <c r="R166" i="4"/>
  <c r="R220" i="4"/>
  <c r="R66" i="4"/>
  <c r="R185" i="4"/>
  <c r="R338" i="4"/>
  <c r="R142" i="4"/>
  <c r="R361" i="4"/>
  <c r="R26" i="4"/>
  <c r="R324" i="4"/>
  <c r="R449" i="4"/>
  <c r="R472" i="4"/>
  <c r="R382" i="4"/>
  <c r="R298" i="4"/>
  <c r="R286" i="4"/>
  <c r="R430" i="4"/>
  <c r="R422" i="4"/>
  <c r="R427" i="4"/>
  <c r="R133" i="4"/>
  <c r="R87" i="4"/>
  <c r="R39" i="4"/>
  <c r="R401" i="4"/>
  <c r="R72" i="4"/>
  <c r="R371" i="4"/>
  <c r="R290" i="4"/>
  <c r="R217" i="4"/>
  <c r="R292" i="4"/>
  <c r="R212" i="4"/>
  <c r="R202" i="4"/>
  <c r="R38" i="4"/>
  <c r="R163" i="4"/>
  <c r="R8" i="4"/>
  <c r="R33" i="4"/>
  <c r="R488" i="4"/>
  <c r="R329" i="4"/>
  <c r="R305" i="4"/>
  <c r="R4" i="4"/>
  <c r="R63" i="4"/>
  <c r="R161" i="4"/>
  <c r="R197" i="4"/>
  <c r="R22" i="4"/>
  <c r="R250" i="4"/>
  <c r="R455" i="4"/>
  <c r="R36" i="4"/>
  <c r="R170" i="4"/>
  <c r="R417" i="4"/>
  <c r="R140" i="4"/>
  <c r="R110" i="4"/>
  <c r="R495" i="4"/>
  <c r="R451" i="4"/>
  <c r="R357" i="4"/>
  <c r="R44" i="4"/>
  <c r="R377" i="4"/>
  <c r="R410" i="4"/>
  <c r="R121" i="4"/>
  <c r="R188" i="4"/>
  <c r="R117" i="4"/>
  <c r="R241" i="4"/>
  <c r="R470" i="4"/>
  <c r="R293" i="4"/>
  <c r="R390" i="4"/>
  <c r="R501" i="4"/>
  <c r="R323" i="4"/>
  <c r="R128" i="4"/>
  <c r="R418" i="4"/>
  <c r="R480" i="4"/>
  <c r="R184" i="4"/>
  <c r="R394" i="4"/>
  <c r="R153" i="4"/>
  <c r="R402" i="4"/>
  <c r="R10" i="4"/>
  <c r="R468" i="4"/>
  <c r="R400" i="4"/>
  <c r="R152" i="4"/>
  <c r="R439" i="4"/>
  <c r="R157" i="4"/>
  <c r="R459" i="4"/>
  <c r="R351" i="4"/>
  <c r="R369" i="4"/>
  <c r="R47" i="4"/>
  <c r="R192" i="4"/>
  <c r="R245" i="4"/>
  <c r="R226" i="4"/>
  <c r="R436" i="4"/>
  <c r="R28" i="4"/>
  <c r="R270" i="4"/>
  <c r="R150" i="4"/>
  <c r="R147" i="4"/>
  <c r="R303" i="4"/>
  <c r="R164" i="4"/>
  <c r="R102" i="4"/>
  <c r="R16" i="4"/>
  <c r="R69" i="4"/>
  <c r="R336" i="4"/>
  <c r="R264" i="4"/>
  <c r="R208" i="4"/>
  <c r="R325" i="4"/>
  <c r="R59" i="4"/>
  <c r="R85" i="4"/>
  <c r="R244" i="4"/>
  <c r="R42" i="4"/>
  <c r="R78" i="4"/>
  <c r="R486" i="4"/>
  <c r="R349" i="4"/>
  <c r="R314" i="4"/>
  <c r="R278" i="4"/>
  <c r="R287" i="4"/>
  <c r="R246" i="4"/>
  <c r="R412" i="4"/>
  <c r="R360" i="4"/>
  <c r="R493" i="4"/>
  <c r="R11" i="4"/>
  <c r="R162" i="4"/>
  <c r="R159" i="4"/>
  <c r="R187" i="4"/>
  <c r="R106" i="4"/>
  <c r="R453" i="4"/>
  <c r="R111" i="4"/>
  <c r="R267" i="4"/>
  <c r="R92" i="4"/>
  <c r="R482" i="4"/>
  <c r="R148" i="4"/>
  <c r="R90" i="4"/>
  <c r="R195" i="4"/>
  <c r="R243" i="4"/>
  <c r="R45" i="4"/>
  <c r="R175" i="4"/>
  <c r="R321" i="4"/>
  <c r="R230" i="4"/>
  <c r="R299" i="4"/>
  <c r="R169" i="4"/>
  <c r="R365" i="4"/>
  <c r="R61" i="4"/>
  <c r="R194" i="4"/>
  <c r="R118" i="4"/>
  <c r="R320" i="4"/>
  <c r="R389" i="4"/>
  <c r="R124" i="4"/>
  <c r="R75" i="4"/>
  <c r="R171" i="4"/>
  <c r="R46" i="4"/>
  <c r="R426" i="4"/>
  <c r="R327" i="4"/>
  <c r="R70" i="4"/>
  <c r="R95" i="4"/>
  <c r="R73" i="4"/>
  <c r="R228" i="4"/>
  <c r="R331" i="4"/>
  <c r="R285" i="4"/>
  <c r="R358" i="4"/>
  <c r="R68" i="4"/>
  <c r="R423" i="4"/>
  <c r="R454" i="4"/>
  <c r="R473" i="4"/>
  <c r="R461" i="4"/>
  <c r="R348" i="4"/>
  <c r="R421" i="4"/>
  <c r="R275" i="4"/>
  <c r="R280" i="4"/>
  <c r="R234" i="4"/>
  <c r="R174" i="4"/>
  <c r="R414" i="4"/>
  <c r="R463" i="4"/>
  <c r="R432" i="4"/>
  <c r="R203" i="4"/>
  <c r="R274" i="4"/>
  <c r="R326" i="4"/>
  <c r="R213" i="4"/>
  <c r="R24" i="4"/>
  <c r="R342" i="4"/>
  <c r="R126" i="4"/>
  <c r="R155" i="4"/>
  <c r="R173" i="4"/>
  <c r="R315" i="4"/>
  <c r="R399" i="4"/>
  <c r="R291" i="4"/>
  <c r="R492" i="4"/>
  <c r="R96" i="4"/>
  <c r="R335" i="4"/>
  <c r="R424" i="4"/>
  <c r="R408" i="4"/>
  <c r="R445" i="4"/>
  <c r="R317" i="4"/>
  <c r="R464" i="4"/>
  <c r="R498" i="4"/>
  <c r="R413" i="4"/>
  <c r="R434" i="4"/>
  <c r="R122" i="4"/>
  <c r="R131" i="4"/>
  <c r="R364" i="4"/>
  <c r="R165" i="4"/>
  <c r="R224" i="4"/>
  <c r="R265" i="4"/>
  <c r="R40" i="4"/>
  <c r="R281" i="4"/>
  <c r="R288" i="4"/>
  <c r="R204" i="4"/>
  <c r="R88" i="4"/>
  <c r="R373" i="4"/>
  <c r="R419" i="4"/>
  <c r="R58" i="4"/>
  <c r="R53" i="4"/>
  <c r="R378" i="4"/>
  <c r="R114" i="4"/>
  <c r="R160" i="4"/>
  <c r="R255" i="4"/>
  <c r="R362" i="4"/>
  <c r="R437" i="4"/>
  <c r="R481" i="4"/>
  <c r="R107" i="4"/>
  <c r="R71" i="4"/>
  <c r="R403" i="4"/>
  <c r="R497" i="4"/>
  <c r="R119" i="4"/>
  <c r="R100" i="4"/>
  <c r="R225" i="4"/>
  <c r="R376" i="4"/>
  <c r="R232" i="4"/>
  <c r="R485" i="4"/>
  <c r="R500" i="4"/>
  <c r="R23" i="4"/>
  <c r="R41" i="4"/>
  <c r="R136" i="4"/>
  <c r="R101" i="4"/>
  <c r="R283" i="4"/>
  <c r="R218" i="4"/>
  <c r="R54" i="4"/>
  <c r="R471" i="4"/>
  <c r="R56" i="4"/>
  <c r="R341" i="4"/>
  <c r="R431" i="4"/>
  <c r="R254" i="4"/>
  <c r="R65" i="4"/>
  <c r="R32" i="4"/>
  <c r="R295" i="4"/>
  <c r="R457" i="4"/>
  <c r="R435" i="4"/>
  <c r="R425" i="4"/>
  <c r="R415" i="4"/>
  <c r="R193" i="4"/>
  <c r="R466" i="4"/>
  <c r="R6" i="4"/>
  <c r="R105" i="4"/>
  <c r="R440" i="4"/>
  <c r="R242" i="4"/>
  <c r="R167" i="4"/>
  <c r="R491" i="4"/>
  <c r="R18" i="4"/>
  <c r="R496" i="4"/>
  <c r="R158" i="4"/>
  <c r="R322" i="4"/>
  <c r="D38" i="1"/>
  <c r="C8" i="4"/>
  <c r="F8" i="4"/>
  <c r="D147" i="1"/>
  <c r="E147" i="1" s="1"/>
  <c r="D148" i="1" s="1"/>
  <c r="D34" i="1" s="1"/>
  <c r="D33" i="1"/>
  <c r="D112" i="1" l="1"/>
  <c r="D113" i="1" s="1"/>
  <c r="D77" i="1"/>
  <c r="F29" i="1"/>
  <c r="D128" i="1"/>
  <c r="E77" i="1"/>
  <c r="D130" i="1"/>
  <c r="F21" i="1" s="1"/>
  <c r="D99" i="1"/>
  <c r="D97" i="1"/>
  <c r="D100" i="1" s="1"/>
  <c r="D82" i="1"/>
  <c r="E76" i="1"/>
  <c r="E64" i="1"/>
  <c r="E29" i="1" s="1"/>
  <c r="D70" i="1"/>
  <c r="D160" i="1"/>
  <c r="D27" i="1"/>
  <c r="D162" i="1"/>
  <c r="F17" i="4"/>
  <c r="C17" i="4"/>
  <c r="F30" i="4"/>
  <c r="F35" i="4"/>
  <c r="F33" i="4"/>
  <c r="D149" i="1"/>
  <c r="D150" i="1"/>
  <c r="S455" i="4" l="1"/>
  <c r="S482" i="4"/>
  <c r="S402" i="4"/>
  <c r="S367" i="4"/>
  <c r="S136" i="4"/>
  <c r="S277" i="4"/>
  <c r="S66" i="4"/>
  <c r="S55" i="4"/>
  <c r="S360" i="4"/>
  <c r="S45" i="4"/>
  <c r="S151" i="4"/>
  <c r="S244" i="4"/>
  <c r="S15" i="4"/>
  <c r="S502" i="4"/>
  <c r="S233" i="4"/>
  <c r="S342" i="4"/>
  <c r="S250" i="4"/>
  <c r="S44" i="4"/>
  <c r="S215" i="4"/>
  <c r="S211" i="4"/>
  <c r="S408" i="4"/>
  <c r="S47" i="4"/>
  <c r="S464" i="4"/>
  <c r="S480" i="4"/>
  <c r="S117" i="4"/>
  <c r="S81" i="4"/>
  <c r="S126" i="4"/>
  <c r="S252" i="4"/>
  <c r="S494" i="4"/>
  <c r="S239" i="4"/>
  <c r="S224" i="4"/>
  <c r="S307" i="4"/>
  <c r="S401" i="4"/>
  <c r="S90" i="4"/>
  <c r="S202" i="4"/>
  <c r="S116" i="4"/>
  <c r="S265" i="4"/>
  <c r="S410" i="4"/>
  <c r="S280" i="4"/>
  <c r="S436" i="4"/>
  <c r="S213" i="4"/>
  <c r="S343" i="4"/>
  <c r="S20" i="4"/>
  <c r="S452" i="4"/>
  <c r="S167" i="4"/>
  <c r="S65" i="4"/>
  <c r="S305" i="4"/>
  <c r="S111" i="4"/>
  <c r="S36" i="4"/>
  <c r="S322" i="4"/>
  <c r="S248" i="4"/>
  <c r="S170" i="4"/>
  <c r="S139" i="4"/>
  <c r="S17" i="4"/>
  <c r="S156" i="4"/>
  <c r="S235" i="4"/>
  <c r="S259" i="4"/>
  <c r="S327" i="4"/>
  <c r="S86" i="4"/>
  <c r="S329" i="4"/>
  <c r="S264" i="4"/>
  <c r="S356" i="4"/>
  <c r="S261" i="4"/>
  <c r="S303" i="4"/>
  <c r="S285" i="4"/>
  <c r="S119" i="4"/>
  <c r="S352" i="4"/>
  <c r="S190" i="4"/>
  <c r="S163" i="4"/>
  <c r="S338" i="4"/>
  <c r="S475" i="4"/>
  <c r="S435" i="4"/>
  <c r="S295" i="4"/>
  <c r="S422" i="4"/>
  <c r="S102" i="4"/>
  <c r="S476" i="4"/>
  <c r="S431" i="4"/>
  <c r="S75" i="4"/>
  <c r="S470" i="4"/>
  <c r="S103" i="4"/>
  <c r="S417" i="4"/>
  <c r="S466" i="4"/>
  <c r="S19" i="4"/>
  <c r="S204" i="4"/>
  <c r="S489" i="4"/>
  <c r="S183" i="4"/>
  <c r="S481" i="4"/>
  <c r="S461" i="4"/>
  <c r="S196" i="4"/>
  <c r="S176" i="4"/>
  <c r="S359" i="4"/>
  <c r="S312" i="4"/>
  <c r="S429" i="4"/>
  <c r="S64" i="4"/>
  <c r="S326" i="4"/>
  <c r="S293" i="4"/>
  <c r="S340" i="4"/>
  <c r="S219" i="4"/>
  <c r="S61" i="4"/>
  <c r="S38" i="4"/>
  <c r="S101" i="4"/>
  <c r="S59" i="4"/>
  <c r="S24" i="4"/>
  <c r="S115" i="4"/>
  <c r="S412" i="4"/>
  <c r="S82" i="4"/>
  <c r="S275" i="4"/>
  <c r="S147" i="4"/>
  <c r="S120" i="4"/>
  <c r="S486" i="4"/>
  <c r="S337" i="4"/>
  <c r="S234" i="4"/>
  <c r="S175" i="4"/>
  <c r="S266" i="4"/>
  <c r="S500" i="4"/>
  <c r="S301" i="4"/>
  <c r="S180" i="4"/>
  <c r="S71" i="4"/>
  <c r="S165" i="4"/>
  <c r="S205" i="4"/>
  <c r="S181" i="4"/>
  <c r="S34" i="4"/>
  <c r="S240" i="4"/>
  <c r="S168" i="4"/>
  <c r="S283" i="4"/>
  <c r="S391" i="4"/>
  <c r="S331" i="4"/>
  <c r="S42" i="4"/>
  <c r="S62" i="4"/>
  <c r="S107" i="4"/>
  <c r="S371" i="4"/>
  <c r="S154" i="4"/>
  <c r="S357" i="4"/>
  <c r="S93" i="4"/>
  <c r="S424" i="4"/>
  <c r="S257" i="4"/>
  <c r="S467" i="4"/>
  <c r="S432" i="4"/>
  <c r="S209" i="4"/>
  <c r="S169" i="4"/>
  <c r="S110" i="4"/>
  <c r="S477" i="4"/>
  <c r="S456" i="4"/>
  <c r="S177" i="4"/>
  <c r="S58" i="4"/>
  <c r="S428" i="4"/>
  <c r="S179" i="4"/>
  <c r="S479" i="4"/>
  <c r="S418" i="4"/>
  <c r="S231" i="4"/>
  <c r="S321" i="4"/>
  <c r="S287" i="4"/>
  <c r="S302" i="4"/>
  <c r="S56" i="4"/>
  <c r="S394" i="4"/>
  <c r="S427" i="4"/>
  <c r="S118" i="4"/>
  <c r="S227" i="4"/>
  <c r="S187" i="4"/>
  <c r="S296" i="4"/>
  <c r="S313" i="4"/>
  <c r="S483" i="4"/>
  <c r="S4" i="4"/>
  <c r="S72" i="4"/>
  <c r="S135" i="4"/>
  <c r="T135" i="4" s="1"/>
  <c r="S218" i="4"/>
  <c r="S73" i="4"/>
  <c r="S104" i="4"/>
  <c r="S80" i="4"/>
  <c r="S271" i="4"/>
  <c r="S488" i="4"/>
  <c r="S18" i="4"/>
  <c r="S217" i="4"/>
  <c r="S364" i="4"/>
  <c r="S12" i="4"/>
  <c r="S159" i="4"/>
  <c r="S6" i="4"/>
  <c r="S144" i="4"/>
  <c r="S496" i="4"/>
  <c r="S100" i="4"/>
  <c r="S290" i="4"/>
  <c r="S458" i="4"/>
  <c r="S324" i="4"/>
  <c r="S369" i="4"/>
  <c r="S438" i="4"/>
  <c r="S358" i="4"/>
  <c r="S96" i="4"/>
  <c r="S85" i="4"/>
  <c r="S354" i="4"/>
  <c r="S450" i="4"/>
  <c r="S46" i="4"/>
  <c r="S437" i="4"/>
  <c r="S171" i="4"/>
  <c r="S406" i="4"/>
  <c r="T406" i="4" s="1"/>
  <c r="S416" i="4"/>
  <c r="S193" i="4"/>
  <c r="S399" i="4"/>
  <c r="S319" i="4"/>
  <c r="S155" i="4"/>
  <c r="S145" i="4"/>
  <c r="S445" i="4"/>
  <c r="S30" i="4"/>
  <c r="S409" i="4"/>
  <c r="S149" i="4"/>
  <c r="S393" i="4"/>
  <c r="S127" i="4"/>
  <c r="S503" i="4"/>
  <c r="S323" i="4"/>
  <c r="S236" i="4"/>
  <c r="S310" i="4"/>
  <c r="S471" i="4"/>
  <c r="S365" i="4"/>
  <c r="AI4" i="4"/>
  <c r="S251" i="4"/>
  <c r="S131" i="4"/>
  <c r="S453" i="4"/>
  <c r="S311" i="4"/>
  <c r="S13" i="4"/>
  <c r="S347" i="4"/>
  <c r="S37" i="4"/>
  <c r="S52" i="4"/>
  <c r="S232" i="4"/>
  <c r="S243" i="4"/>
  <c r="S109" i="4"/>
  <c r="S299" i="4"/>
  <c r="S419" i="4"/>
  <c r="S140" i="4"/>
  <c r="S83" i="4"/>
  <c r="S385" i="4"/>
  <c r="S355" i="4"/>
  <c r="S490" i="4"/>
  <c r="S396" i="4"/>
  <c r="S300" i="4"/>
  <c r="S421" i="4"/>
  <c r="S348" i="4"/>
  <c r="S495" i="4"/>
  <c r="S414" i="4"/>
  <c r="S122" i="4"/>
  <c r="S446" i="4"/>
  <c r="S166" i="4"/>
  <c r="S372" i="4"/>
  <c r="S247" i="4"/>
  <c r="S188" i="4"/>
  <c r="S137" i="4"/>
  <c r="S463" i="4"/>
  <c r="S32" i="4"/>
  <c r="S377" i="4"/>
  <c r="S21" i="4"/>
  <c r="S10" i="4"/>
  <c r="S40" i="4"/>
  <c r="S447" i="4"/>
  <c r="S267" i="4"/>
  <c r="S411" i="4"/>
  <c r="S97" i="4"/>
  <c r="S186" i="4"/>
  <c r="S465" i="4"/>
  <c r="S229" i="4"/>
  <c r="S451" i="4"/>
  <c r="S274" i="4"/>
  <c r="S184" i="4"/>
  <c r="S124" i="4"/>
  <c r="S173" i="4"/>
  <c r="S77" i="4"/>
  <c r="S210" i="4"/>
  <c r="S373" i="4"/>
  <c r="S87" i="4"/>
  <c r="S316" i="4"/>
  <c r="S172" i="4"/>
  <c r="S174" i="4"/>
  <c r="S123" i="4"/>
  <c r="S25" i="4"/>
  <c r="S442" i="4"/>
  <c r="S497" i="4"/>
  <c r="S378" i="4"/>
  <c r="S328" i="4"/>
  <c r="S99" i="4"/>
  <c r="S457" i="4"/>
  <c r="S294" i="4"/>
  <c r="S26" i="4"/>
  <c r="S95" i="4"/>
  <c r="S434" i="4"/>
  <c r="S35" i="4"/>
  <c r="S76" i="4"/>
  <c r="S405" i="4"/>
  <c r="S245" i="4"/>
  <c r="S191" i="4"/>
  <c r="S397" i="4"/>
  <c r="S214" i="4"/>
  <c r="S203" i="4"/>
  <c r="S314" i="4"/>
  <c r="S112" i="4"/>
  <c r="S28" i="4"/>
  <c r="S346" i="4"/>
  <c r="S292" i="4"/>
  <c r="S370" i="4"/>
  <c r="S493" i="4"/>
  <c r="S153" i="4"/>
  <c r="S420" i="4"/>
  <c r="S129" i="4"/>
  <c r="S288" i="4"/>
  <c r="S381" i="4"/>
  <c r="S160" i="4"/>
  <c r="S443" i="4"/>
  <c r="S308" i="4"/>
  <c r="S260" i="4"/>
  <c r="S69" i="4"/>
  <c r="S94" i="4"/>
  <c r="S33" i="4"/>
  <c r="S444" i="4"/>
  <c r="S335" i="4"/>
  <c r="S281" i="4"/>
  <c r="S491" i="4"/>
  <c r="S469" i="4"/>
  <c r="S141" i="4"/>
  <c r="S384" i="4"/>
  <c r="S63" i="4"/>
  <c r="S273" i="4"/>
  <c r="S269" i="4"/>
  <c r="S254" i="4"/>
  <c r="S192" i="4"/>
  <c r="S105" i="4"/>
  <c r="S48" i="4"/>
  <c r="S366" i="4"/>
  <c r="S501" i="4"/>
  <c r="S375" i="4"/>
  <c r="S362" i="4"/>
  <c r="S380" i="4"/>
  <c r="S468" i="4"/>
  <c r="S304" i="4"/>
  <c r="S499" i="4"/>
  <c r="S16" i="4"/>
  <c r="S387" i="4"/>
  <c r="S353" i="4"/>
  <c r="S426" i="4"/>
  <c r="S376" i="4"/>
  <c r="S185" i="4"/>
  <c r="S336" i="4"/>
  <c r="S208" i="4"/>
  <c r="S413" i="4"/>
  <c r="S108" i="4"/>
  <c r="S162" i="4"/>
  <c r="S258" i="4"/>
  <c r="S207" i="4"/>
  <c r="S415" i="4"/>
  <c r="S320" i="4"/>
  <c r="S132" i="4"/>
  <c r="S498" i="4"/>
  <c r="S386" i="4"/>
  <c r="S318" i="4"/>
  <c r="S164" i="4"/>
  <c r="S246" i="4"/>
  <c r="S220" i="4"/>
  <c r="S298" i="4"/>
  <c r="S400" i="4"/>
  <c r="S222" i="4"/>
  <c r="S374" i="4"/>
  <c r="S263" i="4"/>
  <c r="S130" i="4"/>
  <c r="S79" i="4"/>
  <c r="S68" i="4"/>
  <c r="S157" i="4"/>
  <c r="S242" i="4"/>
  <c r="S142" i="4"/>
  <c r="S230" i="4"/>
  <c r="S39" i="4"/>
  <c r="S349" i="4"/>
  <c r="S278" i="4"/>
  <c r="S332" i="4"/>
  <c r="S485" i="4"/>
  <c r="S341" i="4"/>
  <c r="S29" i="4"/>
  <c r="S333" i="4"/>
  <c r="S440" i="4"/>
  <c r="S182" i="4"/>
  <c r="S221" i="4"/>
  <c r="S339" i="4"/>
  <c r="S255" i="4"/>
  <c r="S268" i="4"/>
  <c r="S249" i="4"/>
  <c r="S134" i="4"/>
  <c r="S363" i="4"/>
  <c r="S113" i="4"/>
  <c r="S150" i="4"/>
  <c r="S454" i="4"/>
  <c r="S51" i="4"/>
  <c r="S344" i="4"/>
  <c r="S487" i="4"/>
  <c r="S315" i="4"/>
  <c r="S241" i="4"/>
  <c r="S474" i="4"/>
  <c r="S276" i="4"/>
  <c r="S449" i="4"/>
  <c r="S504" i="4"/>
  <c r="S392" i="4"/>
  <c r="S317" i="4"/>
  <c r="S5" i="4"/>
  <c r="S60" i="4"/>
  <c r="S448" i="4"/>
  <c r="S256" i="4"/>
  <c r="S351" i="4"/>
  <c r="S425" i="4"/>
  <c r="S423" i="4"/>
  <c r="S143" i="4"/>
  <c r="S441" i="4"/>
  <c r="S206" i="4"/>
  <c r="S201" i="4"/>
  <c r="S106" i="4"/>
  <c r="S194" i="4"/>
  <c r="S270" i="4"/>
  <c r="S350" i="4"/>
  <c r="S146" i="4"/>
  <c r="S88" i="4"/>
  <c r="S407" i="4"/>
  <c r="S462" i="4"/>
  <c r="S128" i="4"/>
  <c r="S54" i="4"/>
  <c r="S8" i="4"/>
  <c r="S125" i="4"/>
  <c r="S67" i="4"/>
  <c r="S138" i="4"/>
  <c r="S439" i="4"/>
  <c r="S225" i="4"/>
  <c r="S226" i="4"/>
  <c r="S57" i="4"/>
  <c r="S89" i="4"/>
  <c r="S238" i="4"/>
  <c r="S91" i="4"/>
  <c r="S78" i="4"/>
  <c r="S309" i="4"/>
  <c r="S430" i="4"/>
  <c r="S195" i="4"/>
  <c r="S23" i="4"/>
  <c r="S189" i="4"/>
  <c r="S70" i="4"/>
  <c r="S460" i="4"/>
  <c r="S383" i="4"/>
  <c r="S272" i="4"/>
  <c r="S198" i="4"/>
  <c r="S395" i="4"/>
  <c r="S361" i="4"/>
  <c r="S237" i="4"/>
  <c r="S398" i="4"/>
  <c r="S98" i="4"/>
  <c r="S22" i="4"/>
  <c r="S158" i="4"/>
  <c r="S404" i="4"/>
  <c r="S7" i="4"/>
  <c r="S27" i="4"/>
  <c r="S199" i="4"/>
  <c r="S178" i="4"/>
  <c r="S473" i="4"/>
  <c r="S388" i="4"/>
  <c r="S133" i="4"/>
  <c r="S291" i="4"/>
  <c r="S325" i="4"/>
  <c r="S282" i="4"/>
  <c r="S43" i="4"/>
  <c r="S492" i="4"/>
  <c r="S148" i="4"/>
  <c r="S345" i="4"/>
  <c r="S286" i="4"/>
  <c r="S53" i="4"/>
  <c r="S223" i="4"/>
  <c r="S114" i="4"/>
  <c r="S433" i="4"/>
  <c r="S74" i="4"/>
  <c r="S216" i="4"/>
  <c r="S478" i="4"/>
  <c r="S382" i="4"/>
  <c r="S11" i="4"/>
  <c r="S389" i="4"/>
  <c r="S484" i="4"/>
  <c r="S200" i="4"/>
  <c r="S262" i="4"/>
  <c r="S306" i="4"/>
  <c r="S161" i="4"/>
  <c r="S121" i="4"/>
  <c r="S92" i="4"/>
  <c r="S297" i="4"/>
  <c r="S84" i="4"/>
  <c r="S289" i="4"/>
  <c r="S459" i="4"/>
  <c r="S50" i="4"/>
  <c r="S390" i="4"/>
  <c r="S9" i="4"/>
  <c r="S228" i="4"/>
  <c r="S368" i="4"/>
  <c r="S403" i="4"/>
  <c r="S279" i="4"/>
  <c r="S330" i="4"/>
  <c r="S472" i="4"/>
  <c r="S253" i="4"/>
  <c r="S41" i="4"/>
  <c r="S334" i="4"/>
  <c r="S14" i="4"/>
  <c r="S284" i="4"/>
  <c r="S152" i="4"/>
  <c r="S379" i="4"/>
  <c r="S49" i="4"/>
  <c r="S31" i="4"/>
  <c r="S212" i="4"/>
  <c r="S197" i="4"/>
  <c r="X352" i="4"/>
  <c r="X487" i="4"/>
  <c r="X414" i="4"/>
  <c r="X316" i="4"/>
  <c r="X159" i="4"/>
  <c r="X310" i="4"/>
  <c r="X163" i="4"/>
  <c r="X72" i="4"/>
  <c r="X471" i="4"/>
  <c r="X341" i="4"/>
  <c r="X442" i="4"/>
  <c r="X274" i="4"/>
  <c r="X306" i="4"/>
  <c r="X142" i="4"/>
  <c r="X381" i="4"/>
  <c r="X302" i="4"/>
  <c r="X267" i="4"/>
  <c r="X322" i="4"/>
  <c r="X158" i="4"/>
  <c r="X324" i="4"/>
  <c r="X433" i="4"/>
  <c r="X82" i="4"/>
  <c r="X21" i="4"/>
  <c r="X221" i="4"/>
  <c r="X23" i="4"/>
  <c r="X189" i="4"/>
  <c r="X501" i="4"/>
  <c r="X112" i="4"/>
  <c r="X348" i="4"/>
  <c r="X347" i="4"/>
  <c r="X140" i="4"/>
  <c r="X89" i="4"/>
  <c r="X314" i="4"/>
  <c r="X369" i="4"/>
  <c r="X477" i="4"/>
  <c r="X432" i="4"/>
  <c r="X130" i="4"/>
  <c r="X125" i="4"/>
  <c r="X457" i="4"/>
  <c r="X169" i="4"/>
  <c r="X74" i="4"/>
  <c r="X398" i="4"/>
  <c r="X504" i="4"/>
  <c r="X124" i="4"/>
  <c r="X143" i="4"/>
  <c r="X338" i="4"/>
  <c r="X301" i="4"/>
  <c r="X404" i="4"/>
  <c r="X373" i="4"/>
  <c r="X360" i="4"/>
  <c r="X473" i="4"/>
  <c r="X29" i="4"/>
  <c r="X11" i="4"/>
  <c r="X188" i="4"/>
  <c r="X131" i="4"/>
  <c r="X479" i="4"/>
  <c r="X330" i="4"/>
  <c r="X374" i="4"/>
  <c r="X356" i="4"/>
  <c r="X466" i="4"/>
  <c r="X55" i="4"/>
  <c r="X100" i="4"/>
  <c r="X409" i="4"/>
  <c r="X204" i="4"/>
  <c r="X58" i="4"/>
  <c r="X372" i="4"/>
  <c r="X69" i="4"/>
  <c r="X30" i="4"/>
  <c r="X93" i="4"/>
  <c r="X135" i="4"/>
  <c r="X387" i="4"/>
  <c r="X40" i="4"/>
  <c r="X339" i="4"/>
  <c r="X270" i="4"/>
  <c r="X264" i="4"/>
  <c r="X480" i="4"/>
  <c r="X485" i="4"/>
  <c r="X268" i="4"/>
  <c r="X395" i="4"/>
  <c r="X478" i="4"/>
  <c r="X153" i="4"/>
  <c r="X138" i="4"/>
  <c r="X26" i="4"/>
  <c r="X198" i="4"/>
  <c r="X490" i="4"/>
  <c r="X34" i="4"/>
  <c r="X54" i="4"/>
  <c r="X400" i="4"/>
  <c r="X375" i="4"/>
  <c r="X460" i="4"/>
  <c r="X45" i="4"/>
  <c r="X39" i="4"/>
  <c r="X295" i="4"/>
  <c r="X119" i="4"/>
  <c r="X20" i="4"/>
  <c r="X476" i="4"/>
  <c r="X245" i="4"/>
  <c r="X160" i="4"/>
  <c r="X239" i="4"/>
  <c r="X343" i="4"/>
  <c r="X154" i="4"/>
  <c r="X320" i="4"/>
  <c r="X65" i="4"/>
  <c r="X166" i="4"/>
  <c r="X222" i="4"/>
  <c r="X196" i="4"/>
  <c r="X145" i="4"/>
  <c r="X308" i="4"/>
  <c r="X144" i="4"/>
  <c r="X389" i="4"/>
  <c r="X349" i="4"/>
  <c r="X167" i="4"/>
  <c r="X456" i="4"/>
  <c r="X227" i="4"/>
  <c r="X489" i="4"/>
  <c r="X109" i="4"/>
  <c r="X364" i="4"/>
  <c r="X317" i="4"/>
  <c r="X118" i="4"/>
  <c r="X105" i="4"/>
  <c r="X448" i="4"/>
  <c r="X99" i="4"/>
  <c r="X436" i="4"/>
  <c r="X361" i="4"/>
  <c r="X129" i="4"/>
  <c r="X493" i="4"/>
  <c r="X298" i="4"/>
  <c r="X236" i="4"/>
  <c r="X48" i="4"/>
  <c r="X193" i="4"/>
  <c r="X92" i="4"/>
  <c r="X205" i="4"/>
  <c r="X260" i="4"/>
  <c r="X284" i="4"/>
  <c r="X202" i="4"/>
  <c r="X94" i="4"/>
  <c r="X206" i="4"/>
  <c r="X376" i="4"/>
  <c r="X13" i="4"/>
  <c r="X362" i="4"/>
  <c r="X416" i="4"/>
  <c r="X434" i="4"/>
  <c r="X218" i="4"/>
  <c r="X418" i="4"/>
  <c r="X371" i="4"/>
  <c r="X49" i="4"/>
  <c r="X32" i="4"/>
  <c r="X31" i="4"/>
  <c r="X486" i="4"/>
  <c r="X417" i="4"/>
  <c r="X304" i="4"/>
  <c r="X450" i="4"/>
  <c r="X359" i="4"/>
  <c r="X42" i="4"/>
  <c r="X407" i="4"/>
  <c r="X281" i="4"/>
  <c r="X459" i="4"/>
  <c r="X98" i="4"/>
  <c r="X106" i="4"/>
  <c r="X215" i="4"/>
  <c r="X327" i="4"/>
  <c r="X258" i="4"/>
  <c r="X410" i="4"/>
  <c r="X209" i="4"/>
  <c r="X113" i="4"/>
  <c r="X379" i="4"/>
  <c r="X108" i="4"/>
  <c r="X257" i="4"/>
  <c r="X139" i="4"/>
  <c r="X382" i="4"/>
  <c r="X437" i="4"/>
  <c r="X491" i="4"/>
  <c r="X488" i="4"/>
  <c r="X127" i="4"/>
  <c r="X7" i="4"/>
  <c r="X331" i="4"/>
  <c r="X255" i="4"/>
  <c r="X453" i="4"/>
  <c r="X226" i="4"/>
  <c r="X180" i="4"/>
  <c r="X261" i="4"/>
  <c r="X458" i="4"/>
  <c r="X73" i="4"/>
  <c r="X164" i="4"/>
  <c r="X313" i="4"/>
  <c r="X114" i="4"/>
  <c r="X122" i="4"/>
  <c r="X238" i="4"/>
  <c r="X97" i="4"/>
  <c r="X445" i="4"/>
  <c r="X51" i="4"/>
  <c r="X183" i="4"/>
  <c r="X232" i="4"/>
  <c r="X76" i="4"/>
  <c r="X406" i="4"/>
  <c r="X285" i="4"/>
  <c r="X321" i="4"/>
  <c r="X332" i="4"/>
  <c r="X455" i="4"/>
  <c r="X104" i="4"/>
  <c r="X248" i="4"/>
  <c r="X246" i="4"/>
  <c r="X272" i="4"/>
  <c r="X469" i="4"/>
  <c r="X259" i="4"/>
  <c r="X405" i="4"/>
  <c r="X61" i="4"/>
  <c r="X111" i="4"/>
  <c r="X217" i="4"/>
  <c r="X137" i="4"/>
  <c r="X22" i="4"/>
  <c r="X444" i="4"/>
  <c r="X24" i="4"/>
  <c r="X419" i="4"/>
  <c r="X402" i="4"/>
  <c r="X91" i="4"/>
  <c r="X271" i="4"/>
  <c r="X277" i="4"/>
  <c r="X435" i="4"/>
  <c r="X207" i="4"/>
  <c r="X438" i="4"/>
  <c r="X194" i="4"/>
  <c r="X390" i="4"/>
  <c r="X500" i="4"/>
  <c r="X287" i="4"/>
  <c r="X397" i="4"/>
  <c r="X141" i="4"/>
  <c r="X171" i="4"/>
  <c r="X447" i="4"/>
  <c r="X136" i="4"/>
  <c r="X38" i="4"/>
  <c r="X340" i="4"/>
  <c r="X503" i="4"/>
  <c r="X19" i="4"/>
  <c r="X17" i="4"/>
  <c r="X380" i="4"/>
  <c r="X365" i="4"/>
  <c r="X309" i="4"/>
  <c r="X116" i="4"/>
  <c r="X14" i="4"/>
  <c r="X273" i="4"/>
  <c r="X68" i="4"/>
  <c r="X345" i="4"/>
  <c r="X197" i="4"/>
  <c r="X244" i="4"/>
  <c r="X77" i="4"/>
  <c r="X176" i="4"/>
  <c r="X461" i="4"/>
  <c r="X155" i="4"/>
  <c r="X412" i="4"/>
  <c r="X399" i="4"/>
  <c r="X319" i="4"/>
  <c r="X120" i="4"/>
  <c r="X499" i="4"/>
  <c r="X228" i="4"/>
  <c r="X187" i="4"/>
  <c r="X279" i="4"/>
  <c r="X101" i="4"/>
  <c r="X168" i="4"/>
  <c r="X454" i="4"/>
  <c r="X146" i="4"/>
  <c r="X325" i="4"/>
  <c r="X394" i="4"/>
  <c r="X59" i="4"/>
  <c r="X367" i="4"/>
  <c r="X481" i="4"/>
  <c r="X498" i="4"/>
  <c r="X315" i="4"/>
  <c r="X354" i="4"/>
  <c r="X431" i="4"/>
  <c r="X233" i="4"/>
  <c r="X474" i="4"/>
  <c r="X203" i="4"/>
  <c r="X334" i="4"/>
  <c r="X33" i="4"/>
  <c r="X211" i="4"/>
  <c r="X186" i="4"/>
  <c r="X408" i="4"/>
  <c r="X429" i="4"/>
  <c r="X185" i="4"/>
  <c r="X84" i="4"/>
  <c r="X256" i="4"/>
  <c r="X208" i="4"/>
  <c r="X134" i="4"/>
  <c r="X200" i="4"/>
  <c r="X162" i="4"/>
  <c r="X172" i="4"/>
  <c r="X201" i="4"/>
  <c r="X107" i="4"/>
  <c r="X219" i="4"/>
  <c r="X165" i="4"/>
  <c r="X86" i="4"/>
  <c r="X451" i="4"/>
  <c r="X152" i="4"/>
  <c r="X103" i="4"/>
  <c r="X497" i="4"/>
  <c r="X123" i="4"/>
  <c r="X75" i="4"/>
  <c r="X452" i="4"/>
  <c r="X62" i="4"/>
  <c r="X291" i="4"/>
  <c r="X305" i="4"/>
  <c r="X240" i="4"/>
  <c r="X495" i="4"/>
  <c r="X252" i="4"/>
  <c r="X46" i="4"/>
  <c r="X386" i="4"/>
  <c r="X126" i="4"/>
  <c r="X57" i="4"/>
  <c r="X401" i="4"/>
  <c r="X342" i="4"/>
  <c r="X358" i="4"/>
  <c r="X210" i="4"/>
  <c r="X5" i="4"/>
  <c r="X177" i="4"/>
  <c r="X47" i="4"/>
  <c r="X56" i="4"/>
  <c r="X377" i="4"/>
  <c r="X421" i="4"/>
  <c r="X393" i="4"/>
  <c r="X70" i="4"/>
  <c r="X60" i="4"/>
  <c r="X50" i="4"/>
  <c r="X8" i="4"/>
  <c r="X79" i="4"/>
  <c r="X294" i="4"/>
  <c r="X148" i="4"/>
  <c r="X286" i="4"/>
  <c r="X266" i="4"/>
  <c r="X247" i="4"/>
  <c r="X110" i="4"/>
  <c r="X182" i="4"/>
  <c r="X150" i="4"/>
  <c r="X64" i="4"/>
  <c r="X468" i="4"/>
  <c r="X170" i="4"/>
  <c r="X52" i="4"/>
  <c r="X475" i="4"/>
  <c r="X173" i="4"/>
  <c r="X463" i="4"/>
  <c r="X223" i="4"/>
  <c r="X191" i="4"/>
  <c r="X396" i="4"/>
  <c r="X470" i="4"/>
  <c r="X87" i="4"/>
  <c r="X446" i="4"/>
  <c r="X190" i="4"/>
  <c r="X88" i="4"/>
  <c r="X346" i="4"/>
  <c r="X278" i="4"/>
  <c r="X230" i="4"/>
  <c r="X220" i="4"/>
  <c r="X9" i="4"/>
  <c r="X427" i="4"/>
  <c r="X303" i="4"/>
  <c r="X156" i="4"/>
  <c r="X199" i="4"/>
  <c r="X496" i="4"/>
  <c r="X128" i="4"/>
  <c r="X251" i="4"/>
  <c r="X290" i="4"/>
  <c r="X297" i="4"/>
  <c r="X102" i="4"/>
  <c r="X121" i="4"/>
  <c r="X43" i="4"/>
  <c r="X370" i="4"/>
  <c r="X368" i="4"/>
  <c r="X192" i="4"/>
  <c r="X423" i="4"/>
  <c r="X157" i="4"/>
  <c r="X472" i="4"/>
  <c r="X44" i="4"/>
  <c r="X299" i="4"/>
  <c r="X350" i="4"/>
  <c r="X12" i="4"/>
  <c r="X174" i="4"/>
  <c r="X449" i="4"/>
  <c r="X151" i="4"/>
  <c r="X276" i="4"/>
  <c r="X462" i="4"/>
  <c r="X231" i="4"/>
  <c r="X296" i="4"/>
  <c r="X115" i="4"/>
  <c r="X80" i="4"/>
  <c r="X149" i="4"/>
  <c r="X275" i="4"/>
  <c r="X133" i="4"/>
  <c r="X283" i="4"/>
  <c r="X502" i="4"/>
  <c r="X422" i="4"/>
  <c r="X378" i="4"/>
  <c r="X27" i="4"/>
  <c r="X81" i="4"/>
  <c r="X426" i="4"/>
  <c r="X179" i="4"/>
  <c r="X214" i="4"/>
  <c r="X293" i="4"/>
  <c r="X66" i="4"/>
  <c r="X443" i="4"/>
  <c r="X353" i="4"/>
  <c r="X311" i="4"/>
  <c r="X430" i="4"/>
  <c r="X16" i="4"/>
  <c r="X464" i="4"/>
  <c r="X307" i="4"/>
  <c r="X53" i="4"/>
  <c r="X328" i="4"/>
  <c r="X336" i="4"/>
  <c r="X253" i="4"/>
  <c r="X254" i="4"/>
  <c r="X225" i="4"/>
  <c r="X213" i="4"/>
  <c r="X216" i="4"/>
  <c r="X357" i="4"/>
  <c r="X323" i="4"/>
  <c r="X392" i="4"/>
  <c r="X250" i="4"/>
  <c r="X483" i="4"/>
  <c r="X292" i="4"/>
  <c r="X263" i="4"/>
  <c r="X383" i="4"/>
  <c r="X147" i="4"/>
  <c r="X411" i="4"/>
  <c r="X132" i="4"/>
  <c r="X482" i="4"/>
  <c r="X161" i="4"/>
  <c r="X388" i="4"/>
  <c r="X318" i="4"/>
  <c r="X415" i="4"/>
  <c r="X424" i="4"/>
  <c r="X181" i="4"/>
  <c r="X90" i="4"/>
  <c r="X384" i="4"/>
  <c r="X243" i="4"/>
  <c r="X262" i="4"/>
  <c r="X235" i="4"/>
  <c r="X465" i="4"/>
  <c r="X484" i="4"/>
  <c r="X289" i="4"/>
  <c r="X6" i="4"/>
  <c r="X385" i="4"/>
  <c r="X41" i="4"/>
  <c r="X35" i="4"/>
  <c r="X25" i="4"/>
  <c r="X10" i="4"/>
  <c r="X337" i="4"/>
  <c r="X440" i="4"/>
  <c r="X288" i="4"/>
  <c r="X63" i="4"/>
  <c r="X265" i="4"/>
  <c r="X280" i="4"/>
  <c r="X351" i="4"/>
  <c r="X237" i="4"/>
  <c r="X242" i="4"/>
  <c r="X96" i="4"/>
  <c r="X78" i="4"/>
  <c r="X333" i="4"/>
  <c r="X269" i="4"/>
  <c r="X71" i="4"/>
  <c r="X441" i="4"/>
  <c r="X4" i="4"/>
  <c r="X413" i="4"/>
  <c r="X403" i="4"/>
  <c r="X83" i="4"/>
  <c r="X312" i="4"/>
  <c r="X439" i="4"/>
  <c r="X229" i="4"/>
  <c r="X85" i="4"/>
  <c r="X18" i="4"/>
  <c r="X212" i="4"/>
  <c r="X355" i="4"/>
  <c r="X195" i="4"/>
  <c r="X175" i="4"/>
  <c r="X420" i="4"/>
  <c r="X326" i="4"/>
  <c r="X37" i="4"/>
  <c r="X344" i="4"/>
  <c r="X363" i="4"/>
  <c r="X28" i="4"/>
  <c r="X36" i="4"/>
  <c r="X329" i="4"/>
  <c r="X425" i="4"/>
  <c r="X15" i="4"/>
  <c r="X494" i="4"/>
  <c r="X95" i="4"/>
  <c r="X234" i="4"/>
  <c r="X224" i="4"/>
  <c r="X366" i="4"/>
  <c r="X467" i="4"/>
  <c r="X391" i="4"/>
  <c r="X428" i="4"/>
  <c r="X300" i="4"/>
  <c r="X67" i="4"/>
  <c r="X282" i="4"/>
  <c r="X241" i="4"/>
  <c r="X178" i="4"/>
  <c r="X335" i="4"/>
  <c r="X117" i="4"/>
  <c r="X184" i="4"/>
  <c r="X249" i="4"/>
  <c r="X492" i="4"/>
  <c r="T67" i="4" l="1"/>
  <c r="U67" i="4" s="1"/>
  <c r="T498" i="4"/>
  <c r="U498" i="4" s="1"/>
  <c r="Y498" i="4"/>
  <c r="Z498" i="4" s="1"/>
  <c r="T447" i="4"/>
  <c r="U447" i="4" s="1"/>
  <c r="T73" i="4"/>
  <c r="U73" i="4" s="1"/>
  <c r="T165" i="4"/>
  <c r="U165" i="4" s="1"/>
  <c r="T305" i="4"/>
  <c r="U305" i="4" s="1"/>
  <c r="T92" i="4"/>
  <c r="U92" i="4" s="1"/>
  <c r="T125" i="4"/>
  <c r="U125" i="4" s="1"/>
  <c r="T297" i="4"/>
  <c r="U297" i="4" s="1"/>
  <c r="T150" i="4"/>
  <c r="U150" i="4" s="1"/>
  <c r="T129" i="4"/>
  <c r="U129" i="4" s="1"/>
  <c r="T140" i="4"/>
  <c r="U140" i="4" s="1"/>
  <c r="T394" i="4"/>
  <c r="U394" i="4" s="1"/>
  <c r="T275" i="4"/>
  <c r="U275" i="4" s="1"/>
  <c r="T86" i="4"/>
  <c r="U86" i="4" s="1"/>
  <c r="T330" i="4"/>
  <c r="U330" i="4" s="1"/>
  <c r="T74" i="4"/>
  <c r="U74" i="4" s="1"/>
  <c r="T291" i="4"/>
  <c r="U291" i="4" s="1"/>
  <c r="Y291" i="4"/>
  <c r="Z291" i="4" s="1"/>
  <c r="T398" i="4"/>
  <c r="U398" i="4" s="1"/>
  <c r="T392" i="4"/>
  <c r="U392" i="4" s="1"/>
  <c r="T317" i="4"/>
  <c r="U317" i="4" s="1"/>
  <c r="T397" i="4"/>
  <c r="U397" i="4" s="1"/>
  <c r="T496" i="4"/>
  <c r="U496" i="4" s="1"/>
  <c r="T475" i="4"/>
  <c r="U475" i="4" s="1"/>
  <c r="T197" i="4"/>
  <c r="U197" i="4" s="1"/>
  <c r="T201" i="4"/>
  <c r="U201" i="4" s="1"/>
  <c r="T195" i="4"/>
  <c r="U195" i="4" s="1"/>
  <c r="T79" i="4"/>
  <c r="U79" i="4" s="1"/>
  <c r="T77" i="4"/>
  <c r="U77" i="4" s="1"/>
  <c r="T409" i="4"/>
  <c r="U409" i="4" s="1"/>
  <c r="T371" i="4"/>
  <c r="U371" i="4" s="1"/>
  <c r="T202" i="4"/>
  <c r="U202" i="4" s="1"/>
  <c r="T430" i="4"/>
  <c r="U430" i="4" s="1"/>
  <c r="T325" i="4"/>
  <c r="U325" i="4" s="1"/>
  <c r="T366" i="4"/>
  <c r="U366" i="4" s="1"/>
  <c r="T46" i="4"/>
  <c r="U46" i="4" s="1"/>
  <c r="T151" i="4"/>
  <c r="U151" i="4" s="1"/>
  <c r="T216" i="4"/>
  <c r="U216" i="4" s="1"/>
  <c r="T29" i="4"/>
  <c r="U29" i="4" s="1"/>
  <c r="T328" i="4"/>
  <c r="U328" i="4" s="1"/>
  <c r="T131" i="4"/>
  <c r="U131" i="4" s="1"/>
  <c r="T456" i="4"/>
  <c r="U456" i="4" s="1"/>
  <c r="T464" i="4"/>
  <c r="U464" i="4" s="1"/>
  <c r="T98" i="4"/>
  <c r="U98" i="4" s="1"/>
  <c r="T281" i="4"/>
  <c r="U281" i="4" s="1"/>
  <c r="T326" i="4"/>
  <c r="U326" i="4" s="1"/>
  <c r="T472" i="4"/>
  <c r="U472" i="4" s="1"/>
  <c r="T106" i="4"/>
  <c r="U106" i="4" s="1"/>
  <c r="T376" i="4"/>
  <c r="U376" i="4" s="1"/>
  <c r="T446" i="4"/>
  <c r="U446" i="4" s="1"/>
  <c r="T19" i="4"/>
  <c r="U19" i="4" s="1"/>
  <c r="T253" i="4"/>
  <c r="U253" i="4" s="1"/>
  <c r="T84" i="4"/>
  <c r="T478" i="4"/>
  <c r="U478" i="4" s="1"/>
  <c r="T282" i="4"/>
  <c r="U282" i="4" s="1"/>
  <c r="T22" i="4"/>
  <c r="U22" i="4" s="1"/>
  <c r="T23" i="4"/>
  <c r="U23" i="4" s="1"/>
  <c r="T138" i="4"/>
  <c r="U138" i="4" s="1"/>
  <c r="T194" i="4"/>
  <c r="T5" i="4"/>
  <c r="U5" i="4" s="1"/>
  <c r="T454" i="4"/>
  <c r="U454" i="4" s="1"/>
  <c r="T333" i="4"/>
  <c r="U333" i="4" s="1"/>
  <c r="T68" i="4"/>
  <c r="U68" i="4" s="1"/>
  <c r="T386" i="4"/>
  <c r="U386" i="4" s="1"/>
  <c r="T185" i="4"/>
  <c r="T501" i="4"/>
  <c r="U501" i="4" s="1"/>
  <c r="T491" i="4"/>
  <c r="U491" i="4" s="1"/>
  <c r="T288" i="4"/>
  <c r="U288" i="4" s="1"/>
  <c r="T214" i="4"/>
  <c r="U214" i="4" s="1"/>
  <c r="T99" i="4"/>
  <c r="U99" i="4" s="1"/>
  <c r="T210" i="4"/>
  <c r="T267" i="4"/>
  <c r="U267" i="4" s="1"/>
  <c r="T166" i="4"/>
  <c r="U166" i="4" s="1"/>
  <c r="T83" i="4"/>
  <c r="U83" i="4" s="1"/>
  <c r="T453" i="4"/>
  <c r="U453" i="4" s="1"/>
  <c r="T149" i="4"/>
  <c r="U149" i="4" s="1"/>
  <c r="T437" i="4"/>
  <c r="T100" i="4"/>
  <c r="U100" i="4" s="1"/>
  <c r="T104" i="4"/>
  <c r="U104" i="4" s="1"/>
  <c r="T427" i="4"/>
  <c r="U427" i="4" s="1"/>
  <c r="T177" i="4"/>
  <c r="U177" i="4" s="1"/>
  <c r="T154" i="4"/>
  <c r="U154" i="4" s="1"/>
  <c r="T205" i="4"/>
  <c r="T147" i="4"/>
  <c r="U147" i="4" s="1"/>
  <c r="T293" i="4"/>
  <c r="U293" i="4" s="1"/>
  <c r="T204" i="4"/>
  <c r="U204" i="4" s="1"/>
  <c r="T435" i="4"/>
  <c r="U435" i="4" s="1"/>
  <c r="T329" i="4"/>
  <c r="U329" i="4" s="1"/>
  <c r="T111" i="4"/>
  <c r="T116" i="4"/>
  <c r="U116" i="4" s="1"/>
  <c r="T480" i="4"/>
  <c r="U480" i="4" s="1"/>
  <c r="T244" i="4"/>
  <c r="U244" i="4" s="1"/>
  <c r="T113" i="4"/>
  <c r="U113" i="4" s="1"/>
  <c r="T341" i="4"/>
  <c r="U341" i="4" s="1"/>
  <c r="T130" i="4"/>
  <c r="T132" i="4"/>
  <c r="U132" i="4" s="1"/>
  <c r="T426" i="4"/>
  <c r="U426" i="4" s="1"/>
  <c r="T48" i="4"/>
  <c r="U48" i="4" s="1"/>
  <c r="T335" i="4"/>
  <c r="U335" i="4" s="1"/>
  <c r="T420" i="4"/>
  <c r="U420" i="4" s="1"/>
  <c r="T191" i="4"/>
  <c r="T378" i="4"/>
  <c r="U378" i="4" s="1"/>
  <c r="T173" i="4"/>
  <c r="U173" i="4" s="1"/>
  <c r="T40" i="4"/>
  <c r="U40" i="4" s="1"/>
  <c r="T122" i="4"/>
  <c r="U122" i="4" s="1"/>
  <c r="T419" i="4"/>
  <c r="U419" i="4" s="1"/>
  <c r="T251" i="4"/>
  <c r="T30" i="4"/>
  <c r="U30" i="4" s="1"/>
  <c r="T450" i="4"/>
  <c r="U450" i="4" s="1"/>
  <c r="T144" i="4"/>
  <c r="U144" i="4" s="1"/>
  <c r="T218" i="4"/>
  <c r="U218" i="4" s="1"/>
  <c r="T56" i="4"/>
  <c r="U56" i="4" s="1"/>
  <c r="T477" i="4"/>
  <c r="T107" i="4"/>
  <c r="U107" i="4" s="1"/>
  <c r="T71" i="4"/>
  <c r="U71" i="4" s="1"/>
  <c r="T82" i="4"/>
  <c r="U82" i="4" s="1"/>
  <c r="T64" i="4"/>
  <c r="U64" i="4" s="1"/>
  <c r="T466" i="4"/>
  <c r="U466" i="4" s="1"/>
  <c r="T338" i="4"/>
  <c r="T327" i="4"/>
  <c r="U327" i="4" s="1"/>
  <c r="T65" i="4"/>
  <c r="U65" i="4" s="1"/>
  <c r="T90" i="4"/>
  <c r="U90" i="4" s="1"/>
  <c r="T47" i="4"/>
  <c r="U47" i="4" s="1"/>
  <c r="T45" i="4"/>
  <c r="U45" i="4" s="1"/>
  <c r="T212" i="4"/>
  <c r="U212" i="4" s="1"/>
  <c r="T279" i="4"/>
  <c r="U279" i="4" s="1"/>
  <c r="T121" i="4"/>
  <c r="U121" i="4" s="1"/>
  <c r="T433" i="4"/>
  <c r="U433" i="4" s="1"/>
  <c r="T133" i="4"/>
  <c r="U133" i="4" s="1"/>
  <c r="T237" i="4"/>
  <c r="U237" i="4" s="1"/>
  <c r="T309" i="4"/>
  <c r="U309" i="4" s="1"/>
  <c r="T8" i="4"/>
  <c r="U8" i="4" s="1"/>
  <c r="T206" i="4"/>
  <c r="U206" i="4" s="1"/>
  <c r="T504" i="4"/>
  <c r="U504" i="4" s="1"/>
  <c r="T363" i="4"/>
  <c r="U363" i="4" s="1"/>
  <c r="T485" i="4"/>
  <c r="U485" i="4" s="1"/>
  <c r="T263" i="4"/>
  <c r="U263" i="4" s="1"/>
  <c r="T320" i="4"/>
  <c r="U320" i="4" s="1"/>
  <c r="T353" i="4"/>
  <c r="U353" i="4" s="1"/>
  <c r="T105" i="4"/>
  <c r="U105" i="4" s="1"/>
  <c r="T444" i="4"/>
  <c r="U444" i="4" s="1"/>
  <c r="T153" i="4"/>
  <c r="U153" i="4" s="1"/>
  <c r="T245" i="4"/>
  <c r="U245" i="4" s="1"/>
  <c r="T497" i="4"/>
  <c r="U497" i="4" s="1"/>
  <c r="T124" i="4"/>
  <c r="U124" i="4" s="1"/>
  <c r="T10" i="4"/>
  <c r="U10" i="4" s="1"/>
  <c r="T414" i="4"/>
  <c r="U414" i="4" s="1"/>
  <c r="T299" i="4"/>
  <c r="U299" i="4" s="1"/>
  <c r="T445" i="4"/>
  <c r="U445" i="4" s="1"/>
  <c r="T354" i="4"/>
  <c r="U354" i="4" s="1"/>
  <c r="T6" i="4"/>
  <c r="U6" i="4" s="1"/>
  <c r="Y135" i="4"/>
  <c r="Z135" i="4" s="1"/>
  <c r="U135" i="4"/>
  <c r="T302" i="4"/>
  <c r="U302" i="4" s="1"/>
  <c r="T110" i="4"/>
  <c r="U110" i="4" s="1"/>
  <c r="T62" i="4"/>
  <c r="U62" i="4" s="1"/>
  <c r="T180" i="4"/>
  <c r="U180" i="4" s="1"/>
  <c r="T412" i="4"/>
  <c r="U412" i="4" s="1"/>
  <c r="T429" i="4"/>
  <c r="U429" i="4" s="1"/>
  <c r="T417" i="4"/>
  <c r="U417" i="4" s="1"/>
  <c r="T163" i="4"/>
  <c r="U163" i="4" s="1"/>
  <c r="T259" i="4"/>
  <c r="U259" i="4" s="1"/>
  <c r="T167" i="4"/>
  <c r="U167" i="4" s="1"/>
  <c r="T401" i="4"/>
  <c r="U401" i="4" s="1"/>
  <c r="T408" i="4"/>
  <c r="U408" i="4" s="1"/>
  <c r="T360" i="4"/>
  <c r="U360" i="4" s="1"/>
  <c r="T31" i="4"/>
  <c r="U31" i="4" s="1"/>
  <c r="T403" i="4"/>
  <c r="U403" i="4" s="1"/>
  <c r="T161" i="4"/>
  <c r="U161" i="4" s="1"/>
  <c r="T114" i="4"/>
  <c r="U114" i="4" s="1"/>
  <c r="T388" i="4"/>
  <c r="U388" i="4" s="1"/>
  <c r="T361" i="4"/>
  <c r="U361" i="4" s="1"/>
  <c r="T78" i="4"/>
  <c r="U78" i="4" s="1"/>
  <c r="T54" i="4"/>
  <c r="U54" i="4" s="1"/>
  <c r="T441" i="4"/>
  <c r="U441" i="4" s="1"/>
  <c r="T449" i="4"/>
  <c r="U449" i="4" s="1"/>
  <c r="T134" i="4"/>
  <c r="U134" i="4" s="1"/>
  <c r="T332" i="4"/>
  <c r="U332" i="4" s="1"/>
  <c r="T374" i="4"/>
  <c r="U374" i="4" s="1"/>
  <c r="T415" i="4"/>
  <c r="U415" i="4" s="1"/>
  <c r="T387" i="4"/>
  <c r="U387" i="4" s="1"/>
  <c r="T192" i="4"/>
  <c r="U192" i="4" s="1"/>
  <c r="T33" i="4"/>
  <c r="U33" i="4" s="1"/>
  <c r="T493" i="4"/>
  <c r="U493" i="4" s="1"/>
  <c r="T405" i="4"/>
  <c r="U405" i="4" s="1"/>
  <c r="T442" i="4"/>
  <c r="U442" i="4" s="1"/>
  <c r="T184" i="4"/>
  <c r="U184" i="4" s="1"/>
  <c r="T21" i="4"/>
  <c r="U21" i="4" s="1"/>
  <c r="T495" i="4"/>
  <c r="U495" i="4" s="1"/>
  <c r="T109" i="4"/>
  <c r="U109" i="4" s="1"/>
  <c r="T365" i="4"/>
  <c r="U365" i="4" s="1"/>
  <c r="T145" i="4"/>
  <c r="U145" i="4" s="1"/>
  <c r="T85" i="4"/>
  <c r="U85" i="4" s="1"/>
  <c r="T159" i="4"/>
  <c r="U159" i="4" s="1"/>
  <c r="T72" i="4"/>
  <c r="U72" i="4" s="1"/>
  <c r="T287" i="4"/>
  <c r="U287" i="4" s="1"/>
  <c r="T169" i="4"/>
  <c r="U169" i="4" s="1"/>
  <c r="T42" i="4"/>
  <c r="U42" i="4" s="1"/>
  <c r="T301" i="4"/>
  <c r="U301" i="4" s="1"/>
  <c r="T115" i="4"/>
  <c r="U115" i="4" s="1"/>
  <c r="T312" i="4"/>
  <c r="U312" i="4" s="1"/>
  <c r="T103" i="4"/>
  <c r="U103" i="4" s="1"/>
  <c r="T190" i="4"/>
  <c r="U190" i="4" s="1"/>
  <c r="T235" i="4"/>
  <c r="U235" i="4" s="1"/>
  <c r="T452" i="4"/>
  <c r="U452" i="4" s="1"/>
  <c r="T307" i="4"/>
  <c r="U307" i="4" s="1"/>
  <c r="T211" i="4"/>
  <c r="U211" i="4" s="1"/>
  <c r="T55" i="4"/>
  <c r="U55" i="4" s="1"/>
  <c r="T49" i="4"/>
  <c r="U49" i="4" s="1"/>
  <c r="T368" i="4"/>
  <c r="U368" i="4" s="1"/>
  <c r="T306" i="4"/>
  <c r="U306" i="4" s="1"/>
  <c r="T223" i="4"/>
  <c r="U223" i="4" s="1"/>
  <c r="T473" i="4"/>
  <c r="U473" i="4" s="1"/>
  <c r="T395" i="4"/>
  <c r="U395" i="4" s="1"/>
  <c r="T91" i="4"/>
  <c r="U91" i="4" s="1"/>
  <c r="T128" i="4"/>
  <c r="U128" i="4" s="1"/>
  <c r="T143" i="4"/>
  <c r="U143" i="4" s="1"/>
  <c r="T276" i="4"/>
  <c r="U276" i="4" s="1"/>
  <c r="T249" i="4"/>
  <c r="U249" i="4" s="1"/>
  <c r="T278" i="4"/>
  <c r="U278" i="4" s="1"/>
  <c r="T222" i="4"/>
  <c r="U222" i="4" s="1"/>
  <c r="T207" i="4"/>
  <c r="U207" i="4" s="1"/>
  <c r="T16" i="4"/>
  <c r="U16" i="4" s="1"/>
  <c r="T254" i="4"/>
  <c r="U254" i="4" s="1"/>
  <c r="T94" i="4"/>
  <c r="U94" i="4" s="1"/>
  <c r="T370" i="4"/>
  <c r="U370" i="4" s="1"/>
  <c r="T76" i="4"/>
  <c r="U76" i="4" s="1"/>
  <c r="T25" i="4"/>
  <c r="U25" i="4" s="1"/>
  <c r="T274" i="4"/>
  <c r="U274" i="4" s="1"/>
  <c r="T377" i="4"/>
  <c r="U377" i="4" s="1"/>
  <c r="T348" i="4"/>
  <c r="U348" i="4" s="1"/>
  <c r="T243" i="4"/>
  <c r="U243" i="4" s="1"/>
  <c r="T471" i="4"/>
  <c r="U471" i="4" s="1"/>
  <c r="T155" i="4"/>
  <c r="U155" i="4" s="1"/>
  <c r="T96" i="4"/>
  <c r="U96" i="4" s="1"/>
  <c r="T12" i="4"/>
  <c r="U12" i="4" s="1"/>
  <c r="T4" i="4"/>
  <c r="U4" i="4" s="1"/>
  <c r="T321" i="4"/>
  <c r="U321" i="4" s="1"/>
  <c r="T209" i="4"/>
  <c r="U209" i="4" s="1"/>
  <c r="T331" i="4"/>
  <c r="U331" i="4" s="1"/>
  <c r="T500" i="4"/>
  <c r="U500" i="4" s="1"/>
  <c r="T24" i="4"/>
  <c r="U24" i="4" s="1"/>
  <c r="T359" i="4"/>
  <c r="U359" i="4" s="1"/>
  <c r="T470" i="4"/>
  <c r="U470" i="4" s="1"/>
  <c r="T352" i="4"/>
  <c r="U352" i="4" s="1"/>
  <c r="T156" i="4"/>
  <c r="U156" i="4" s="1"/>
  <c r="T20" i="4"/>
  <c r="U20" i="4" s="1"/>
  <c r="T224" i="4"/>
  <c r="U224" i="4" s="1"/>
  <c r="T215" i="4"/>
  <c r="U215" i="4" s="1"/>
  <c r="T66" i="4"/>
  <c r="U66" i="4" s="1"/>
  <c r="T379" i="4"/>
  <c r="U379" i="4" s="1"/>
  <c r="T228" i="4"/>
  <c r="U228" i="4" s="1"/>
  <c r="T262" i="4"/>
  <c r="U262" i="4" s="1"/>
  <c r="T53" i="4"/>
  <c r="U53" i="4" s="1"/>
  <c r="T178" i="4"/>
  <c r="U178" i="4" s="1"/>
  <c r="T198" i="4"/>
  <c r="U198" i="4" s="1"/>
  <c r="T238" i="4"/>
  <c r="U238" i="4" s="1"/>
  <c r="T462" i="4"/>
  <c r="U462" i="4" s="1"/>
  <c r="T423" i="4"/>
  <c r="U423" i="4" s="1"/>
  <c r="T474" i="4"/>
  <c r="U474" i="4" s="1"/>
  <c r="T268" i="4"/>
  <c r="U268" i="4" s="1"/>
  <c r="T349" i="4"/>
  <c r="U349" i="4" s="1"/>
  <c r="T400" i="4"/>
  <c r="U400" i="4" s="1"/>
  <c r="T258" i="4"/>
  <c r="U258" i="4" s="1"/>
  <c r="T499" i="4"/>
  <c r="U499" i="4" s="1"/>
  <c r="T269" i="4"/>
  <c r="T69" i="4"/>
  <c r="U69" i="4" s="1"/>
  <c r="T292" i="4"/>
  <c r="U292" i="4" s="1"/>
  <c r="T35" i="4"/>
  <c r="U35" i="4" s="1"/>
  <c r="T123" i="4"/>
  <c r="U123" i="4" s="1"/>
  <c r="T451" i="4"/>
  <c r="U451" i="4" s="1"/>
  <c r="T32" i="4"/>
  <c r="T421" i="4"/>
  <c r="U421" i="4" s="1"/>
  <c r="T232" i="4"/>
  <c r="U232" i="4" s="1"/>
  <c r="T310" i="4"/>
  <c r="U310" i="4" s="1"/>
  <c r="T319" i="4"/>
  <c r="U319" i="4" s="1"/>
  <c r="T358" i="4"/>
  <c r="U358" i="4" s="1"/>
  <c r="T364" i="4"/>
  <c r="T483" i="4"/>
  <c r="U483" i="4" s="1"/>
  <c r="T231" i="4"/>
  <c r="U231" i="4" s="1"/>
  <c r="T432" i="4"/>
  <c r="U432" i="4" s="1"/>
  <c r="T391" i="4"/>
  <c r="U391" i="4" s="1"/>
  <c r="T266" i="4"/>
  <c r="U266" i="4" s="1"/>
  <c r="T59" i="4"/>
  <c r="T176" i="4"/>
  <c r="U176" i="4" s="1"/>
  <c r="T75" i="4"/>
  <c r="U75" i="4" s="1"/>
  <c r="T119" i="4"/>
  <c r="U119" i="4" s="1"/>
  <c r="T17" i="4"/>
  <c r="T343" i="4"/>
  <c r="T239" i="4"/>
  <c r="T44" i="4"/>
  <c r="U44" i="4" s="1"/>
  <c r="T277" i="4"/>
  <c r="U277" i="4" s="1"/>
  <c r="T152" i="4"/>
  <c r="U152" i="4" s="1"/>
  <c r="T9" i="4"/>
  <c r="U9" i="4" s="1"/>
  <c r="T200" i="4"/>
  <c r="U200" i="4" s="1"/>
  <c r="T286" i="4"/>
  <c r="T199" i="4"/>
  <c r="U199" i="4" s="1"/>
  <c r="T272" i="4"/>
  <c r="U272" i="4" s="1"/>
  <c r="T89" i="4"/>
  <c r="U89" i="4" s="1"/>
  <c r="T407" i="4"/>
  <c r="U407" i="4" s="1"/>
  <c r="T425" i="4"/>
  <c r="U425" i="4" s="1"/>
  <c r="T241" i="4"/>
  <c r="T255" i="4"/>
  <c r="U255" i="4" s="1"/>
  <c r="T39" i="4"/>
  <c r="U39" i="4" s="1"/>
  <c r="T298" i="4"/>
  <c r="U298" i="4" s="1"/>
  <c r="T162" i="4"/>
  <c r="U162" i="4" s="1"/>
  <c r="T304" i="4"/>
  <c r="U304" i="4" s="1"/>
  <c r="T273" i="4"/>
  <c r="T260" i="4"/>
  <c r="U260" i="4" s="1"/>
  <c r="T346" i="4"/>
  <c r="U346" i="4" s="1"/>
  <c r="T434" i="4"/>
  <c r="U434" i="4" s="1"/>
  <c r="T174" i="4"/>
  <c r="U174" i="4" s="1"/>
  <c r="T229" i="4"/>
  <c r="U229" i="4" s="1"/>
  <c r="T463" i="4"/>
  <c r="T300" i="4"/>
  <c r="U300" i="4" s="1"/>
  <c r="T52" i="4"/>
  <c r="U52" i="4" s="1"/>
  <c r="T236" i="4"/>
  <c r="U236" i="4" s="1"/>
  <c r="T399" i="4"/>
  <c r="U399" i="4" s="1"/>
  <c r="T438" i="4"/>
  <c r="U438" i="4" s="1"/>
  <c r="T217" i="4"/>
  <c r="T313" i="4"/>
  <c r="U313" i="4" s="1"/>
  <c r="T418" i="4"/>
  <c r="U418" i="4" s="1"/>
  <c r="T467" i="4"/>
  <c r="U467" i="4" s="1"/>
  <c r="T283" i="4"/>
  <c r="U283" i="4" s="1"/>
  <c r="T175" i="4"/>
  <c r="U175" i="4" s="1"/>
  <c r="T101" i="4"/>
  <c r="T196" i="4"/>
  <c r="U196" i="4" s="1"/>
  <c r="T431" i="4"/>
  <c r="U431" i="4" s="1"/>
  <c r="T285" i="4"/>
  <c r="U285" i="4" s="1"/>
  <c r="T139" i="4"/>
  <c r="U139" i="4" s="1"/>
  <c r="T213" i="4"/>
  <c r="U213" i="4" s="1"/>
  <c r="T494" i="4"/>
  <c r="T250" i="4"/>
  <c r="U250" i="4" s="1"/>
  <c r="T136" i="4"/>
  <c r="U136" i="4" s="1"/>
  <c r="T284" i="4"/>
  <c r="U284" i="4" s="1"/>
  <c r="T390" i="4"/>
  <c r="U390" i="4" s="1"/>
  <c r="T484" i="4"/>
  <c r="U484" i="4" s="1"/>
  <c r="T345" i="4"/>
  <c r="T27" i="4"/>
  <c r="U27" i="4" s="1"/>
  <c r="T383" i="4"/>
  <c r="U383" i="4" s="1"/>
  <c r="T57" i="4"/>
  <c r="U57" i="4" s="1"/>
  <c r="T88" i="4"/>
  <c r="U88" i="4" s="1"/>
  <c r="T351" i="4"/>
  <c r="U351" i="4" s="1"/>
  <c r="T315" i="4"/>
  <c r="T339" i="4"/>
  <c r="U339" i="4" s="1"/>
  <c r="T230" i="4"/>
  <c r="U230" i="4" s="1"/>
  <c r="T220" i="4"/>
  <c r="U220" i="4" s="1"/>
  <c r="T108" i="4"/>
  <c r="U108" i="4" s="1"/>
  <c r="T468" i="4"/>
  <c r="U468" i="4" s="1"/>
  <c r="T63" i="4"/>
  <c r="T308" i="4"/>
  <c r="U308" i="4" s="1"/>
  <c r="T28" i="4"/>
  <c r="U28" i="4" s="1"/>
  <c r="T95" i="4"/>
  <c r="U95" i="4" s="1"/>
  <c r="T172" i="4"/>
  <c r="U172" i="4" s="1"/>
  <c r="T465" i="4"/>
  <c r="U465" i="4" s="1"/>
  <c r="T137" i="4"/>
  <c r="T396" i="4"/>
  <c r="U396" i="4" s="1"/>
  <c r="T37" i="4"/>
  <c r="U37" i="4" s="1"/>
  <c r="T323" i="4"/>
  <c r="U323" i="4" s="1"/>
  <c r="T193" i="4"/>
  <c r="U193" i="4" s="1"/>
  <c r="T369" i="4"/>
  <c r="U369" i="4" s="1"/>
  <c r="T18" i="4"/>
  <c r="T296" i="4"/>
  <c r="U296" i="4" s="1"/>
  <c r="T479" i="4"/>
  <c r="U479" i="4" s="1"/>
  <c r="T257" i="4"/>
  <c r="U257" i="4" s="1"/>
  <c r="T168" i="4"/>
  <c r="U168" i="4" s="1"/>
  <c r="T234" i="4"/>
  <c r="U234" i="4" s="1"/>
  <c r="T38" i="4"/>
  <c r="T461" i="4"/>
  <c r="U461" i="4" s="1"/>
  <c r="T476" i="4"/>
  <c r="U476" i="4" s="1"/>
  <c r="T303" i="4"/>
  <c r="U303" i="4" s="1"/>
  <c r="T170" i="4"/>
  <c r="U170" i="4" s="1"/>
  <c r="T436" i="4"/>
  <c r="U436" i="4" s="1"/>
  <c r="T252" i="4"/>
  <c r="T342" i="4"/>
  <c r="U342" i="4" s="1"/>
  <c r="T367" i="4"/>
  <c r="U367" i="4" s="1"/>
  <c r="T14" i="4"/>
  <c r="U14" i="4" s="1"/>
  <c r="T50" i="4"/>
  <c r="U50" i="4" s="1"/>
  <c r="T389" i="4"/>
  <c r="U389" i="4" s="1"/>
  <c r="T148" i="4"/>
  <c r="T7" i="4"/>
  <c r="T460" i="4"/>
  <c r="U460" i="4" s="1"/>
  <c r="T226" i="4"/>
  <c r="U226" i="4" s="1"/>
  <c r="T146" i="4"/>
  <c r="U146" i="4" s="1"/>
  <c r="T256" i="4"/>
  <c r="U256" i="4" s="1"/>
  <c r="T487" i="4"/>
  <c r="T221" i="4"/>
  <c r="U221" i="4" s="1"/>
  <c r="T142" i="4"/>
  <c r="U142" i="4" s="1"/>
  <c r="T246" i="4"/>
  <c r="U246" i="4" s="1"/>
  <c r="T413" i="4"/>
  <c r="U413" i="4" s="1"/>
  <c r="T380" i="4"/>
  <c r="U380" i="4" s="1"/>
  <c r="T384" i="4"/>
  <c r="T443" i="4"/>
  <c r="U443" i="4" s="1"/>
  <c r="T112" i="4"/>
  <c r="U112" i="4" s="1"/>
  <c r="T26" i="4"/>
  <c r="U26" i="4" s="1"/>
  <c r="T316" i="4"/>
  <c r="U316" i="4" s="1"/>
  <c r="T186" i="4"/>
  <c r="U186" i="4" s="1"/>
  <c r="T188" i="4"/>
  <c r="T490" i="4"/>
  <c r="U490" i="4" s="1"/>
  <c r="T347" i="4"/>
  <c r="U347" i="4" s="1"/>
  <c r="T503" i="4"/>
  <c r="U503" i="4" s="1"/>
  <c r="T416" i="4"/>
  <c r="U416" i="4" s="1"/>
  <c r="T324" i="4"/>
  <c r="U324" i="4" s="1"/>
  <c r="T488" i="4"/>
  <c r="T187" i="4"/>
  <c r="U187" i="4" s="1"/>
  <c r="T179" i="4"/>
  <c r="U179" i="4" s="1"/>
  <c r="T424" i="4"/>
  <c r="U424" i="4" s="1"/>
  <c r="T240" i="4"/>
  <c r="U240" i="4" s="1"/>
  <c r="T337" i="4"/>
  <c r="U337" i="4" s="1"/>
  <c r="T61" i="4"/>
  <c r="T481" i="4"/>
  <c r="U481" i="4" s="1"/>
  <c r="T102" i="4"/>
  <c r="U102" i="4" s="1"/>
  <c r="T261" i="4"/>
  <c r="U261" i="4" s="1"/>
  <c r="T248" i="4"/>
  <c r="U248" i="4" s="1"/>
  <c r="T280" i="4"/>
  <c r="U280" i="4" s="1"/>
  <c r="T126" i="4"/>
  <c r="T233" i="4"/>
  <c r="U233" i="4" s="1"/>
  <c r="T402" i="4"/>
  <c r="U402" i="4" s="1"/>
  <c r="T334" i="4"/>
  <c r="U334" i="4" s="1"/>
  <c r="T459" i="4"/>
  <c r="U459" i="4" s="1"/>
  <c r="T11" i="4"/>
  <c r="U11" i="4" s="1"/>
  <c r="T492" i="4"/>
  <c r="T404" i="4"/>
  <c r="U404" i="4" s="1"/>
  <c r="T70" i="4"/>
  <c r="U70" i="4" s="1"/>
  <c r="T225" i="4"/>
  <c r="U225" i="4" s="1"/>
  <c r="T350" i="4"/>
  <c r="U350" i="4" s="1"/>
  <c r="T448" i="4"/>
  <c r="U448" i="4" s="1"/>
  <c r="T344" i="4"/>
  <c r="T182" i="4"/>
  <c r="U182" i="4" s="1"/>
  <c r="T242" i="4"/>
  <c r="U242" i="4" s="1"/>
  <c r="T164" i="4"/>
  <c r="U164" i="4" s="1"/>
  <c r="T208" i="4"/>
  <c r="U208" i="4" s="1"/>
  <c r="T362" i="4"/>
  <c r="T141" i="4"/>
  <c r="T160" i="4"/>
  <c r="U160" i="4" s="1"/>
  <c r="T314" i="4"/>
  <c r="U314" i="4" s="1"/>
  <c r="T294" i="4"/>
  <c r="U294" i="4" s="1"/>
  <c r="T87" i="4"/>
  <c r="U87" i="4" s="1"/>
  <c r="T97" i="4"/>
  <c r="U97" i="4" s="1"/>
  <c r="T247" i="4"/>
  <c r="T355" i="4"/>
  <c r="U355" i="4" s="1"/>
  <c r="T13" i="4"/>
  <c r="U13" i="4" s="1"/>
  <c r="T127" i="4"/>
  <c r="U127" i="4" s="1"/>
  <c r="Y406" i="4"/>
  <c r="Z406" i="4" s="1"/>
  <c r="U406" i="4"/>
  <c r="T458" i="4"/>
  <c r="U458" i="4" s="1"/>
  <c r="T271" i="4"/>
  <c r="T227" i="4"/>
  <c r="U227" i="4" s="1"/>
  <c r="T428" i="4"/>
  <c r="U428" i="4" s="1"/>
  <c r="T93" i="4"/>
  <c r="U93" i="4" s="1"/>
  <c r="T34" i="4"/>
  <c r="U34" i="4" s="1"/>
  <c r="T486" i="4"/>
  <c r="U486" i="4" s="1"/>
  <c r="T219" i="4"/>
  <c r="T183" i="4"/>
  <c r="T422" i="4"/>
  <c r="U422" i="4" s="1"/>
  <c r="T356" i="4"/>
  <c r="U356" i="4" s="1"/>
  <c r="T322" i="4"/>
  <c r="U322" i="4" s="1"/>
  <c r="T410" i="4"/>
  <c r="U410" i="4" s="1"/>
  <c r="T81" i="4"/>
  <c r="T502" i="4"/>
  <c r="U502" i="4" s="1"/>
  <c r="T482" i="4"/>
  <c r="U482" i="4" s="1"/>
  <c r="T41" i="4"/>
  <c r="U41" i="4" s="1"/>
  <c r="T289" i="4"/>
  <c r="U289" i="4" s="1"/>
  <c r="T382" i="4"/>
  <c r="U382" i="4" s="1"/>
  <c r="T43" i="4"/>
  <c r="T158" i="4"/>
  <c r="U158" i="4" s="1"/>
  <c r="T189" i="4"/>
  <c r="T439" i="4"/>
  <c r="U439" i="4" s="1"/>
  <c r="T270" i="4"/>
  <c r="U270" i="4" s="1"/>
  <c r="T60" i="4"/>
  <c r="U60" i="4" s="1"/>
  <c r="T51" i="4"/>
  <c r="T440" i="4"/>
  <c r="U440" i="4" s="1"/>
  <c r="T157" i="4"/>
  <c r="U157" i="4" s="1"/>
  <c r="T318" i="4"/>
  <c r="U318" i="4" s="1"/>
  <c r="T336" i="4"/>
  <c r="U336" i="4" s="1"/>
  <c r="T375" i="4"/>
  <c r="U375" i="4" s="1"/>
  <c r="T469" i="4"/>
  <c r="T381" i="4"/>
  <c r="U381" i="4" s="1"/>
  <c r="T203" i="4"/>
  <c r="U203" i="4" s="1"/>
  <c r="T457" i="4"/>
  <c r="T373" i="4"/>
  <c r="U373" i="4" s="1"/>
  <c r="T411" i="4"/>
  <c r="U411" i="4" s="1"/>
  <c r="T372" i="4"/>
  <c r="T385" i="4"/>
  <c r="U385" i="4" s="1"/>
  <c r="T311" i="4"/>
  <c r="U311" i="4" s="1"/>
  <c r="T393" i="4"/>
  <c r="U393" i="4" s="1"/>
  <c r="T171" i="4"/>
  <c r="U171" i="4" s="1"/>
  <c r="T290" i="4"/>
  <c r="U290" i="4" s="1"/>
  <c r="T80" i="4"/>
  <c r="T118" i="4"/>
  <c r="U118" i="4" s="1"/>
  <c r="T58" i="4"/>
  <c r="U58" i="4" s="1"/>
  <c r="T357" i="4"/>
  <c r="U357" i="4" s="1"/>
  <c r="T181" i="4"/>
  <c r="T120" i="4"/>
  <c r="U120" i="4" s="1"/>
  <c r="T340" i="4"/>
  <c r="T489" i="4"/>
  <c r="U489" i="4" s="1"/>
  <c r="T295" i="4"/>
  <c r="U295" i="4" s="1"/>
  <c r="T264" i="4"/>
  <c r="U264" i="4" s="1"/>
  <c r="T36" i="4"/>
  <c r="U36" i="4" s="1"/>
  <c r="T265" i="4"/>
  <c r="U265" i="4" s="1"/>
  <c r="T117" i="4"/>
  <c r="T15" i="4"/>
  <c r="U15" i="4" s="1"/>
  <c r="T455" i="4"/>
  <c r="U455" i="4" s="1"/>
  <c r="Y165" i="4" l="1"/>
  <c r="Z165" i="4" s="1"/>
  <c r="Y305" i="4"/>
  <c r="Z305" i="4" s="1"/>
  <c r="Y330" i="4"/>
  <c r="Z330" i="4" s="1"/>
  <c r="AA330" i="4" s="1"/>
  <c r="Y476" i="4"/>
  <c r="Z476" i="4" s="1"/>
  <c r="AA476" i="4" s="1"/>
  <c r="AB476" i="4" s="1"/>
  <c r="Y478" i="4"/>
  <c r="Z478" i="4" s="1"/>
  <c r="Y65" i="4"/>
  <c r="Z65" i="4" s="1"/>
  <c r="AA65" i="4" s="1"/>
  <c r="AC65" i="4" s="1"/>
  <c r="N65" i="4" s="1"/>
  <c r="Y295" i="4"/>
  <c r="Z295" i="4" s="1"/>
  <c r="AA295" i="4" s="1"/>
  <c r="Y336" i="4"/>
  <c r="Z336" i="4" s="1"/>
  <c r="AA336" i="4" s="1"/>
  <c r="Y465" i="4"/>
  <c r="Z465" i="4" s="1"/>
  <c r="Y427" i="4"/>
  <c r="Z427" i="4" s="1"/>
  <c r="AA427" i="4" s="1"/>
  <c r="Y99" i="4"/>
  <c r="Z99" i="4" s="1"/>
  <c r="AA99" i="4" s="1"/>
  <c r="Y28" i="4"/>
  <c r="Z28" i="4" s="1"/>
  <c r="AA28" i="4" s="1"/>
  <c r="AC28" i="4" s="1"/>
  <c r="N28" i="4" s="1"/>
  <c r="Y104" i="4"/>
  <c r="Z104" i="4" s="1"/>
  <c r="AA104" i="4" s="1"/>
  <c r="AC104" i="4" s="1"/>
  <c r="N104" i="4" s="1"/>
  <c r="Y226" i="4"/>
  <c r="Z226" i="4" s="1"/>
  <c r="AA226" i="4" s="1"/>
  <c r="AB226" i="4" s="1"/>
  <c r="Y383" i="4"/>
  <c r="Z383" i="4" s="1"/>
  <c r="AA383" i="4" s="1"/>
  <c r="AB383" i="4" s="1"/>
  <c r="Y341" i="4"/>
  <c r="Z341" i="4" s="1"/>
  <c r="AA341" i="4" s="1"/>
  <c r="Y193" i="4"/>
  <c r="Z193" i="4" s="1"/>
  <c r="AA193" i="4" s="1"/>
  <c r="AB193" i="4" s="1"/>
  <c r="Y166" i="4"/>
  <c r="Z166" i="4" s="1"/>
  <c r="AA166" i="4" s="1"/>
  <c r="Y68" i="4"/>
  <c r="Z68" i="4" s="1"/>
  <c r="AA68" i="4" s="1"/>
  <c r="Y90" i="4"/>
  <c r="Z90" i="4" s="1"/>
  <c r="AA90" i="4" s="1"/>
  <c r="Y475" i="4"/>
  <c r="Z475" i="4" s="1"/>
  <c r="AA475" i="4" s="1"/>
  <c r="AC475" i="4" s="1"/>
  <c r="N475" i="4" s="1"/>
  <c r="Y337" i="4"/>
  <c r="Z337" i="4" s="1"/>
  <c r="AA337" i="4" s="1"/>
  <c r="Y215" i="4"/>
  <c r="Z215" i="4" s="1"/>
  <c r="AA215" i="4" s="1"/>
  <c r="AB215" i="4" s="1"/>
  <c r="Y395" i="4"/>
  <c r="Z395" i="4" s="1"/>
  <c r="AA395" i="4" s="1"/>
  <c r="Y149" i="4"/>
  <c r="Z149" i="4" s="1"/>
  <c r="AA149" i="4" s="1"/>
  <c r="Y421" i="4"/>
  <c r="Z421" i="4" s="1"/>
  <c r="AA421" i="4" s="1"/>
  <c r="AB421" i="4" s="1"/>
  <c r="Y66" i="4"/>
  <c r="Z66" i="4" s="1"/>
  <c r="AA66" i="4" s="1"/>
  <c r="AC66" i="4" s="1"/>
  <c r="N66" i="4" s="1"/>
  <c r="Y92" i="4"/>
  <c r="Z92" i="4" s="1"/>
  <c r="AA92" i="4" s="1"/>
  <c r="Y323" i="4"/>
  <c r="Z323" i="4" s="1"/>
  <c r="AA323" i="4" s="1"/>
  <c r="Y196" i="4"/>
  <c r="Z196" i="4" s="1"/>
  <c r="AA196" i="4" s="1"/>
  <c r="Y473" i="4"/>
  <c r="Z473" i="4" s="1"/>
  <c r="AA473" i="4" s="1"/>
  <c r="Y204" i="4"/>
  <c r="Z204" i="4" s="1"/>
  <c r="AA204" i="4" s="1"/>
  <c r="Y288" i="4"/>
  <c r="Z288" i="4" s="1"/>
  <c r="AA288" i="4" s="1"/>
  <c r="Y140" i="4"/>
  <c r="Z140" i="4" s="1"/>
  <c r="AA140" i="4" s="1"/>
  <c r="Y73" i="4"/>
  <c r="Z73" i="4" s="1"/>
  <c r="Y13" i="4"/>
  <c r="Z13" i="4" s="1"/>
  <c r="AA13" i="4" s="1"/>
  <c r="AC13" i="4" s="1"/>
  <c r="N13" i="4" s="1"/>
  <c r="Y481" i="4"/>
  <c r="Z481" i="4" s="1"/>
  <c r="AA481" i="4" s="1"/>
  <c r="Y416" i="4"/>
  <c r="Z416" i="4" s="1"/>
  <c r="AA416" i="4" s="1"/>
  <c r="Y23" i="4"/>
  <c r="Z23" i="4" s="1"/>
  <c r="AA23" i="4" s="1"/>
  <c r="Y106" i="4"/>
  <c r="Z106" i="4" s="1"/>
  <c r="Y89" i="4"/>
  <c r="Z89" i="4" s="1"/>
  <c r="Y442" i="4"/>
  <c r="Z442" i="4" s="1"/>
  <c r="AA442" i="4" s="1"/>
  <c r="AB442" i="4" s="1"/>
  <c r="Y335" i="4"/>
  <c r="Z335" i="4" s="1"/>
  <c r="AA335" i="4" s="1"/>
  <c r="Y22" i="4"/>
  <c r="Z22" i="4" s="1"/>
  <c r="AA22" i="4" s="1"/>
  <c r="Y157" i="4"/>
  <c r="Z157" i="4" s="1"/>
  <c r="AA157" i="4" s="1"/>
  <c r="AB157" i="4" s="1"/>
  <c r="Y97" i="4"/>
  <c r="Z97" i="4" s="1"/>
  <c r="AA97" i="4" s="1"/>
  <c r="AB97" i="4" s="1"/>
  <c r="Y431" i="4"/>
  <c r="Z431" i="4" s="1"/>
  <c r="AA431" i="4" s="1"/>
  <c r="AC431" i="4" s="1"/>
  <c r="N431" i="4" s="1"/>
  <c r="Y231" i="4"/>
  <c r="Z231" i="4" s="1"/>
  <c r="AA231" i="4" s="1"/>
  <c r="Y4" i="4"/>
  <c r="Z4" i="4" s="1"/>
  <c r="AA4" i="4" s="1"/>
  <c r="Y370" i="4"/>
  <c r="Z370" i="4" s="1"/>
  <c r="AA370" i="4" s="1"/>
  <c r="Y405" i="4"/>
  <c r="Z405" i="4" s="1"/>
  <c r="AA405" i="4" s="1"/>
  <c r="Y240" i="4"/>
  <c r="Z240" i="4" s="1"/>
  <c r="AA240" i="4" s="1"/>
  <c r="AC240" i="4" s="1"/>
  <c r="N240" i="4" s="1"/>
  <c r="Y367" i="4"/>
  <c r="Z367" i="4" s="1"/>
  <c r="AA367" i="4" s="1"/>
  <c r="Y468" i="4"/>
  <c r="Z468" i="4" s="1"/>
  <c r="AA468" i="4" s="1"/>
  <c r="Y259" i="4"/>
  <c r="Z259" i="4" s="1"/>
  <c r="AA259" i="4" s="1"/>
  <c r="Y100" i="4"/>
  <c r="Z100" i="4" s="1"/>
  <c r="AA100" i="4" s="1"/>
  <c r="AA478" i="4"/>
  <c r="Y294" i="4"/>
  <c r="Z294" i="4" s="1"/>
  <c r="AA294" i="4" s="1"/>
  <c r="Y257" i="4"/>
  <c r="Z257" i="4" s="1"/>
  <c r="AA257" i="4" s="1"/>
  <c r="Y300" i="4"/>
  <c r="Z300" i="4" s="1"/>
  <c r="AA300" i="4" s="1"/>
  <c r="AB300" i="4" s="1"/>
  <c r="Y298" i="4"/>
  <c r="Z298" i="4" s="1"/>
  <c r="AA298" i="4" s="1"/>
  <c r="Y200" i="4"/>
  <c r="Z200" i="4" s="1"/>
  <c r="AA200" i="4" s="1"/>
  <c r="Y145" i="4"/>
  <c r="Z145" i="4" s="1"/>
  <c r="AA145" i="4" s="1"/>
  <c r="Y40" i="4"/>
  <c r="Z40" i="4" s="1"/>
  <c r="AA40" i="4" s="1"/>
  <c r="Y5" i="4"/>
  <c r="Z5" i="4" s="1"/>
  <c r="Y150" i="4"/>
  <c r="Z150" i="4" s="1"/>
  <c r="AA150" i="4" s="1"/>
  <c r="Y314" i="4"/>
  <c r="Z314" i="4" s="1"/>
  <c r="AA314" i="4" s="1"/>
  <c r="AB314" i="4" s="1"/>
  <c r="Y9" i="4"/>
  <c r="Z9" i="4" s="1"/>
  <c r="AA9" i="4" s="1"/>
  <c r="Y75" i="4"/>
  <c r="Z75" i="4" s="1"/>
  <c r="AA75" i="4" s="1"/>
  <c r="Y173" i="4"/>
  <c r="Z173" i="4" s="1"/>
  <c r="AA173" i="4" s="1"/>
  <c r="Y102" i="4"/>
  <c r="Z102" i="4" s="1"/>
  <c r="AA102" i="4" s="1"/>
  <c r="Y460" i="4"/>
  <c r="Z460" i="4" s="1"/>
  <c r="AA460" i="4" s="1"/>
  <c r="Y172" i="4"/>
  <c r="Z172" i="4" s="1"/>
  <c r="AA172" i="4" s="1"/>
  <c r="Y113" i="4"/>
  <c r="Z113" i="4" s="1"/>
  <c r="AA113" i="4" s="1"/>
  <c r="Y453" i="4"/>
  <c r="Z453" i="4" s="1"/>
  <c r="AA453" i="4" s="1"/>
  <c r="Y491" i="4"/>
  <c r="Z491" i="4" s="1"/>
  <c r="AA491" i="4" s="1"/>
  <c r="Y138" i="4"/>
  <c r="Z138" i="4" s="1"/>
  <c r="AA138" i="4" s="1"/>
  <c r="Y67" i="4"/>
  <c r="Z67" i="4" s="1"/>
  <c r="AA67" i="4" s="1"/>
  <c r="Y290" i="4"/>
  <c r="Z290" i="4" s="1"/>
  <c r="AA290" i="4" s="1"/>
  <c r="AC290" i="4" s="1"/>
  <c r="N290" i="4" s="1"/>
  <c r="Y303" i="4"/>
  <c r="Z303" i="4" s="1"/>
  <c r="AA303" i="4" s="1"/>
  <c r="AB303" i="4" s="1"/>
  <c r="Y174" i="4"/>
  <c r="Z174" i="4" s="1"/>
  <c r="Y232" i="4"/>
  <c r="Z232" i="4" s="1"/>
  <c r="AA232" i="4" s="1"/>
  <c r="Y278" i="4"/>
  <c r="Z278" i="4" s="1"/>
  <c r="AA278" i="4" s="1"/>
  <c r="Y374" i="4"/>
  <c r="Z374" i="4" s="1"/>
  <c r="AA374" i="4" s="1"/>
  <c r="Y261" i="4"/>
  <c r="Z261" i="4" s="1"/>
  <c r="AA261" i="4" s="1"/>
  <c r="AB261" i="4" s="1"/>
  <c r="Y221" i="4"/>
  <c r="Z221" i="4" s="1"/>
  <c r="AA221" i="4" s="1"/>
  <c r="AC221" i="4" s="1"/>
  <c r="N221" i="4" s="1"/>
  <c r="Y170" i="4"/>
  <c r="Z170" i="4" s="1"/>
  <c r="AA170" i="4" s="1"/>
  <c r="Y57" i="4"/>
  <c r="Z57" i="4" s="1"/>
  <c r="AA57" i="4" s="1"/>
  <c r="AC57" i="4" s="1"/>
  <c r="N57" i="4" s="1"/>
  <c r="Y175" i="4"/>
  <c r="Z175" i="4" s="1"/>
  <c r="AA175" i="4" s="1"/>
  <c r="Y52" i="4"/>
  <c r="Z52" i="4" s="1"/>
  <c r="AA52" i="4" s="1"/>
  <c r="AB52" i="4" s="1"/>
  <c r="Y407" i="4"/>
  <c r="Z407" i="4" s="1"/>
  <c r="AA407" i="4" s="1"/>
  <c r="Y69" i="4"/>
  <c r="Z69" i="4" s="1"/>
  <c r="AA69" i="4" s="1"/>
  <c r="Y321" i="4"/>
  <c r="Z321" i="4" s="1"/>
  <c r="AA321" i="4" s="1"/>
  <c r="Y190" i="4"/>
  <c r="Z190" i="4" s="1"/>
  <c r="AA190" i="4" s="1"/>
  <c r="Y62" i="4"/>
  <c r="Z62" i="4" s="1"/>
  <c r="AA62" i="4" s="1"/>
  <c r="Y82" i="4"/>
  <c r="Z82" i="4" s="1"/>
  <c r="AA82" i="4" s="1"/>
  <c r="Y30" i="4"/>
  <c r="Z30" i="4" s="1"/>
  <c r="AA30" i="4" s="1"/>
  <c r="Y333" i="4"/>
  <c r="Z333" i="4" s="1"/>
  <c r="AA333" i="4" s="1"/>
  <c r="Y282" i="4"/>
  <c r="Z282" i="4" s="1"/>
  <c r="AA282" i="4" s="1"/>
  <c r="Y46" i="4"/>
  <c r="Z46" i="4" s="1"/>
  <c r="AA46" i="4" s="1"/>
  <c r="Y242" i="4"/>
  <c r="Z242" i="4" s="1"/>
  <c r="Y459" i="4"/>
  <c r="Z459" i="4" s="1"/>
  <c r="AA459" i="4" s="1"/>
  <c r="AC459" i="4" s="1"/>
  <c r="N459" i="4" s="1"/>
  <c r="Y26" i="4"/>
  <c r="Z26" i="4" s="1"/>
  <c r="AA26" i="4" s="1"/>
  <c r="Y389" i="4"/>
  <c r="Z389" i="4" s="1"/>
  <c r="AA389" i="4" s="1"/>
  <c r="Y479" i="4"/>
  <c r="Z479" i="4" s="1"/>
  <c r="AA479" i="4" s="1"/>
  <c r="Y108" i="4"/>
  <c r="Z108" i="4" s="1"/>
  <c r="AA108" i="4" s="1"/>
  <c r="Y213" i="4"/>
  <c r="Z213" i="4" s="1"/>
  <c r="AA213" i="4" s="1"/>
  <c r="Y304" i="4"/>
  <c r="Z304" i="4" s="1"/>
  <c r="AA304" i="4" s="1"/>
  <c r="Y176" i="4"/>
  <c r="Z176" i="4" s="1"/>
  <c r="AA176" i="4" s="1"/>
  <c r="Y198" i="4"/>
  <c r="Z198" i="4" s="1"/>
  <c r="AA198" i="4" s="1"/>
  <c r="Y249" i="4"/>
  <c r="Z249" i="4" s="1"/>
  <c r="AA249" i="4" s="1"/>
  <c r="Y54" i="4"/>
  <c r="Z54" i="4" s="1"/>
  <c r="AA54" i="4" s="1"/>
  <c r="Y244" i="4"/>
  <c r="Z244" i="4" s="1"/>
  <c r="AA244" i="4" s="1"/>
  <c r="AA305" i="4"/>
  <c r="Y356" i="4"/>
  <c r="Z356" i="4" s="1"/>
  <c r="AA356" i="4" s="1"/>
  <c r="AC356" i="4" s="1"/>
  <c r="N356" i="4" s="1"/>
  <c r="Y334" i="4"/>
  <c r="Z334" i="4" s="1"/>
  <c r="AA334" i="4" s="1"/>
  <c r="Y112" i="4"/>
  <c r="Z112" i="4" s="1"/>
  <c r="AA112" i="4" s="1"/>
  <c r="AC112" i="4" s="1"/>
  <c r="N112" i="4" s="1"/>
  <c r="Y256" i="4"/>
  <c r="Z256" i="4" s="1"/>
  <c r="AA256" i="4" s="1"/>
  <c r="Y50" i="4"/>
  <c r="Z50" i="4" s="1"/>
  <c r="AA50" i="4" s="1"/>
  <c r="AB50" i="4" s="1"/>
  <c r="Y296" i="4"/>
  <c r="Z296" i="4" s="1"/>
  <c r="AA296" i="4" s="1"/>
  <c r="Y220" i="4"/>
  <c r="Z220" i="4" s="1"/>
  <c r="AA220" i="4" s="1"/>
  <c r="Y139" i="4"/>
  <c r="Z139" i="4" s="1"/>
  <c r="AA139" i="4" s="1"/>
  <c r="AC139" i="4" s="1"/>
  <c r="N139" i="4" s="1"/>
  <c r="Y277" i="4"/>
  <c r="Z277" i="4" s="1"/>
  <c r="AA277" i="4" s="1"/>
  <c r="Y178" i="4"/>
  <c r="Z178" i="4" s="1"/>
  <c r="AA178" i="4" s="1"/>
  <c r="Y107" i="4"/>
  <c r="Z107" i="4" s="1"/>
  <c r="AA107" i="4" s="1"/>
  <c r="Y419" i="4"/>
  <c r="Z419" i="4" s="1"/>
  <c r="AA419" i="4" s="1"/>
  <c r="Y480" i="4"/>
  <c r="Z480" i="4" s="1"/>
  <c r="AA480" i="4" s="1"/>
  <c r="Y382" i="4"/>
  <c r="Z382" i="4" s="1"/>
  <c r="AA382" i="4" s="1"/>
  <c r="Y127" i="4"/>
  <c r="Z127" i="4" s="1"/>
  <c r="AA127" i="4" s="1"/>
  <c r="AC127" i="4" s="1"/>
  <c r="N127" i="4" s="1"/>
  <c r="Y402" i="4"/>
  <c r="Z402" i="4" s="1"/>
  <c r="AA402" i="4" s="1"/>
  <c r="Y146" i="4"/>
  <c r="Z146" i="4" s="1"/>
  <c r="AA146" i="4" s="1"/>
  <c r="Y14" i="4"/>
  <c r="Z14" i="4" s="1"/>
  <c r="AA14" i="4" s="1"/>
  <c r="Y285" i="4"/>
  <c r="Z285" i="4" s="1"/>
  <c r="AA285" i="4" s="1"/>
  <c r="Y229" i="4"/>
  <c r="Z229" i="4" s="1"/>
  <c r="AA229" i="4" s="1"/>
  <c r="Y44" i="4"/>
  <c r="Z44" i="4" s="1"/>
  <c r="AA44" i="4" s="1"/>
  <c r="Y470" i="4"/>
  <c r="Z470" i="4" s="1"/>
  <c r="AA470" i="4" s="1"/>
  <c r="Y415" i="4"/>
  <c r="Z415" i="4" s="1"/>
  <c r="AA415" i="4" s="1"/>
  <c r="AA135" i="4"/>
  <c r="Y122" i="4"/>
  <c r="Z122" i="4" s="1"/>
  <c r="AA122" i="4" s="1"/>
  <c r="Y116" i="4"/>
  <c r="Z116" i="4" s="1"/>
  <c r="AA116" i="4" s="1"/>
  <c r="Y177" i="4"/>
  <c r="Z177" i="4" s="1"/>
  <c r="AA177" i="4" s="1"/>
  <c r="Y253" i="4"/>
  <c r="Z253" i="4" s="1"/>
  <c r="AA253" i="4" s="1"/>
  <c r="AB253" i="4" s="1"/>
  <c r="Y456" i="4"/>
  <c r="Z456" i="4" s="1"/>
  <c r="Y160" i="4"/>
  <c r="Z160" i="4" s="1"/>
  <c r="AA160" i="4" s="1"/>
  <c r="Y503" i="4"/>
  <c r="Z503" i="4" s="1"/>
  <c r="AA503" i="4" s="1"/>
  <c r="AC503" i="4" s="1"/>
  <c r="N503" i="4" s="1"/>
  <c r="Y39" i="4"/>
  <c r="Z39" i="4" s="1"/>
  <c r="AA39" i="4" s="1"/>
  <c r="Y349" i="4"/>
  <c r="Z349" i="4" s="1"/>
  <c r="AA349" i="4" s="1"/>
  <c r="Y42" i="4"/>
  <c r="Z42" i="4" s="1"/>
  <c r="AA42" i="4" s="1"/>
  <c r="Y163" i="4"/>
  <c r="Z163" i="4" s="1"/>
  <c r="AA163" i="4" s="1"/>
  <c r="Y56" i="4"/>
  <c r="Z56" i="4" s="1"/>
  <c r="AA56" i="4" s="1"/>
  <c r="Y132" i="4"/>
  <c r="Z132" i="4" s="1"/>
  <c r="AA132" i="4" s="1"/>
  <c r="Y501" i="4"/>
  <c r="Z501" i="4" s="1"/>
  <c r="AA501" i="4" s="1"/>
  <c r="Y41" i="4"/>
  <c r="Z41" i="4" s="1"/>
  <c r="AA41" i="4" s="1"/>
  <c r="Y70" i="4"/>
  <c r="Z70" i="4" s="1"/>
  <c r="AA70" i="4" s="1"/>
  <c r="Y234" i="4"/>
  <c r="Z234" i="4" s="1"/>
  <c r="AA234" i="4" s="1"/>
  <c r="AC234" i="4" s="1"/>
  <c r="N234" i="4" s="1"/>
  <c r="Y351" i="4"/>
  <c r="Z351" i="4" s="1"/>
  <c r="AA351" i="4" s="1"/>
  <c r="Y399" i="4"/>
  <c r="Z399" i="4" s="1"/>
  <c r="AA399" i="4" s="1"/>
  <c r="Y255" i="4"/>
  <c r="Z255" i="4" s="1"/>
  <c r="AA255" i="4" s="1"/>
  <c r="Y243" i="4"/>
  <c r="Z243" i="4" s="1"/>
  <c r="AA243" i="4" s="1"/>
  <c r="Y169" i="4"/>
  <c r="Z169" i="4" s="1"/>
  <c r="AA169" i="4" s="1"/>
  <c r="Y403" i="4"/>
  <c r="Z403" i="4" s="1"/>
  <c r="AA403" i="4" s="1"/>
  <c r="Y263" i="4"/>
  <c r="Z263" i="4" s="1"/>
  <c r="AA263" i="4" s="1"/>
  <c r="Y466" i="4"/>
  <c r="Z466" i="4" s="1"/>
  <c r="AA466" i="4" s="1"/>
  <c r="Y329" i="4"/>
  <c r="Z329" i="4" s="1"/>
  <c r="AA329" i="4" s="1"/>
  <c r="AA291" i="4"/>
  <c r="Y15" i="4"/>
  <c r="Z15" i="4" s="1"/>
  <c r="AA15" i="4" s="1"/>
  <c r="AB15" i="4" s="1"/>
  <c r="Y208" i="4"/>
  <c r="Z208" i="4" s="1"/>
  <c r="AA208" i="4" s="1"/>
  <c r="Y248" i="4"/>
  <c r="Z248" i="4" s="1"/>
  <c r="AA248" i="4" s="1"/>
  <c r="Y142" i="4"/>
  <c r="Z142" i="4" s="1"/>
  <c r="AA142" i="4" s="1"/>
  <c r="Y88" i="4"/>
  <c r="Z88" i="4" s="1"/>
  <c r="AA88" i="4" s="1"/>
  <c r="Y250" i="4"/>
  <c r="Z250" i="4" s="1"/>
  <c r="AA250" i="4" s="1"/>
  <c r="Y236" i="4"/>
  <c r="Z236" i="4" s="1"/>
  <c r="AA236" i="4" s="1"/>
  <c r="Y292" i="4"/>
  <c r="Z292" i="4" s="1"/>
  <c r="AA292" i="4" s="1"/>
  <c r="Y348" i="4"/>
  <c r="Z348" i="4" s="1"/>
  <c r="AA348" i="4" s="1"/>
  <c r="Y235" i="4"/>
  <c r="Z235" i="4" s="1"/>
  <c r="AA235" i="4" s="1"/>
  <c r="Y31" i="4"/>
  <c r="Z31" i="4" s="1"/>
  <c r="AA31" i="4" s="1"/>
  <c r="Y485" i="4"/>
  <c r="Z485" i="4" s="1"/>
  <c r="AA485" i="4" s="1"/>
  <c r="Y64" i="4"/>
  <c r="Z64" i="4" s="1"/>
  <c r="AA64" i="4" s="1"/>
  <c r="Y450" i="4"/>
  <c r="Z450" i="4" s="1"/>
  <c r="AA450" i="4" s="1"/>
  <c r="AA406" i="4"/>
  <c r="AC406" i="4" s="1"/>
  <c r="N406" i="4" s="1"/>
  <c r="Y424" i="4"/>
  <c r="Z424" i="4" s="1"/>
  <c r="AA424" i="4" s="1"/>
  <c r="Y347" i="4"/>
  <c r="Z347" i="4" s="1"/>
  <c r="AA347" i="4" s="1"/>
  <c r="Y37" i="4"/>
  <c r="Z37" i="4" s="1"/>
  <c r="AA37" i="4" s="1"/>
  <c r="Y484" i="4"/>
  <c r="Z484" i="4" s="1"/>
  <c r="AA484" i="4" s="1"/>
  <c r="Y283" i="4"/>
  <c r="Z283" i="4" s="1"/>
  <c r="AA283" i="4" s="1"/>
  <c r="Y434" i="4"/>
  <c r="Z434" i="4" s="1"/>
  <c r="AA434" i="4" s="1"/>
  <c r="Y272" i="4"/>
  <c r="Z272" i="4" s="1"/>
  <c r="AA272" i="4" s="1"/>
  <c r="Y245" i="4"/>
  <c r="Z245" i="4" s="1"/>
  <c r="AA245" i="4" s="1"/>
  <c r="Y212" i="4"/>
  <c r="Z212" i="4" s="1"/>
  <c r="AA212" i="4" s="1"/>
  <c r="Y327" i="4"/>
  <c r="Z327" i="4" s="1"/>
  <c r="AA327" i="4" s="1"/>
  <c r="Y420" i="4"/>
  <c r="Z420" i="4" s="1"/>
  <c r="AA420" i="4" s="1"/>
  <c r="Y435" i="4"/>
  <c r="Z435" i="4" s="1"/>
  <c r="AA435" i="4" s="1"/>
  <c r="Y83" i="4"/>
  <c r="Z83" i="4" s="1"/>
  <c r="AA83" i="4" s="1"/>
  <c r="Y454" i="4"/>
  <c r="Z454" i="4" s="1"/>
  <c r="AA454" i="4" s="1"/>
  <c r="Y36" i="4"/>
  <c r="Z36" i="4" s="1"/>
  <c r="AA36" i="4" s="1"/>
  <c r="AB36" i="4" s="1"/>
  <c r="Y502" i="4"/>
  <c r="Z502" i="4" s="1"/>
  <c r="AA502" i="4" s="1"/>
  <c r="Y34" i="4"/>
  <c r="Z34" i="4" s="1"/>
  <c r="AA34" i="4" s="1"/>
  <c r="AC34" i="4" s="1"/>
  <c r="N34" i="4" s="1"/>
  <c r="Y179" i="4"/>
  <c r="Z179" i="4" s="1"/>
  <c r="AA179" i="4" s="1"/>
  <c r="Y380" i="4"/>
  <c r="Z380" i="4" s="1"/>
  <c r="AA380" i="4" s="1"/>
  <c r="Y396" i="4"/>
  <c r="Z396" i="4" s="1"/>
  <c r="AA396" i="4" s="1"/>
  <c r="Y390" i="4"/>
  <c r="Z390" i="4" s="1"/>
  <c r="AA390" i="4" s="1"/>
  <c r="Y467" i="4"/>
  <c r="Z467" i="4" s="1"/>
  <c r="AA467" i="4" s="1"/>
  <c r="Y346" i="4"/>
  <c r="Z346" i="4" s="1"/>
  <c r="AA346" i="4" s="1"/>
  <c r="Y199" i="4"/>
  <c r="Z199" i="4" s="1"/>
  <c r="AA199" i="4" s="1"/>
  <c r="Y153" i="4"/>
  <c r="Z153" i="4" s="1"/>
  <c r="AA153" i="4" s="1"/>
  <c r="AA165" i="4"/>
  <c r="Y93" i="4"/>
  <c r="Z93" i="4" s="1"/>
  <c r="AA93" i="4" s="1"/>
  <c r="AC93" i="4" s="1"/>
  <c r="N93" i="4" s="1"/>
  <c r="Y350" i="4"/>
  <c r="Z350" i="4" s="1"/>
  <c r="AA350" i="4" s="1"/>
  <c r="Y186" i="4"/>
  <c r="Z186" i="4" s="1"/>
  <c r="AA186" i="4" s="1"/>
  <c r="Y413" i="4"/>
  <c r="Z413" i="4" s="1"/>
  <c r="Y284" i="4"/>
  <c r="Z284" i="4" s="1"/>
  <c r="Y418" i="4"/>
  <c r="Z418" i="4" s="1"/>
  <c r="AA418" i="4" s="1"/>
  <c r="Y260" i="4"/>
  <c r="Z260" i="4" s="1"/>
  <c r="AA260" i="4" s="1"/>
  <c r="Y445" i="4"/>
  <c r="Z445" i="4" s="1"/>
  <c r="AA445" i="4" s="1"/>
  <c r="Y309" i="4"/>
  <c r="Z309" i="4" s="1"/>
  <c r="AA309" i="4" s="1"/>
  <c r="Y45" i="4"/>
  <c r="Z45" i="4" s="1"/>
  <c r="AA45" i="4" s="1"/>
  <c r="Y218" i="4"/>
  <c r="Z218" i="4" s="1"/>
  <c r="AA218" i="4" s="1"/>
  <c r="Y48" i="4"/>
  <c r="Z48" i="4" s="1"/>
  <c r="AA48" i="4" s="1"/>
  <c r="Y293" i="4"/>
  <c r="Z293" i="4" s="1"/>
  <c r="AA293" i="4" s="1"/>
  <c r="Y267" i="4"/>
  <c r="Z267" i="4" s="1"/>
  <c r="AA267" i="4" s="1"/>
  <c r="AC314" i="4"/>
  <c r="N314" i="4" s="1"/>
  <c r="Y393" i="4"/>
  <c r="Z393" i="4" s="1"/>
  <c r="AA393" i="4" s="1"/>
  <c r="AB393" i="4" s="1"/>
  <c r="Y428" i="4"/>
  <c r="Z428" i="4" s="1"/>
  <c r="AA428" i="4" s="1"/>
  <c r="Y225" i="4"/>
  <c r="Z225" i="4" s="1"/>
  <c r="AA225" i="4" s="1"/>
  <c r="Y324" i="4"/>
  <c r="Z324" i="4" s="1"/>
  <c r="AA324" i="4" s="1"/>
  <c r="Y316" i="4"/>
  <c r="Z316" i="4" s="1"/>
  <c r="AA316" i="4" s="1"/>
  <c r="Y246" i="4"/>
  <c r="Z246" i="4" s="1"/>
  <c r="AA246" i="4" s="1"/>
  <c r="Y369" i="4"/>
  <c r="Z369" i="4" s="1"/>
  <c r="AA369" i="4" s="1"/>
  <c r="Y136" i="4"/>
  <c r="Z136" i="4" s="1"/>
  <c r="AA136" i="4" s="1"/>
  <c r="Y313" i="4"/>
  <c r="Z313" i="4" s="1"/>
  <c r="AA313" i="4" s="1"/>
  <c r="Y425" i="4"/>
  <c r="Z425" i="4" s="1"/>
  <c r="AA425" i="4" s="1"/>
  <c r="Y299" i="4"/>
  <c r="Z299" i="4" s="1"/>
  <c r="AA299" i="4" s="1"/>
  <c r="Y237" i="4"/>
  <c r="Z237" i="4" s="1"/>
  <c r="AA237" i="4" s="1"/>
  <c r="AB237" i="4" s="1"/>
  <c r="Y47" i="4"/>
  <c r="Z47" i="4" s="1"/>
  <c r="AA47" i="4" s="1"/>
  <c r="Y144" i="4"/>
  <c r="Z144" i="4" s="1"/>
  <c r="AA144" i="4" s="1"/>
  <c r="Y426" i="4"/>
  <c r="Z426" i="4" s="1"/>
  <c r="AA426" i="4" s="1"/>
  <c r="Y147" i="4"/>
  <c r="Z147" i="4" s="1"/>
  <c r="AA147" i="4" s="1"/>
  <c r="Y386" i="4"/>
  <c r="Z386" i="4" s="1"/>
  <c r="AA386" i="4" s="1"/>
  <c r="Y409" i="4"/>
  <c r="Z409" i="4" s="1"/>
  <c r="AA409" i="4" s="1"/>
  <c r="AA498" i="4"/>
  <c r="Y385" i="4"/>
  <c r="Z385" i="4" s="1"/>
  <c r="AA385" i="4" s="1"/>
  <c r="AB385" i="4" s="1"/>
  <c r="Y422" i="4"/>
  <c r="Z422" i="4" s="1"/>
  <c r="AA422" i="4" s="1"/>
  <c r="Y87" i="4"/>
  <c r="Z87" i="4" s="1"/>
  <c r="AA87" i="4" s="1"/>
  <c r="Y164" i="4"/>
  <c r="Z164" i="4" s="1"/>
  <c r="AA164" i="4" s="1"/>
  <c r="Y280" i="4"/>
  <c r="Z280" i="4" s="1"/>
  <c r="AA280" i="4" s="1"/>
  <c r="Y436" i="4"/>
  <c r="Z436" i="4" s="1"/>
  <c r="AA436" i="4" s="1"/>
  <c r="Y168" i="4"/>
  <c r="Z168" i="4" s="1"/>
  <c r="AA168" i="4" s="1"/>
  <c r="Y95" i="4"/>
  <c r="Z95" i="4" s="1"/>
  <c r="AA95" i="4" s="1"/>
  <c r="Y230" i="4"/>
  <c r="Z230" i="4" s="1"/>
  <c r="AA230" i="4" s="1"/>
  <c r="Y27" i="4"/>
  <c r="Z27" i="4" s="1"/>
  <c r="AA27" i="4" s="1"/>
  <c r="Y438" i="4"/>
  <c r="Z438" i="4" s="1"/>
  <c r="AA438" i="4" s="1"/>
  <c r="Y162" i="4"/>
  <c r="Z162" i="4" s="1"/>
  <c r="AA162" i="4" s="1"/>
  <c r="Y152" i="4"/>
  <c r="Z152" i="4" s="1"/>
  <c r="AA152" i="4" s="1"/>
  <c r="Y483" i="4"/>
  <c r="Z483" i="4" s="1"/>
  <c r="AA483" i="4" s="1"/>
  <c r="Y268" i="4"/>
  <c r="Z268" i="4" s="1"/>
  <c r="AA268" i="4" s="1"/>
  <c r="Y359" i="4"/>
  <c r="Z359" i="4" s="1"/>
  <c r="AA359" i="4" s="1"/>
  <c r="Y94" i="4"/>
  <c r="Z94" i="4" s="1"/>
  <c r="AA94" i="4" s="1"/>
  <c r="Y365" i="4"/>
  <c r="Z365" i="4" s="1"/>
  <c r="AA365" i="4" s="1"/>
  <c r="Y78" i="4"/>
  <c r="Z78" i="4" s="1"/>
  <c r="AA78" i="4" s="1"/>
  <c r="Y110" i="4"/>
  <c r="Z110" i="4" s="1"/>
  <c r="AA110" i="4" s="1"/>
  <c r="Y71" i="4"/>
  <c r="Z71" i="4" s="1"/>
  <c r="AA71" i="4" s="1"/>
  <c r="Y378" i="4"/>
  <c r="Z378" i="4" s="1"/>
  <c r="AA378" i="4" s="1"/>
  <c r="Y154" i="4"/>
  <c r="Z154" i="4" s="1"/>
  <c r="AA154" i="4" s="1"/>
  <c r="Y214" i="4"/>
  <c r="Z214" i="4" s="1"/>
  <c r="AA214" i="4" s="1"/>
  <c r="AA106" i="4"/>
  <c r="U457" i="4"/>
  <c r="Y457" i="4"/>
  <c r="Z457" i="4" s="1"/>
  <c r="U241" i="4"/>
  <c r="Y241" i="4"/>
  <c r="Z241" i="4" s="1"/>
  <c r="U189" i="4"/>
  <c r="Y189" i="4"/>
  <c r="Z189" i="4" s="1"/>
  <c r="U362" i="4"/>
  <c r="Y362" i="4"/>
  <c r="Z362" i="4" s="1"/>
  <c r="U252" i="4"/>
  <c r="Y252" i="4"/>
  <c r="Z252" i="4" s="1"/>
  <c r="U271" i="4"/>
  <c r="Y271" i="4"/>
  <c r="Z271" i="4" s="1"/>
  <c r="U7" i="4"/>
  <c r="Y7" i="4"/>
  <c r="Z7" i="4" s="1"/>
  <c r="U181" i="4"/>
  <c r="Y181" i="4"/>
  <c r="Z181" i="4" s="1"/>
  <c r="U183" i="4"/>
  <c r="Y183" i="4"/>
  <c r="Z183" i="4" s="1"/>
  <c r="W265" i="4"/>
  <c r="V265" i="4"/>
  <c r="V171" i="4"/>
  <c r="W171" i="4"/>
  <c r="V318" i="4"/>
  <c r="W318" i="4"/>
  <c r="V482" i="4"/>
  <c r="W482" i="4"/>
  <c r="W227" i="4"/>
  <c r="V227" i="4"/>
  <c r="U247" i="4"/>
  <c r="Y247" i="4"/>
  <c r="Z247" i="4" s="1"/>
  <c r="V448" i="4"/>
  <c r="W448" i="4"/>
  <c r="W342" i="4"/>
  <c r="V342" i="4"/>
  <c r="U38" i="4"/>
  <c r="Y38" i="4"/>
  <c r="Z38" i="4" s="1"/>
  <c r="U286" i="4"/>
  <c r="Y286" i="4"/>
  <c r="Z286" i="4" s="1"/>
  <c r="U343" i="4"/>
  <c r="Y343" i="4"/>
  <c r="Z343" i="4" s="1"/>
  <c r="U84" i="4"/>
  <c r="Y84" i="4"/>
  <c r="Z84" i="4" s="1"/>
  <c r="U194" i="4"/>
  <c r="Y194" i="4"/>
  <c r="Z194" i="4" s="1"/>
  <c r="V36" i="4"/>
  <c r="W36" i="4"/>
  <c r="Y357" i="4"/>
  <c r="Z357" i="4" s="1"/>
  <c r="AA357" i="4" s="1"/>
  <c r="V393" i="4"/>
  <c r="W393" i="4"/>
  <c r="Y203" i="4"/>
  <c r="Z203" i="4" s="1"/>
  <c r="AA203" i="4" s="1"/>
  <c r="V157" i="4"/>
  <c r="W157" i="4"/>
  <c r="Y158" i="4"/>
  <c r="Z158" i="4" s="1"/>
  <c r="AA158" i="4" s="1"/>
  <c r="V502" i="4"/>
  <c r="W502" i="4"/>
  <c r="U219" i="4"/>
  <c r="Y219" i="4"/>
  <c r="Z219" i="4" s="1"/>
  <c r="Y458" i="4"/>
  <c r="Z458" i="4" s="1"/>
  <c r="AA458" i="4" s="1"/>
  <c r="W97" i="4"/>
  <c r="V97" i="4"/>
  <c r="Y443" i="4"/>
  <c r="Z443" i="4" s="1"/>
  <c r="AA443" i="4" s="1"/>
  <c r="V221" i="4"/>
  <c r="W221" i="4"/>
  <c r="U148" i="4"/>
  <c r="Y148" i="4"/>
  <c r="Z148" i="4" s="1"/>
  <c r="U273" i="4"/>
  <c r="Y273" i="4"/>
  <c r="Z273" i="4" s="1"/>
  <c r="U185" i="4"/>
  <c r="Y185" i="4"/>
  <c r="Z185" i="4" s="1"/>
  <c r="U17" i="4"/>
  <c r="Y17" i="4"/>
  <c r="Z17" i="4" s="1"/>
  <c r="Y264" i="4"/>
  <c r="Z264" i="4" s="1"/>
  <c r="AA264" i="4" s="1"/>
  <c r="W357" i="4"/>
  <c r="V357" i="4"/>
  <c r="Y311" i="4"/>
  <c r="Z311" i="4" s="1"/>
  <c r="AA311" i="4" s="1"/>
  <c r="W203" i="4"/>
  <c r="V203" i="4"/>
  <c r="Y440" i="4"/>
  <c r="Z440" i="4" s="1"/>
  <c r="AA440" i="4" s="1"/>
  <c r="W158" i="4"/>
  <c r="V158" i="4"/>
  <c r="U81" i="4"/>
  <c r="Y81" i="4"/>
  <c r="Z81" i="4" s="1"/>
  <c r="Y486" i="4"/>
  <c r="Z486" i="4" s="1"/>
  <c r="AA486" i="4" s="1"/>
  <c r="W458" i="4"/>
  <c r="V458" i="4"/>
  <c r="Y490" i="4"/>
  <c r="Z490" i="4" s="1"/>
  <c r="AA490" i="4" s="1"/>
  <c r="V443" i="4"/>
  <c r="W443" i="4"/>
  <c r="U487" i="4"/>
  <c r="Y487" i="4"/>
  <c r="Z487" i="4" s="1"/>
  <c r="U463" i="4"/>
  <c r="Y463" i="4"/>
  <c r="Z463" i="4" s="1"/>
  <c r="U364" i="4"/>
  <c r="Y364" i="4"/>
  <c r="Z364" i="4" s="1"/>
  <c r="W474" i="4"/>
  <c r="V474" i="4"/>
  <c r="U210" i="4"/>
  <c r="Y210" i="4"/>
  <c r="Z210" i="4" s="1"/>
  <c r="W264" i="4"/>
  <c r="V264" i="4"/>
  <c r="Y58" i="4"/>
  <c r="Z58" i="4" s="1"/>
  <c r="AA58" i="4" s="1"/>
  <c r="V311" i="4"/>
  <c r="W311" i="4"/>
  <c r="Y381" i="4"/>
  <c r="Z381" i="4" s="1"/>
  <c r="AA381" i="4" s="1"/>
  <c r="V440" i="4"/>
  <c r="W440" i="4"/>
  <c r="U43" i="4"/>
  <c r="Y43" i="4"/>
  <c r="Z43" i="4" s="1"/>
  <c r="Y410" i="4"/>
  <c r="Z410" i="4" s="1"/>
  <c r="AA410" i="4" s="1"/>
  <c r="V486" i="4"/>
  <c r="W486" i="4"/>
  <c r="W406" i="4"/>
  <c r="V406" i="4"/>
  <c r="V87" i="4"/>
  <c r="W87" i="4"/>
  <c r="Y187" i="4"/>
  <c r="Z187" i="4" s="1"/>
  <c r="AA187" i="4" s="1"/>
  <c r="W490" i="4"/>
  <c r="V490" i="4"/>
  <c r="U384" i="4"/>
  <c r="Y384" i="4"/>
  <c r="Z384" i="4" s="1"/>
  <c r="U217" i="4"/>
  <c r="Y217" i="4"/>
  <c r="Z217" i="4" s="1"/>
  <c r="U437" i="4"/>
  <c r="Y437" i="4"/>
  <c r="Z437" i="4" s="1"/>
  <c r="W410" i="4"/>
  <c r="V410" i="4"/>
  <c r="W187" i="4"/>
  <c r="V187" i="4"/>
  <c r="U188" i="4"/>
  <c r="Y188" i="4"/>
  <c r="Z188" i="4" s="1"/>
  <c r="U101" i="4"/>
  <c r="Y101" i="4"/>
  <c r="Z101" i="4" s="1"/>
  <c r="U205" i="4"/>
  <c r="Y205" i="4"/>
  <c r="Z205" i="4" s="1"/>
  <c r="W58" i="4"/>
  <c r="V58" i="4"/>
  <c r="V381" i="4"/>
  <c r="W381" i="4"/>
  <c r="U51" i="4"/>
  <c r="Y51" i="4"/>
  <c r="Z51" i="4" s="1"/>
  <c r="Y455" i="4"/>
  <c r="Z455" i="4" s="1"/>
  <c r="AA455" i="4" s="1"/>
  <c r="V295" i="4"/>
  <c r="W295" i="4"/>
  <c r="Y118" i="4"/>
  <c r="Z118" i="4" s="1"/>
  <c r="AA118" i="4" s="1"/>
  <c r="V385" i="4"/>
  <c r="W385" i="4"/>
  <c r="U469" i="4"/>
  <c r="Y469" i="4"/>
  <c r="Z469" i="4" s="1"/>
  <c r="Y60" i="4"/>
  <c r="Z60" i="4" s="1"/>
  <c r="AA60" i="4" s="1"/>
  <c r="W382" i="4"/>
  <c r="V382" i="4"/>
  <c r="Y322" i="4"/>
  <c r="Z322" i="4" s="1"/>
  <c r="AA322" i="4" s="1"/>
  <c r="V34" i="4"/>
  <c r="W34" i="4"/>
  <c r="Y233" i="4"/>
  <c r="Z233" i="4" s="1"/>
  <c r="AA233" i="4" s="1"/>
  <c r="W481" i="4"/>
  <c r="V481" i="4"/>
  <c r="U488" i="4"/>
  <c r="Y488" i="4"/>
  <c r="Z488" i="4" s="1"/>
  <c r="Y339" i="4"/>
  <c r="Z339" i="4" s="1"/>
  <c r="AA339" i="4" s="1"/>
  <c r="W27" i="4"/>
  <c r="V27" i="4"/>
  <c r="U494" i="4"/>
  <c r="Y494" i="4"/>
  <c r="Z494" i="4" s="1"/>
  <c r="U111" i="4"/>
  <c r="Y111" i="4"/>
  <c r="Z111" i="4" s="1"/>
  <c r="V455" i="4"/>
  <c r="W455" i="4"/>
  <c r="Y489" i="4"/>
  <c r="Z489" i="4" s="1"/>
  <c r="AA489" i="4" s="1"/>
  <c r="W118" i="4"/>
  <c r="V118" i="4"/>
  <c r="U372" i="4"/>
  <c r="Y372" i="4"/>
  <c r="Z372" i="4" s="1"/>
  <c r="Y375" i="4"/>
  <c r="Z375" i="4" s="1"/>
  <c r="AA375" i="4" s="1"/>
  <c r="W60" i="4"/>
  <c r="V60" i="4"/>
  <c r="Y289" i="4"/>
  <c r="Z289" i="4" s="1"/>
  <c r="AA289" i="4" s="1"/>
  <c r="W322" i="4"/>
  <c r="V322" i="4"/>
  <c r="Y404" i="4"/>
  <c r="Z404" i="4" s="1"/>
  <c r="AA404" i="4" s="1"/>
  <c r="V233" i="4"/>
  <c r="W233" i="4"/>
  <c r="U61" i="4"/>
  <c r="Y61" i="4"/>
  <c r="Z61" i="4" s="1"/>
  <c r="Y308" i="4"/>
  <c r="Z308" i="4" s="1"/>
  <c r="AA308" i="4" s="1"/>
  <c r="W339" i="4"/>
  <c r="V339" i="4"/>
  <c r="U345" i="4"/>
  <c r="Y345" i="4"/>
  <c r="Z345" i="4" s="1"/>
  <c r="U59" i="4"/>
  <c r="Y59" i="4"/>
  <c r="Z59" i="4" s="1"/>
  <c r="U269" i="4"/>
  <c r="Y269" i="4"/>
  <c r="Z269" i="4" s="1"/>
  <c r="U130" i="4"/>
  <c r="Y130" i="4"/>
  <c r="Z130" i="4" s="1"/>
  <c r="V489" i="4"/>
  <c r="W489" i="4"/>
  <c r="U80" i="4"/>
  <c r="Y80" i="4"/>
  <c r="Z80" i="4" s="1"/>
  <c r="Y411" i="4"/>
  <c r="Z411" i="4" s="1"/>
  <c r="AA411" i="4" s="1"/>
  <c r="W375" i="4"/>
  <c r="V375" i="4"/>
  <c r="Y270" i="4"/>
  <c r="Z270" i="4" s="1"/>
  <c r="AA270" i="4" s="1"/>
  <c r="W289" i="4"/>
  <c r="V289" i="4"/>
  <c r="Y182" i="4"/>
  <c r="Z182" i="4" s="1"/>
  <c r="AA182" i="4" s="1"/>
  <c r="W404" i="4"/>
  <c r="V404" i="4"/>
  <c r="U126" i="4"/>
  <c r="Y126" i="4"/>
  <c r="Z126" i="4" s="1"/>
  <c r="V308" i="4"/>
  <c r="W308" i="4"/>
  <c r="U315" i="4"/>
  <c r="Y315" i="4"/>
  <c r="Z315" i="4" s="1"/>
  <c r="W266" i="4"/>
  <c r="V266" i="4"/>
  <c r="U191" i="4"/>
  <c r="Y191" i="4"/>
  <c r="Z191" i="4" s="1"/>
  <c r="W15" i="4"/>
  <c r="V15" i="4"/>
  <c r="U340" i="4"/>
  <c r="Y340" i="4"/>
  <c r="Z340" i="4" s="1"/>
  <c r="V182" i="4"/>
  <c r="W182" i="4"/>
  <c r="U492" i="4"/>
  <c r="Y492" i="4"/>
  <c r="Z492" i="4" s="1"/>
  <c r="W337" i="4"/>
  <c r="V337" i="4"/>
  <c r="W396" i="4"/>
  <c r="V396" i="4"/>
  <c r="U63" i="4"/>
  <c r="Y63" i="4"/>
  <c r="Z63" i="4" s="1"/>
  <c r="U251" i="4"/>
  <c r="Y251" i="4"/>
  <c r="Z251" i="4" s="1"/>
  <c r="V270" i="4"/>
  <c r="W270" i="4"/>
  <c r="AC237" i="4"/>
  <c r="N237" i="4" s="1"/>
  <c r="U117" i="4"/>
  <c r="Y117" i="4"/>
  <c r="Z117" i="4" s="1"/>
  <c r="Y120" i="4"/>
  <c r="Z120" i="4" s="1"/>
  <c r="AA120" i="4" s="1"/>
  <c r="V290" i="4"/>
  <c r="W290" i="4"/>
  <c r="Y373" i="4"/>
  <c r="Z373" i="4" s="1"/>
  <c r="AA373" i="4" s="1"/>
  <c r="V336" i="4"/>
  <c r="W336" i="4"/>
  <c r="Y439" i="4"/>
  <c r="Z439" i="4" s="1"/>
  <c r="AA439" i="4" s="1"/>
  <c r="V41" i="4"/>
  <c r="W41" i="4"/>
  <c r="Y355" i="4"/>
  <c r="Z355" i="4" s="1"/>
  <c r="AA355" i="4" s="1"/>
  <c r="V160" i="4"/>
  <c r="W160" i="4"/>
  <c r="U344" i="4"/>
  <c r="Y344" i="4"/>
  <c r="Z344" i="4" s="1"/>
  <c r="Y11" i="4"/>
  <c r="Z11" i="4" s="1"/>
  <c r="AA11" i="4" s="1"/>
  <c r="V280" i="4"/>
  <c r="W280" i="4"/>
  <c r="Y461" i="4"/>
  <c r="Z461" i="4" s="1"/>
  <c r="AA461" i="4" s="1"/>
  <c r="W296" i="4"/>
  <c r="V296" i="4"/>
  <c r="U137" i="4"/>
  <c r="Y137" i="4"/>
  <c r="Z137" i="4" s="1"/>
  <c r="U477" i="4"/>
  <c r="Y477" i="4"/>
  <c r="Z477" i="4" s="1"/>
  <c r="W411" i="4"/>
  <c r="V411" i="4"/>
  <c r="Y265" i="4"/>
  <c r="Z265" i="4" s="1"/>
  <c r="AA265" i="4" s="1"/>
  <c r="V120" i="4"/>
  <c r="W120" i="4"/>
  <c r="Y171" i="4"/>
  <c r="Z171" i="4" s="1"/>
  <c r="AA171" i="4" s="1"/>
  <c r="V373" i="4"/>
  <c r="W373" i="4"/>
  <c r="Y318" i="4"/>
  <c r="Z318" i="4" s="1"/>
  <c r="AA318" i="4" s="1"/>
  <c r="V439" i="4"/>
  <c r="W439" i="4"/>
  <c r="Y482" i="4"/>
  <c r="Z482" i="4" s="1"/>
  <c r="AA482" i="4" s="1"/>
  <c r="Y227" i="4"/>
  <c r="Z227" i="4" s="1"/>
  <c r="AA227" i="4" s="1"/>
  <c r="V355" i="4"/>
  <c r="W355" i="4"/>
  <c r="U141" i="4"/>
  <c r="Y141" i="4"/>
  <c r="Z141" i="4" s="1"/>
  <c r="Y448" i="4"/>
  <c r="Z448" i="4" s="1"/>
  <c r="AA448" i="4" s="1"/>
  <c r="V11" i="4"/>
  <c r="W11" i="4"/>
  <c r="Y342" i="4"/>
  <c r="Z342" i="4" s="1"/>
  <c r="AA342" i="4" s="1"/>
  <c r="W461" i="4"/>
  <c r="V461" i="4"/>
  <c r="U18" i="4"/>
  <c r="Y18" i="4"/>
  <c r="Z18" i="4" s="1"/>
  <c r="U239" i="4"/>
  <c r="Y239" i="4"/>
  <c r="Z239" i="4" s="1"/>
  <c r="U32" i="4"/>
  <c r="Y32" i="4"/>
  <c r="Z32" i="4" s="1"/>
  <c r="U338" i="4"/>
  <c r="Y338" i="4"/>
  <c r="Z338" i="4" s="1"/>
  <c r="V391" i="4"/>
  <c r="W391" i="4"/>
  <c r="W319" i="4"/>
  <c r="V319" i="4"/>
  <c r="W123" i="4"/>
  <c r="V123" i="4"/>
  <c r="W258" i="4"/>
  <c r="V258" i="4"/>
  <c r="W462" i="4"/>
  <c r="V462" i="4"/>
  <c r="W228" i="4"/>
  <c r="V228" i="4"/>
  <c r="W156" i="4"/>
  <c r="V156" i="4"/>
  <c r="V331" i="4"/>
  <c r="W331" i="4"/>
  <c r="V155" i="4"/>
  <c r="W155" i="4"/>
  <c r="W25" i="4"/>
  <c r="V25" i="4"/>
  <c r="W207" i="4"/>
  <c r="V207" i="4"/>
  <c r="W128" i="4"/>
  <c r="V128" i="4"/>
  <c r="W368" i="4"/>
  <c r="V368" i="4"/>
  <c r="W307" i="4"/>
  <c r="V307" i="4"/>
  <c r="W115" i="4"/>
  <c r="V115" i="4"/>
  <c r="V159" i="4"/>
  <c r="W159" i="4"/>
  <c r="V21" i="4"/>
  <c r="W21" i="4"/>
  <c r="W192" i="4"/>
  <c r="V192" i="4"/>
  <c r="V449" i="4"/>
  <c r="W449" i="4"/>
  <c r="V114" i="4"/>
  <c r="W114" i="4"/>
  <c r="W401" i="4"/>
  <c r="V401" i="4"/>
  <c r="V412" i="4"/>
  <c r="W412" i="4"/>
  <c r="V6" i="4"/>
  <c r="W6" i="4"/>
  <c r="V124" i="4"/>
  <c r="W124" i="4"/>
  <c r="V353" i="4"/>
  <c r="W353" i="4"/>
  <c r="W206" i="4"/>
  <c r="V206" i="4"/>
  <c r="V121" i="4"/>
  <c r="W121" i="4"/>
  <c r="W19" i="4"/>
  <c r="V19" i="4"/>
  <c r="V281" i="4"/>
  <c r="W281" i="4"/>
  <c r="W29" i="4"/>
  <c r="V29" i="4"/>
  <c r="W430" i="4"/>
  <c r="V430" i="4"/>
  <c r="W195" i="4"/>
  <c r="V195" i="4"/>
  <c r="W317" i="4"/>
  <c r="V317" i="4"/>
  <c r="W86" i="4"/>
  <c r="V86" i="4"/>
  <c r="V297" i="4"/>
  <c r="W297" i="4"/>
  <c r="W447" i="4"/>
  <c r="V447" i="4"/>
  <c r="V422" i="4"/>
  <c r="W422" i="4"/>
  <c r="W428" i="4"/>
  <c r="V428" i="4"/>
  <c r="V13" i="4"/>
  <c r="W13" i="4"/>
  <c r="V314" i="4"/>
  <c r="W314" i="4"/>
  <c r="AA242" i="4"/>
  <c r="V242" i="4"/>
  <c r="W242" i="4"/>
  <c r="V70" i="4"/>
  <c r="W70" i="4"/>
  <c r="V402" i="4"/>
  <c r="W402" i="4"/>
  <c r="V102" i="4"/>
  <c r="W102" i="4"/>
  <c r="W179" i="4"/>
  <c r="V179" i="4"/>
  <c r="V347" i="4"/>
  <c r="W347" i="4"/>
  <c r="V112" i="4"/>
  <c r="W112" i="4"/>
  <c r="W142" i="4"/>
  <c r="V142" i="4"/>
  <c r="V460" i="4"/>
  <c r="W460" i="4"/>
  <c r="W367" i="4"/>
  <c r="V367" i="4"/>
  <c r="V476" i="4"/>
  <c r="W476" i="4"/>
  <c r="V479" i="4"/>
  <c r="W479" i="4"/>
  <c r="V37" i="4"/>
  <c r="W37" i="4"/>
  <c r="W28" i="4"/>
  <c r="V28" i="4"/>
  <c r="W230" i="4"/>
  <c r="V230" i="4"/>
  <c r="V383" i="4"/>
  <c r="W383" i="4"/>
  <c r="V136" i="4"/>
  <c r="W136" i="4"/>
  <c r="V431" i="4"/>
  <c r="W431" i="4"/>
  <c r="V418" i="4"/>
  <c r="W418" i="4"/>
  <c r="W52" i="4"/>
  <c r="V52" i="4"/>
  <c r="V346" i="4"/>
  <c r="W346" i="4"/>
  <c r="V39" i="4"/>
  <c r="W39" i="4"/>
  <c r="W272" i="4"/>
  <c r="V272" i="4"/>
  <c r="Y119" i="4"/>
  <c r="Z119" i="4" s="1"/>
  <c r="AA119" i="4" s="1"/>
  <c r="Y432" i="4"/>
  <c r="Z432" i="4" s="1"/>
  <c r="AA432" i="4" s="1"/>
  <c r="Y310" i="4"/>
  <c r="Z310" i="4" s="1"/>
  <c r="AA310" i="4" s="1"/>
  <c r="Y35" i="4"/>
  <c r="Z35" i="4" s="1"/>
  <c r="AA35" i="4" s="1"/>
  <c r="Y400" i="4"/>
  <c r="Z400" i="4" s="1"/>
  <c r="AA400" i="4" s="1"/>
  <c r="Y238" i="4"/>
  <c r="Z238" i="4" s="1"/>
  <c r="AA238" i="4" s="1"/>
  <c r="Y379" i="4"/>
  <c r="Z379" i="4" s="1"/>
  <c r="AA379" i="4" s="1"/>
  <c r="Y352" i="4"/>
  <c r="Z352" i="4" s="1"/>
  <c r="AA352" i="4" s="1"/>
  <c r="Y209" i="4"/>
  <c r="Z209" i="4" s="1"/>
  <c r="AA209" i="4" s="1"/>
  <c r="Y471" i="4"/>
  <c r="Z471" i="4" s="1"/>
  <c r="AA471" i="4" s="1"/>
  <c r="Y76" i="4"/>
  <c r="Z76" i="4" s="1"/>
  <c r="AA76" i="4" s="1"/>
  <c r="Y222" i="4"/>
  <c r="Z222" i="4" s="1"/>
  <c r="AA222" i="4" s="1"/>
  <c r="Y91" i="4"/>
  <c r="Z91" i="4" s="1"/>
  <c r="AA91" i="4" s="1"/>
  <c r="Y49" i="4"/>
  <c r="Z49" i="4" s="1"/>
  <c r="AA49" i="4" s="1"/>
  <c r="Y452" i="4"/>
  <c r="Z452" i="4" s="1"/>
  <c r="AA452" i="4" s="1"/>
  <c r="Y301" i="4"/>
  <c r="Z301" i="4" s="1"/>
  <c r="AA301" i="4" s="1"/>
  <c r="Y85" i="4"/>
  <c r="Z85" i="4" s="1"/>
  <c r="AA85" i="4" s="1"/>
  <c r="Y184" i="4"/>
  <c r="Z184" i="4" s="1"/>
  <c r="AA184" i="4" s="1"/>
  <c r="Y387" i="4"/>
  <c r="Z387" i="4" s="1"/>
  <c r="AA387" i="4" s="1"/>
  <c r="Y441" i="4"/>
  <c r="Z441" i="4" s="1"/>
  <c r="AA441" i="4" s="1"/>
  <c r="Y161" i="4"/>
  <c r="Z161" i="4" s="1"/>
  <c r="AA161" i="4" s="1"/>
  <c r="Y167" i="4"/>
  <c r="Z167" i="4" s="1"/>
  <c r="AA167" i="4" s="1"/>
  <c r="Y180" i="4"/>
  <c r="Z180" i="4" s="1"/>
  <c r="AA180" i="4" s="1"/>
  <c r="Y354" i="4"/>
  <c r="Z354" i="4" s="1"/>
  <c r="AA354" i="4" s="1"/>
  <c r="Y497" i="4"/>
  <c r="Z497" i="4" s="1"/>
  <c r="AA497" i="4" s="1"/>
  <c r="Y320" i="4"/>
  <c r="Z320" i="4" s="1"/>
  <c r="AA320" i="4" s="1"/>
  <c r="Y8" i="4"/>
  <c r="Z8" i="4" s="1"/>
  <c r="AA8" i="4" s="1"/>
  <c r="Y279" i="4"/>
  <c r="Z279" i="4" s="1"/>
  <c r="AA279" i="4" s="1"/>
  <c r="W65" i="4"/>
  <c r="V65" i="4"/>
  <c r="V71" i="4"/>
  <c r="W71" i="4"/>
  <c r="W450" i="4"/>
  <c r="V450" i="4"/>
  <c r="V173" i="4"/>
  <c r="W173" i="4"/>
  <c r="V426" i="4"/>
  <c r="W426" i="4"/>
  <c r="V480" i="4"/>
  <c r="W480" i="4"/>
  <c r="V293" i="4"/>
  <c r="W293" i="4"/>
  <c r="V104" i="4"/>
  <c r="W104" i="4"/>
  <c r="W166" i="4"/>
  <c r="V166" i="4"/>
  <c r="W491" i="4"/>
  <c r="V491" i="4"/>
  <c r="V454" i="4"/>
  <c r="W454" i="4"/>
  <c r="V282" i="4"/>
  <c r="W282" i="4"/>
  <c r="Y446" i="4"/>
  <c r="Z446" i="4" s="1"/>
  <c r="AA446" i="4" s="1"/>
  <c r="Y98" i="4"/>
  <c r="Z98" i="4" s="1"/>
  <c r="AA98" i="4" s="1"/>
  <c r="Y216" i="4"/>
  <c r="Z216" i="4" s="1"/>
  <c r="AA216" i="4" s="1"/>
  <c r="Y202" i="4"/>
  <c r="Z202" i="4" s="1"/>
  <c r="AA202" i="4" s="1"/>
  <c r="Y201" i="4"/>
  <c r="Z201" i="4" s="1"/>
  <c r="AA201" i="4" s="1"/>
  <c r="Y392" i="4"/>
  <c r="Z392" i="4" s="1"/>
  <c r="AA392" i="4" s="1"/>
  <c r="Y275" i="4"/>
  <c r="Z275" i="4" s="1"/>
  <c r="AA275" i="4" s="1"/>
  <c r="Y125" i="4"/>
  <c r="Z125" i="4" s="1"/>
  <c r="AA125" i="4" s="1"/>
  <c r="V119" i="4"/>
  <c r="W119" i="4"/>
  <c r="W432" i="4"/>
  <c r="V432" i="4"/>
  <c r="W310" i="4"/>
  <c r="V310" i="4"/>
  <c r="W35" i="4"/>
  <c r="V35" i="4"/>
  <c r="V400" i="4"/>
  <c r="W400" i="4"/>
  <c r="V238" i="4"/>
  <c r="W238" i="4"/>
  <c r="V379" i="4"/>
  <c r="W379" i="4"/>
  <c r="W352" i="4"/>
  <c r="V352" i="4"/>
  <c r="V209" i="4"/>
  <c r="W209" i="4"/>
  <c r="V471" i="4"/>
  <c r="W471" i="4"/>
  <c r="W76" i="4"/>
  <c r="V76" i="4"/>
  <c r="W222" i="4"/>
  <c r="V222" i="4"/>
  <c r="V91" i="4"/>
  <c r="W91" i="4"/>
  <c r="W49" i="4"/>
  <c r="V49" i="4"/>
  <c r="W452" i="4"/>
  <c r="V452" i="4"/>
  <c r="W301" i="4"/>
  <c r="V301" i="4"/>
  <c r="W85" i="4"/>
  <c r="V85" i="4"/>
  <c r="V184" i="4"/>
  <c r="W184" i="4"/>
  <c r="V387" i="4"/>
  <c r="W387" i="4"/>
  <c r="W441" i="4"/>
  <c r="V441" i="4"/>
  <c r="V161" i="4"/>
  <c r="W161" i="4"/>
  <c r="W167" i="4"/>
  <c r="V167" i="4"/>
  <c r="W180" i="4"/>
  <c r="V180" i="4"/>
  <c r="V354" i="4"/>
  <c r="W354" i="4"/>
  <c r="V497" i="4"/>
  <c r="W497" i="4"/>
  <c r="W320" i="4"/>
  <c r="V320" i="4"/>
  <c r="W8" i="4"/>
  <c r="V8" i="4"/>
  <c r="V279" i="4"/>
  <c r="W279" i="4"/>
  <c r="W446" i="4"/>
  <c r="V446" i="4"/>
  <c r="W98" i="4"/>
  <c r="V98" i="4"/>
  <c r="W216" i="4"/>
  <c r="V216" i="4"/>
  <c r="V202" i="4"/>
  <c r="W202" i="4"/>
  <c r="W201" i="4"/>
  <c r="V201" i="4"/>
  <c r="V392" i="4"/>
  <c r="W392" i="4"/>
  <c r="W275" i="4"/>
  <c r="V275" i="4"/>
  <c r="W125" i="4"/>
  <c r="V125" i="4"/>
  <c r="W498" i="4"/>
  <c r="V498" i="4"/>
  <c r="V250" i="4"/>
  <c r="W250" i="4"/>
  <c r="W196" i="4"/>
  <c r="V196" i="4"/>
  <c r="W313" i="4"/>
  <c r="V313" i="4"/>
  <c r="W300" i="4"/>
  <c r="V300" i="4"/>
  <c r="V260" i="4"/>
  <c r="W260" i="4"/>
  <c r="W255" i="4"/>
  <c r="V255" i="4"/>
  <c r="V199" i="4"/>
  <c r="W199" i="4"/>
  <c r="V327" i="4"/>
  <c r="W327" i="4"/>
  <c r="V107" i="4"/>
  <c r="W107" i="4"/>
  <c r="W30" i="4"/>
  <c r="V30" i="4"/>
  <c r="V378" i="4"/>
  <c r="W378" i="4"/>
  <c r="W132" i="4"/>
  <c r="V132" i="4"/>
  <c r="V116" i="4"/>
  <c r="W116" i="4"/>
  <c r="W147" i="4"/>
  <c r="V147" i="4"/>
  <c r="W100" i="4"/>
  <c r="V100" i="4"/>
  <c r="V267" i="4"/>
  <c r="W267" i="4"/>
  <c r="V501" i="4"/>
  <c r="W501" i="4"/>
  <c r="V5" i="4"/>
  <c r="W5" i="4"/>
  <c r="AA5" i="4"/>
  <c r="V478" i="4"/>
  <c r="W478" i="4"/>
  <c r="Y376" i="4"/>
  <c r="Z376" i="4" s="1"/>
  <c r="AA376" i="4" s="1"/>
  <c r="Y464" i="4"/>
  <c r="Z464" i="4" s="1"/>
  <c r="AA464" i="4" s="1"/>
  <c r="Y151" i="4"/>
  <c r="Z151" i="4" s="1"/>
  <c r="AA151" i="4" s="1"/>
  <c r="Y371" i="4"/>
  <c r="Z371" i="4" s="1"/>
  <c r="AA371" i="4" s="1"/>
  <c r="Y197" i="4"/>
  <c r="Z197" i="4" s="1"/>
  <c r="AA197" i="4" s="1"/>
  <c r="Y398" i="4"/>
  <c r="Z398" i="4" s="1"/>
  <c r="AA398" i="4" s="1"/>
  <c r="Y394" i="4"/>
  <c r="Z394" i="4" s="1"/>
  <c r="AA394" i="4" s="1"/>
  <c r="W277" i="4"/>
  <c r="V277" i="4"/>
  <c r="V75" i="4"/>
  <c r="W75" i="4"/>
  <c r="W231" i="4"/>
  <c r="V231" i="4"/>
  <c r="W232" i="4"/>
  <c r="V232" i="4"/>
  <c r="W292" i="4"/>
  <c r="V292" i="4"/>
  <c r="V349" i="4"/>
  <c r="W349" i="4"/>
  <c r="V198" i="4"/>
  <c r="W198" i="4"/>
  <c r="V66" i="4"/>
  <c r="W66" i="4"/>
  <c r="V470" i="4"/>
  <c r="W470" i="4"/>
  <c r="V321" i="4"/>
  <c r="W321" i="4"/>
  <c r="V243" i="4"/>
  <c r="W243" i="4"/>
  <c r="W370" i="4"/>
  <c r="V370" i="4"/>
  <c r="W278" i="4"/>
  <c r="V278" i="4"/>
  <c r="W395" i="4"/>
  <c r="V395" i="4"/>
  <c r="V235" i="4"/>
  <c r="W235" i="4"/>
  <c r="W42" i="4"/>
  <c r="V42" i="4"/>
  <c r="V145" i="4"/>
  <c r="W145" i="4"/>
  <c r="W442" i="4"/>
  <c r="V442" i="4"/>
  <c r="W415" i="4"/>
  <c r="V415" i="4"/>
  <c r="W54" i="4"/>
  <c r="V54" i="4"/>
  <c r="V403" i="4"/>
  <c r="W403" i="4"/>
  <c r="V259" i="4"/>
  <c r="W259" i="4"/>
  <c r="W62" i="4"/>
  <c r="V62" i="4"/>
  <c r="W445" i="4"/>
  <c r="V445" i="4"/>
  <c r="V245" i="4"/>
  <c r="W245" i="4"/>
  <c r="W263" i="4"/>
  <c r="V263" i="4"/>
  <c r="W309" i="4"/>
  <c r="V309" i="4"/>
  <c r="W212" i="4"/>
  <c r="V212" i="4"/>
  <c r="W376" i="4"/>
  <c r="V376" i="4"/>
  <c r="V464" i="4"/>
  <c r="W464" i="4"/>
  <c r="W151" i="4"/>
  <c r="V151" i="4"/>
  <c r="V371" i="4"/>
  <c r="W371" i="4"/>
  <c r="W197" i="4"/>
  <c r="V197" i="4"/>
  <c r="W398" i="4"/>
  <c r="V398" i="4"/>
  <c r="V394" i="4"/>
  <c r="W394" i="4"/>
  <c r="V92" i="4"/>
  <c r="W92" i="4"/>
  <c r="W67" i="4"/>
  <c r="V67" i="4"/>
  <c r="W44" i="4"/>
  <c r="V44" i="4"/>
  <c r="V176" i="4"/>
  <c r="W176" i="4"/>
  <c r="W483" i="4"/>
  <c r="V483" i="4"/>
  <c r="V421" i="4"/>
  <c r="W421" i="4"/>
  <c r="W69" i="4"/>
  <c r="V69" i="4"/>
  <c r="V268" i="4"/>
  <c r="W268" i="4"/>
  <c r="W178" i="4"/>
  <c r="V178" i="4"/>
  <c r="V215" i="4"/>
  <c r="W215" i="4"/>
  <c r="W359" i="4"/>
  <c r="V359" i="4"/>
  <c r="W4" i="4"/>
  <c r="V4" i="4"/>
  <c r="W348" i="4"/>
  <c r="V348" i="4"/>
  <c r="W94" i="4"/>
  <c r="V94" i="4"/>
  <c r="V249" i="4"/>
  <c r="W249" i="4"/>
  <c r="W473" i="4"/>
  <c r="V473" i="4"/>
  <c r="W190" i="4"/>
  <c r="V190" i="4"/>
  <c r="V169" i="4"/>
  <c r="W169" i="4"/>
  <c r="V365" i="4"/>
  <c r="W365" i="4"/>
  <c r="V405" i="4"/>
  <c r="W405" i="4"/>
  <c r="W374" i="4"/>
  <c r="V374" i="4"/>
  <c r="W78" i="4"/>
  <c r="V78" i="4"/>
  <c r="W31" i="4"/>
  <c r="V31" i="4"/>
  <c r="V163" i="4"/>
  <c r="W163" i="4"/>
  <c r="V110" i="4"/>
  <c r="W110" i="4"/>
  <c r="W299" i="4"/>
  <c r="V299" i="4"/>
  <c r="W153" i="4"/>
  <c r="V153" i="4"/>
  <c r="V485" i="4"/>
  <c r="W485" i="4"/>
  <c r="W237" i="4"/>
  <c r="V237" i="4"/>
  <c r="W106" i="4"/>
  <c r="V106" i="4"/>
  <c r="AA456" i="4"/>
  <c r="V456" i="4"/>
  <c r="W456" i="4"/>
  <c r="W46" i="4"/>
  <c r="V46" i="4"/>
  <c r="V409" i="4"/>
  <c r="W409" i="4"/>
  <c r="W475" i="4"/>
  <c r="V475" i="4"/>
  <c r="W291" i="4"/>
  <c r="V291" i="4"/>
  <c r="W140" i="4"/>
  <c r="V140" i="4"/>
  <c r="V305" i="4"/>
  <c r="W305" i="4"/>
  <c r="W324" i="4"/>
  <c r="V324" i="4"/>
  <c r="V186" i="4"/>
  <c r="W186" i="4"/>
  <c r="W380" i="4"/>
  <c r="V380" i="4"/>
  <c r="V256" i="4"/>
  <c r="W256" i="4"/>
  <c r="W389" i="4"/>
  <c r="V389" i="4"/>
  <c r="W436" i="4"/>
  <c r="V436" i="4"/>
  <c r="V234" i="4"/>
  <c r="W234" i="4"/>
  <c r="V369" i="4"/>
  <c r="W369" i="4"/>
  <c r="V465" i="4"/>
  <c r="W465" i="4"/>
  <c r="AA465" i="4"/>
  <c r="W468" i="4"/>
  <c r="V468" i="4"/>
  <c r="W351" i="4"/>
  <c r="V351" i="4"/>
  <c r="W484" i="4"/>
  <c r="V484" i="4"/>
  <c r="V213" i="4"/>
  <c r="W213" i="4"/>
  <c r="W175" i="4"/>
  <c r="V175" i="4"/>
  <c r="W438" i="4"/>
  <c r="V438" i="4"/>
  <c r="V229" i="4"/>
  <c r="W229" i="4"/>
  <c r="V304" i="4"/>
  <c r="W304" i="4"/>
  <c r="V425" i="4"/>
  <c r="W425" i="4"/>
  <c r="V200" i="4"/>
  <c r="W200" i="4"/>
  <c r="Y474" i="4"/>
  <c r="Z474" i="4" s="1"/>
  <c r="AA474" i="4" s="1"/>
  <c r="Y53" i="4"/>
  <c r="Z53" i="4" s="1"/>
  <c r="AA53" i="4" s="1"/>
  <c r="Y224" i="4"/>
  <c r="Z224" i="4" s="1"/>
  <c r="AA224" i="4" s="1"/>
  <c r="Y24" i="4"/>
  <c r="Z24" i="4" s="1"/>
  <c r="AA24" i="4" s="1"/>
  <c r="Y12" i="4"/>
  <c r="Z12" i="4" s="1"/>
  <c r="AA12" i="4" s="1"/>
  <c r="Y377" i="4"/>
  <c r="Z377" i="4" s="1"/>
  <c r="AA377" i="4" s="1"/>
  <c r="Y254" i="4"/>
  <c r="Z254" i="4" s="1"/>
  <c r="AA254" i="4" s="1"/>
  <c r="Y276" i="4"/>
  <c r="Z276" i="4" s="1"/>
  <c r="AA276" i="4" s="1"/>
  <c r="Y223" i="4"/>
  <c r="Z223" i="4" s="1"/>
  <c r="AA223" i="4" s="1"/>
  <c r="Y55" i="4"/>
  <c r="Z55" i="4" s="1"/>
  <c r="AA55" i="4" s="1"/>
  <c r="Y103" i="4"/>
  <c r="Z103" i="4" s="1"/>
  <c r="AA103" i="4" s="1"/>
  <c r="Y287" i="4"/>
  <c r="Z287" i="4" s="1"/>
  <c r="AA287" i="4" s="1"/>
  <c r="Y109" i="4"/>
  <c r="Z109" i="4" s="1"/>
  <c r="AA109" i="4" s="1"/>
  <c r="Y493" i="4"/>
  <c r="Z493" i="4" s="1"/>
  <c r="AA493" i="4" s="1"/>
  <c r="Y332" i="4"/>
  <c r="Z332" i="4" s="1"/>
  <c r="AA332" i="4" s="1"/>
  <c r="Y361" i="4"/>
  <c r="Z361" i="4" s="1"/>
  <c r="AA361" i="4" s="1"/>
  <c r="Y360" i="4"/>
  <c r="Z360" i="4" s="1"/>
  <c r="AA360" i="4" s="1"/>
  <c r="Y417" i="4"/>
  <c r="Z417" i="4" s="1"/>
  <c r="AA417" i="4" s="1"/>
  <c r="Y302" i="4"/>
  <c r="Z302" i="4" s="1"/>
  <c r="AA302" i="4" s="1"/>
  <c r="Y414" i="4"/>
  <c r="Z414" i="4" s="1"/>
  <c r="AA414" i="4" s="1"/>
  <c r="Y444" i="4"/>
  <c r="Z444" i="4" s="1"/>
  <c r="AA444" i="4" s="1"/>
  <c r="Y363" i="4"/>
  <c r="Z363" i="4" s="1"/>
  <c r="AA363" i="4" s="1"/>
  <c r="Y133" i="4"/>
  <c r="Z133" i="4" s="1"/>
  <c r="AA133" i="4" s="1"/>
  <c r="V45" i="4"/>
  <c r="W45" i="4"/>
  <c r="W466" i="4"/>
  <c r="V466" i="4"/>
  <c r="V56" i="4"/>
  <c r="W56" i="4"/>
  <c r="W419" i="4"/>
  <c r="V419" i="4"/>
  <c r="W420" i="4"/>
  <c r="V420" i="4"/>
  <c r="W341" i="4"/>
  <c r="V341" i="4"/>
  <c r="V329" i="4"/>
  <c r="W329" i="4"/>
  <c r="V154" i="4"/>
  <c r="W154" i="4"/>
  <c r="V149" i="4"/>
  <c r="W149" i="4"/>
  <c r="W99" i="4"/>
  <c r="V99" i="4"/>
  <c r="V386" i="4"/>
  <c r="W386" i="4"/>
  <c r="W138" i="4"/>
  <c r="V138" i="4"/>
  <c r="W253" i="4"/>
  <c r="V253" i="4"/>
  <c r="Y472" i="4"/>
  <c r="Z472" i="4" s="1"/>
  <c r="AA472" i="4" s="1"/>
  <c r="Y131" i="4"/>
  <c r="Z131" i="4" s="1"/>
  <c r="AA131" i="4" s="1"/>
  <c r="Y366" i="4"/>
  <c r="Z366" i="4" s="1"/>
  <c r="AA366" i="4" s="1"/>
  <c r="Y77" i="4"/>
  <c r="Z77" i="4" s="1"/>
  <c r="AA77" i="4" s="1"/>
  <c r="Y496" i="4"/>
  <c r="Z496" i="4" s="1"/>
  <c r="AA496" i="4" s="1"/>
  <c r="Y74" i="4"/>
  <c r="Z74" i="4" s="1"/>
  <c r="AA74" i="4" s="1"/>
  <c r="Y129" i="4"/>
  <c r="Z129" i="4" s="1"/>
  <c r="AA129" i="4" s="1"/>
  <c r="W53" i="4"/>
  <c r="V53" i="4"/>
  <c r="W224" i="4"/>
  <c r="V224" i="4"/>
  <c r="W24" i="4"/>
  <c r="V24" i="4"/>
  <c r="V12" i="4"/>
  <c r="W12" i="4"/>
  <c r="V377" i="4"/>
  <c r="W377" i="4"/>
  <c r="W254" i="4"/>
  <c r="V254" i="4"/>
  <c r="W276" i="4"/>
  <c r="V276" i="4"/>
  <c r="V223" i="4"/>
  <c r="W223" i="4"/>
  <c r="W55" i="4"/>
  <c r="V55" i="4"/>
  <c r="V103" i="4"/>
  <c r="W103" i="4"/>
  <c r="W287" i="4"/>
  <c r="V287" i="4"/>
  <c r="V109" i="4"/>
  <c r="W109" i="4"/>
  <c r="V493" i="4"/>
  <c r="W493" i="4"/>
  <c r="W332" i="4"/>
  <c r="V332" i="4"/>
  <c r="V361" i="4"/>
  <c r="W361" i="4"/>
  <c r="W360" i="4"/>
  <c r="V360" i="4"/>
  <c r="V417" i="4"/>
  <c r="W417" i="4"/>
  <c r="W302" i="4"/>
  <c r="V302" i="4"/>
  <c r="V414" i="4"/>
  <c r="W414" i="4"/>
  <c r="W444" i="4"/>
  <c r="V444" i="4"/>
  <c r="V363" i="4"/>
  <c r="W363" i="4"/>
  <c r="V133" i="4"/>
  <c r="W133" i="4"/>
  <c r="V472" i="4"/>
  <c r="W472" i="4"/>
  <c r="W131" i="4"/>
  <c r="V131" i="4"/>
  <c r="W366" i="4"/>
  <c r="V366" i="4"/>
  <c r="W77" i="4"/>
  <c r="V77" i="4"/>
  <c r="V496" i="4"/>
  <c r="W496" i="4"/>
  <c r="V74" i="4"/>
  <c r="W74" i="4"/>
  <c r="V129" i="4"/>
  <c r="W129" i="4"/>
  <c r="W165" i="4"/>
  <c r="V165" i="4"/>
  <c r="V208" i="4"/>
  <c r="W208" i="4"/>
  <c r="W350" i="4"/>
  <c r="V350" i="4"/>
  <c r="V459" i="4"/>
  <c r="W459" i="4"/>
  <c r="V248" i="4"/>
  <c r="W248" i="4"/>
  <c r="W240" i="4"/>
  <c r="V240" i="4"/>
  <c r="W416" i="4"/>
  <c r="V416" i="4"/>
  <c r="V316" i="4"/>
  <c r="W316" i="4"/>
  <c r="V413" i="4"/>
  <c r="AA413" i="4"/>
  <c r="W413" i="4"/>
  <c r="V146" i="4"/>
  <c r="W146" i="4"/>
  <c r="V50" i="4"/>
  <c r="W50" i="4"/>
  <c r="V170" i="4"/>
  <c r="W170" i="4"/>
  <c r="V168" i="4"/>
  <c r="W168" i="4"/>
  <c r="W193" i="4"/>
  <c r="V193" i="4"/>
  <c r="W172" i="4"/>
  <c r="V172" i="4"/>
  <c r="W108" i="4"/>
  <c r="V108" i="4"/>
  <c r="V88" i="4"/>
  <c r="W88" i="4"/>
  <c r="V390" i="4"/>
  <c r="W390" i="4"/>
  <c r="V139" i="4"/>
  <c r="W139" i="4"/>
  <c r="V283" i="4"/>
  <c r="W283" i="4"/>
  <c r="W399" i="4"/>
  <c r="V399" i="4"/>
  <c r="W174" i="4"/>
  <c r="V174" i="4"/>
  <c r="AA174" i="4"/>
  <c r="V162" i="4"/>
  <c r="W162" i="4"/>
  <c r="W407" i="4"/>
  <c r="V407" i="4"/>
  <c r="W9" i="4"/>
  <c r="V9" i="4"/>
  <c r="Y266" i="4"/>
  <c r="Z266" i="4" s="1"/>
  <c r="AA266" i="4" s="1"/>
  <c r="Y358" i="4"/>
  <c r="Z358" i="4" s="1"/>
  <c r="AA358" i="4" s="1"/>
  <c r="Y451" i="4"/>
  <c r="Z451" i="4" s="1"/>
  <c r="AA451" i="4" s="1"/>
  <c r="Y499" i="4"/>
  <c r="Z499" i="4" s="1"/>
  <c r="AA499" i="4" s="1"/>
  <c r="Y423" i="4"/>
  <c r="Z423" i="4" s="1"/>
  <c r="AA423" i="4" s="1"/>
  <c r="Y262" i="4"/>
  <c r="Z262" i="4" s="1"/>
  <c r="AA262" i="4" s="1"/>
  <c r="Y20" i="4"/>
  <c r="Z20" i="4" s="1"/>
  <c r="AA20" i="4" s="1"/>
  <c r="Y500" i="4"/>
  <c r="Z500" i="4" s="1"/>
  <c r="AA500" i="4" s="1"/>
  <c r="Y96" i="4"/>
  <c r="Z96" i="4" s="1"/>
  <c r="AA96" i="4" s="1"/>
  <c r="Y274" i="4"/>
  <c r="Z274" i="4" s="1"/>
  <c r="AA274" i="4" s="1"/>
  <c r="Y16" i="4"/>
  <c r="Z16" i="4" s="1"/>
  <c r="AA16" i="4" s="1"/>
  <c r="Y143" i="4"/>
  <c r="Z143" i="4" s="1"/>
  <c r="AA143" i="4" s="1"/>
  <c r="Y306" i="4"/>
  <c r="Z306" i="4" s="1"/>
  <c r="AA306" i="4" s="1"/>
  <c r="Y211" i="4"/>
  <c r="Z211" i="4" s="1"/>
  <c r="AA211" i="4" s="1"/>
  <c r="Y312" i="4"/>
  <c r="Z312" i="4" s="1"/>
  <c r="AA312" i="4" s="1"/>
  <c r="Y72" i="4"/>
  <c r="Z72" i="4" s="1"/>
  <c r="AA72" i="4" s="1"/>
  <c r="Y495" i="4"/>
  <c r="Z495" i="4" s="1"/>
  <c r="AA495" i="4" s="1"/>
  <c r="Y33" i="4"/>
  <c r="Z33" i="4" s="1"/>
  <c r="AA33" i="4" s="1"/>
  <c r="Y134" i="4"/>
  <c r="Z134" i="4" s="1"/>
  <c r="AA134" i="4" s="1"/>
  <c r="Y388" i="4"/>
  <c r="Z388" i="4" s="1"/>
  <c r="AA388" i="4" s="1"/>
  <c r="Y408" i="4"/>
  <c r="Z408" i="4" s="1"/>
  <c r="AA408" i="4" s="1"/>
  <c r="Y429" i="4"/>
  <c r="Z429" i="4" s="1"/>
  <c r="AA429" i="4" s="1"/>
  <c r="V135" i="4"/>
  <c r="W135" i="4"/>
  <c r="Y10" i="4"/>
  <c r="Z10" i="4" s="1"/>
  <c r="AA10" i="4" s="1"/>
  <c r="Y105" i="4"/>
  <c r="Z105" i="4" s="1"/>
  <c r="AA105" i="4" s="1"/>
  <c r="Y504" i="4"/>
  <c r="Z504" i="4" s="1"/>
  <c r="AA504" i="4" s="1"/>
  <c r="Y433" i="4"/>
  <c r="Z433" i="4" s="1"/>
  <c r="AA433" i="4" s="1"/>
  <c r="V47" i="4"/>
  <c r="W47" i="4"/>
  <c r="W64" i="4"/>
  <c r="V64" i="4"/>
  <c r="V218" i="4"/>
  <c r="W218" i="4"/>
  <c r="V122" i="4"/>
  <c r="W122" i="4"/>
  <c r="W335" i="4"/>
  <c r="V335" i="4"/>
  <c r="W113" i="4"/>
  <c r="V113" i="4"/>
  <c r="W435" i="4"/>
  <c r="V435" i="4"/>
  <c r="V177" i="4"/>
  <c r="W177" i="4"/>
  <c r="V453" i="4"/>
  <c r="W453" i="4"/>
  <c r="V214" i="4"/>
  <c r="W214" i="4"/>
  <c r="W68" i="4"/>
  <c r="V68" i="4"/>
  <c r="W23" i="4"/>
  <c r="V23" i="4"/>
  <c r="Y326" i="4"/>
  <c r="Z326" i="4" s="1"/>
  <c r="AA326" i="4" s="1"/>
  <c r="Y328" i="4"/>
  <c r="Z328" i="4" s="1"/>
  <c r="AA328" i="4" s="1"/>
  <c r="Y325" i="4"/>
  <c r="Z325" i="4" s="1"/>
  <c r="AA325" i="4" s="1"/>
  <c r="Y79" i="4"/>
  <c r="Z79" i="4" s="1"/>
  <c r="AA79" i="4" s="1"/>
  <c r="Y397" i="4"/>
  <c r="Z397" i="4" s="1"/>
  <c r="AA397" i="4" s="1"/>
  <c r="W358" i="4"/>
  <c r="V358" i="4"/>
  <c r="W451" i="4"/>
  <c r="V451" i="4"/>
  <c r="W499" i="4"/>
  <c r="V499" i="4"/>
  <c r="V423" i="4"/>
  <c r="W423" i="4"/>
  <c r="W262" i="4"/>
  <c r="V262" i="4"/>
  <c r="W20" i="4"/>
  <c r="V20" i="4"/>
  <c r="V500" i="4"/>
  <c r="W500" i="4"/>
  <c r="V96" i="4"/>
  <c r="W96" i="4"/>
  <c r="V274" i="4"/>
  <c r="W274" i="4"/>
  <c r="W16" i="4"/>
  <c r="V16" i="4"/>
  <c r="W143" i="4"/>
  <c r="V143" i="4"/>
  <c r="W306" i="4"/>
  <c r="V306" i="4"/>
  <c r="V211" i="4"/>
  <c r="W211" i="4"/>
  <c r="W312" i="4"/>
  <c r="V312" i="4"/>
  <c r="W72" i="4"/>
  <c r="V72" i="4"/>
  <c r="W495" i="4"/>
  <c r="V495" i="4"/>
  <c r="V33" i="4"/>
  <c r="W33" i="4"/>
  <c r="V134" i="4"/>
  <c r="W134" i="4"/>
  <c r="W388" i="4"/>
  <c r="V388" i="4"/>
  <c r="W408" i="4"/>
  <c r="V408" i="4"/>
  <c r="W429" i="4"/>
  <c r="V429" i="4"/>
  <c r="V10" i="4"/>
  <c r="W10" i="4"/>
  <c r="W105" i="4"/>
  <c r="V105" i="4"/>
  <c r="V504" i="4"/>
  <c r="W504" i="4"/>
  <c r="V433" i="4"/>
  <c r="W433" i="4"/>
  <c r="V326" i="4"/>
  <c r="W326" i="4"/>
  <c r="W328" i="4"/>
  <c r="V328" i="4"/>
  <c r="W325" i="4"/>
  <c r="V325" i="4"/>
  <c r="V79" i="4"/>
  <c r="W79" i="4"/>
  <c r="V397" i="4"/>
  <c r="W397" i="4"/>
  <c r="V330" i="4"/>
  <c r="W330" i="4"/>
  <c r="V150" i="4"/>
  <c r="W150" i="4"/>
  <c r="V73" i="4"/>
  <c r="AA73" i="4"/>
  <c r="W73" i="4"/>
  <c r="W356" i="4"/>
  <c r="V356" i="4"/>
  <c r="W93" i="4"/>
  <c r="V93" i="4"/>
  <c r="V127" i="4"/>
  <c r="W127" i="4"/>
  <c r="V294" i="4"/>
  <c r="W294" i="4"/>
  <c r="W164" i="4"/>
  <c r="V164" i="4"/>
  <c r="V225" i="4"/>
  <c r="W225" i="4"/>
  <c r="W334" i="4"/>
  <c r="V334" i="4"/>
  <c r="V261" i="4"/>
  <c r="W261" i="4"/>
  <c r="W424" i="4"/>
  <c r="V424" i="4"/>
  <c r="V503" i="4"/>
  <c r="W503" i="4"/>
  <c r="V26" i="4"/>
  <c r="W26" i="4"/>
  <c r="W246" i="4"/>
  <c r="V246" i="4"/>
  <c r="V226" i="4"/>
  <c r="W226" i="4"/>
  <c r="V14" i="4"/>
  <c r="W14" i="4"/>
  <c r="V303" i="4"/>
  <c r="W303" i="4"/>
  <c r="W257" i="4"/>
  <c r="V257" i="4"/>
  <c r="V323" i="4"/>
  <c r="W323" i="4"/>
  <c r="W95" i="4"/>
  <c r="V95" i="4"/>
  <c r="V220" i="4"/>
  <c r="W220" i="4"/>
  <c r="V57" i="4"/>
  <c r="W57" i="4"/>
  <c r="W284" i="4"/>
  <c r="V284" i="4"/>
  <c r="AA284" i="4"/>
  <c r="W285" i="4"/>
  <c r="V285" i="4"/>
  <c r="V467" i="4"/>
  <c r="W467" i="4"/>
  <c r="W236" i="4"/>
  <c r="V236" i="4"/>
  <c r="W434" i="4"/>
  <c r="V434" i="4"/>
  <c r="W298" i="4"/>
  <c r="V298" i="4"/>
  <c r="AA89" i="4"/>
  <c r="V89" i="4"/>
  <c r="W89" i="4"/>
  <c r="W152" i="4"/>
  <c r="V152" i="4"/>
  <c r="Y391" i="4"/>
  <c r="Z391" i="4" s="1"/>
  <c r="AA391" i="4" s="1"/>
  <c r="Y319" i="4"/>
  <c r="Z319" i="4" s="1"/>
  <c r="AA319" i="4" s="1"/>
  <c r="Y123" i="4"/>
  <c r="Z123" i="4" s="1"/>
  <c r="AA123" i="4" s="1"/>
  <c r="Y258" i="4"/>
  <c r="Z258" i="4" s="1"/>
  <c r="AA258" i="4" s="1"/>
  <c r="Y462" i="4"/>
  <c r="Z462" i="4" s="1"/>
  <c r="AA462" i="4" s="1"/>
  <c r="Y228" i="4"/>
  <c r="Z228" i="4" s="1"/>
  <c r="AA228" i="4" s="1"/>
  <c r="Y156" i="4"/>
  <c r="Z156" i="4" s="1"/>
  <c r="AA156" i="4" s="1"/>
  <c r="Y331" i="4"/>
  <c r="Z331" i="4" s="1"/>
  <c r="AA331" i="4" s="1"/>
  <c r="Y155" i="4"/>
  <c r="Z155" i="4" s="1"/>
  <c r="AA155" i="4" s="1"/>
  <c r="Y25" i="4"/>
  <c r="Z25" i="4" s="1"/>
  <c r="AA25" i="4" s="1"/>
  <c r="Y207" i="4"/>
  <c r="Z207" i="4" s="1"/>
  <c r="AA207" i="4" s="1"/>
  <c r="Y128" i="4"/>
  <c r="Z128" i="4" s="1"/>
  <c r="AA128" i="4" s="1"/>
  <c r="Y368" i="4"/>
  <c r="Z368" i="4" s="1"/>
  <c r="AA368" i="4" s="1"/>
  <c r="Y307" i="4"/>
  <c r="Z307" i="4" s="1"/>
  <c r="AA307" i="4" s="1"/>
  <c r="Y115" i="4"/>
  <c r="Z115" i="4" s="1"/>
  <c r="AA115" i="4" s="1"/>
  <c r="Y159" i="4"/>
  <c r="Z159" i="4" s="1"/>
  <c r="AA159" i="4" s="1"/>
  <c r="Y21" i="4"/>
  <c r="Z21" i="4" s="1"/>
  <c r="AA21" i="4" s="1"/>
  <c r="Y192" i="4"/>
  <c r="Z192" i="4" s="1"/>
  <c r="AA192" i="4" s="1"/>
  <c r="Y449" i="4"/>
  <c r="Z449" i="4" s="1"/>
  <c r="AA449" i="4" s="1"/>
  <c r="Y114" i="4"/>
  <c r="Z114" i="4" s="1"/>
  <c r="AA114" i="4" s="1"/>
  <c r="Y401" i="4"/>
  <c r="Z401" i="4" s="1"/>
  <c r="AA401" i="4" s="1"/>
  <c r="Y412" i="4"/>
  <c r="Z412" i="4" s="1"/>
  <c r="AA412" i="4" s="1"/>
  <c r="Y6" i="4"/>
  <c r="Z6" i="4" s="1"/>
  <c r="AA6" i="4" s="1"/>
  <c r="Y124" i="4"/>
  <c r="Z124" i="4" s="1"/>
  <c r="AA124" i="4" s="1"/>
  <c r="Y353" i="4"/>
  <c r="Z353" i="4" s="1"/>
  <c r="AA353" i="4" s="1"/>
  <c r="Y206" i="4"/>
  <c r="Z206" i="4" s="1"/>
  <c r="AA206" i="4" s="1"/>
  <c r="Y121" i="4"/>
  <c r="Z121" i="4" s="1"/>
  <c r="AA121" i="4" s="1"/>
  <c r="V90" i="4"/>
  <c r="W90" i="4"/>
  <c r="W82" i="4"/>
  <c r="V82" i="4"/>
  <c r="W144" i="4"/>
  <c r="V144" i="4"/>
  <c r="W40" i="4"/>
  <c r="V40" i="4"/>
  <c r="W48" i="4"/>
  <c r="V48" i="4"/>
  <c r="W244" i="4"/>
  <c r="V244" i="4"/>
  <c r="W204" i="4"/>
  <c r="V204" i="4"/>
  <c r="W427" i="4"/>
  <c r="V427" i="4"/>
  <c r="W83" i="4"/>
  <c r="V83" i="4"/>
  <c r="W288" i="4"/>
  <c r="V288" i="4"/>
  <c r="V333" i="4"/>
  <c r="W333" i="4"/>
  <c r="W22" i="4"/>
  <c r="V22" i="4"/>
  <c r="Y19" i="4"/>
  <c r="Z19" i="4" s="1"/>
  <c r="AA19" i="4" s="1"/>
  <c r="Y281" i="4"/>
  <c r="Z281" i="4" s="1"/>
  <c r="AA281" i="4" s="1"/>
  <c r="Y29" i="4"/>
  <c r="Z29" i="4" s="1"/>
  <c r="AA29" i="4" s="1"/>
  <c r="Y430" i="4"/>
  <c r="Z430" i="4" s="1"/>
  <c r="AA430" i="4" s="1"/>
  <c r="Y195" i="4"/>
  <c r="Z195" i="4" s="1"/>
  <c r="AA195" i="4" s="1"/>
  <c r="Y317" i="4"/>
  <c r="Z317" i="4" s="1"/>
  <c r="AA317" i="4" s="1"/>
  <c r="Y86" i="4"/>
  <c r="Z86" i="4" s="1"/>
  <c r="AA86" i="4" s="1"/>
  <c r="Y297" i="4"/>
  <c r="Z297" i="4" s="1"/>
  <c r="AA297" i="4" s="1"/>
  <c r="Y447" i="4"/>
  <c r="Z447" i="4" s="1"/>
  <c r="AA447" i="4" s="1"/>
  <c r="AB431" i="4" l="1"/>
  <c r="AC157" i="4"/>
  <c r="N157" i="4" s="1"/>
  <c r="AC300" i="4"/>
  <c r="N300" i="4" s="1"/>
  <c r="AC226" i="4"/>
  <c r="N226" i="4" s="1"/>
  <c r="AB221" i="4"/>
  <c r="AB139" i="4"/>
  <c r="AC193" i="4"/>
  <c r="N193" i="4" s="1"/>
  <c r="AB330" i="4"/>
  <c r="AC330" i="4"/>
  <c r="N330" i="4" s="1"/>
  <c r="AB406" i="4"/>
  <c r="AB503" i="4"/>
  <c r="AC261" i="4"/>
  <c r="N261" i="4" s="1"/>
  <c r="AB66" i="4"/>
  <c r="AB356" i="4"/>
  <c r="AC215" i="4"/>
  <c r="N215" i="4" s="1"/>
  <c r="AA51" i="4"/>
  <c r="AB290" i="4"/>
  <c r="AC295" i="4"/>
  <c r="N295" i="4" s="1"/>
  <c r="AB295" i="4"/>
  <c r="AB65" i="4"/>
  <c r="AB475" i="4"/>
  <c r="AB28" i="4"/>
  <c r="AC476" i="4"/>
  <c r="N476" i="4" s="1"/>
  <c r="AC97" i="4"/>
  <c r="N97" i="4" s="1"/>
  <c r="AB459" i="4"/>
  <c r="AC383" i="4"/>
  <c r="N383" i="4" s="1"/>
  <c r="AC421" i="4"/>
  <c r="N421" i="4" s="1"/>
  <c r="AC50" i="4"/>
  <c r="N50" i="4" s="1"/>
  <c r="AC52" i="4"/>
  <c r="N52" i="4" s="1"/>
  <c r="AC336" i="4"/>
  <c r="N336" i="4" s="1"/>
  <c r="AB336" i="4"/>
  <c r="AB57" i="4"/>
  <c r="AB13" i="4"/>
  <c r="AC36" i="4"/>
  <c r="N36" i="4" s="1"/>
  <c r="AC15" i="4"/>
  <c r="N15" i="4" s="1"/>
  <c r="AC393" i="4"/>
  <c r="N393" i="4" s="1"/>
  <c r="AB93" i="4"/>
  <c r="AB104" i="4"/>
  <c r="AC385" i="4"/>
  <c r="N385" i="4" s="1"/>
  <c r="AB240" i="4"/>
  <c r="AC442" i="4"/>
  <c r="N442" i="4" s="1"/>
  <c r="AB395" i="4"/>
  <c r="AC395" i="4"/>
  <c r="N395" i="4" s="1"/>
  <c r="AC90" i="4"/>
  <c r="N90" i="4" s="1"/>
  <c r="AB90" i="4"/>
  <c r="AB166" i="4"/>
  <c r="AC166" i="4"/>
  <c r="N166" i="4" s="1"/>
  <c r="AA364" i="4"/>
  <c r="AB364" i="4" s="1"/>
  <c r="AA17" i="4"/>
  <c r="AC17" i="4" s="1"/>
  <c r="N17" i="4" s="1"/>
  <c r="AA181" i="4"/>
  <c r="AB181" i="4" s="1"/>
  <c r="AC341" i="4"/>
  <c r="N341" i="4" s="1"/>
  <c r="AB341" i="4"/>
  <c r="AC149" i="4"/>
  <c r="N149" i="4" s="1"/>
  <c r="AB149" i="4"/>
  <c r="AA273" i="4"/>
  <c r="AC273" i="4" s="1"/>
  <c r="N273" i="4" s="1"/>
  <c r="AC288" i="4"/>
  <c r="N288" i="4" s="1"/>
  <c r="AB288" i="4"/>
  <c r="AA101" i="4"/>
  <c r="AB101" i="4" s="1"/>
  <c r="AB473" i="4"/>
  <c r="AC473" i="4"/>
  <c r="N473" i="4" s="1"/>
  <c r="AC196" i="4"/>
  <c r="N196" i="4" s="1"/>
  <c r="AB196" i="4"/>
  <c r="AB323" i="4"/>
  <c r="AC323" i="4"/>
  <c r="N323" i="4" s="1"/>
  <c r="AC92" i="4"/>
  <c r="N92" i="4" s="1"/>
  <c r="AB92" i="4"/>
  <c r="AC491" i="4"/>
  <c r="N491" i="4" s="1"/>
  <c r="AB491" i="4"/>
  <c r="AB40" i="4"/>
  <c r="AC40" i="4"/>
  <c r="N40" i="4" s="1"/>
  <c r="AB259" i="4"/>
  <c r="AC259" i="4"/>
  <c r="N259" i="4" s="1"/>
  <c r="AC468" i="4"/>
  <c r="N468" i="4" s="1"/>
  <c r="AB468" i="4"/>
  <c r="AB374" i="4"/>
  <c r="AC374" i="4"/>
  <c r="N374" i="4" s="1"/>
  <c r="AC113" i="4"/>
  <c r="N113" i="4" s="1"/>
  <c r="AB113" i="4"/>
  <c r="AB200" i="4"/>
  <c r="AC200" i="4"/>
  <c r="N200" i="4" s="1"/>
  <c r="AC367" i="4"/>
  <c r="N367" i="4" s="1"/>
  <c r="AB367" i="4"/>
  <c r="AC335" i="4"/>
  <c r="N335" i="4" s="1"/>
  <c r="AB335" i="4"/>
  <c r="AC278" i="4"/>
  <c r="N278" i="4" s="1"/>
  <c r="AB278" i="4"/>
  <c r="AB172" i="4"/>
  <c r="AC172" i="4"/>
  <c r="N172" i="4" s="1"/>
  <c r="AC298" i="4"/>
  <c r="N298" i="4" s="1"/>
  <c r="AB298" i="4"/>
  <c r="AC145" i="4"/>
  <c r="N145" i="4" s="1"/>
  <c r="AB145" i="4"/>
  <c r="AB234" i="4"/>
  <c r="AC232" i="4"/>
  <c r="N232" i="4" s="1"/>
  <c r="AB232" i="4"/>
  <c r="AB460" i="4"/>
  <c r="AC460" i="4"/>
  <c r="N460" i="4" s="1"/>
  <c r="AC405" i="4"/>
  <c r="N405" i="4" s="1"/>
  <c r="AB405" i="4"/>
  <c r="AC453" i="4"/>
  <c r="N453" i="4" s="1"/>
  <c r="AB453" i="4"/>
  <c r="AA191" i="4"/>
  <c r="AC191" i="4" s="1"/>
  <c r="N191" i="4" s="1"/>
  <c r="AA130" i="4"/>
  <c r="AB130" i="4" s="1"/>
  <c r="AA437" i="4"/>
  <c r="AC437" i="4" s="1"/>
  <c r="N437" i="4" s="1"/>
  <c r="AA457" i="4"/>
  <c r="AC457" i="4" s="1"/>
  <c r="N457" i="4" s="1"/>
  <c r="AB102" i="4"/>
  <c r="AC102" i="4"/>
  <c r="N102" i="4" s="1"/>
  <c r="AC257" i="4"/>
  <c r="N257" i="4" s="1"/>
  <c r="AB257" i="4"/>
  <c r="AB370" i="4"/>
  <c r="AC370" i="4"/>
  <c r="N370" i="4" s="1"/>
  <c r="AB34" i="4"/>
  <c r="AB4" i="4"/>
  <c r="AC4" i="4"/>
  <c r="N4" i="4" s="1"/>
  <c r="AC253" i="4"/>
  <c r="N253" i="4" s="1"/>
  <c r="AA210" i="4"/>
  <c r="AC210" i="4" s="1"/>
  <c r="N210" i="4" s="1"/>
  <c r="AB75" i="4"/>
  <c r="AC75" i="4"/>
  <c r="N75" i="4" s="1"/>
  <c r="AC231" i="4"/>
  <c r="N231" i="4" s="1"/>
  <c r="AB231" i="4"/>
  <c r="AC9" i="4"/>
  <c r="N9" i="4" s="1"/>
  <c r="AB9" i="4"/>
  <c r="AC23" i="4"/>
  <c r="N23" i="4" s="1"/>
  <c r="AB23" i="4"/>
  <c r="AB127" i="4"/>
  <c r="AC478" i="4"/>
  <c r="N478" i="4" s="1"/>
  <c r="AB478" i="4"/>
  <c r="AC416" i="4"/>
  <c r="N416" i="4" s="1"/>
  <c r="AB416" i="4"/>
  <c r="AA111" i="4"/>
  <c r="AB111" i="4" s="1"/>
  <c r="AB112" i="4"/>
  <c r="AC150" i="4"/>
  <c r="N150" i="4" s="1"/>
  <c r="AB150" i="4"/>
  <c r="AC99" i="4"/>
  <c r="N99" i="4" s="1"/>
  <c r="AB99" i="4"/>
  <c r="AC481" i="4"/>
  <c r="N481" i="4" s="1"/>
  <c r="AB481" i="4"/>
  <c r="AC303" i="4"/>
  <c r="N303" i="4" s="1"/>
  <c r="AA126" i="4"/>
  <c r="AB126" i="4" s="1"/>
  <c r="AB348" i="4"/>
  <c r="AC348" i="4"/>
  <c r="N348" i="4" s="1"/>
  <c r="AC263" i="4"/>
  <c r="N263" i="4" s="1"/>
  <c r="AB263" i="4"/>
  <c r="AB132" i="4"/>
  <c r="AC132" i="4"/>
  <c r="N132" i="4" s="1"/>
  <c r="AB321" i="4"/>
  <c r="AC321" i="4"/>
  <c r="N321" i="4" s="1"/>
  <c r="AB292" i="4"/>
  <c r="AC292" i="4"/>
  <c r="N292" i="4" s="1"/>
  <c r="AC403" i="4"/>
  <c r="N403" i="4" s="1"/>
  <c r="AB403" i="4"/>
  <c r="AB56" i="4"/>
  <c r="AC56" i="4"/>
  <c r="N56" i="4" s="1"/>
  <c r="AB116" i="4"/>
  <c r="AC116" i="4"/>
  <c r="N116" i="4" s="1"/>
  <c r="AB334" i="4"/>
  <c r="AC334" i="4"/>
  <c r="N334" i="4" s="1"/>
  <c r="AC389" i="4"/>
  <c r="N389" i="4" s="1"/>
  <c r="AB389" i="4"/>
  <c r="AC69" i="4"/>
  <c r="N69" i="4" s="1"/>
  <c r="AB69" i="4"/>
  <c r="AB236" i="4"/>
  <c r="AC236" i="4"/>
  <c r="N236" i="4" s="1"/>
  <c r="AC169" i="4"/>
  <c r="N169" i="4" s="1"/>
  <c r="AB169" i="4"/>
  <c r="AC163" i="4"/>
  <c r="N163" i="4" s="1"/>
  <c r="AB163" i="4"/>
  <c r="AB122" i="4"/>
  <c r="AC122" i="4"/>
  <c r="N122" i="4" s="1"/>
  <c r="AB480" i="4"/>
  <c r="AC480" i="4"/>
  <c r="N480" i="4" s="1"/>
  <c r="AB26" i="4"/>
  <c r="AC26" i="4"/>
  <c r="N26" i="4" s="1"/>
  <c r="AB407" i="4"/>
  <c r="AC407" i="4"/>
  <c r="N407" i="4" s="1"/>
  <c r="AC250" i="4"/>
  <c r="N250" i="4" s="1"/>
  <c r="AB250" i="4"/>
  <c r="AC243" i="4"/>
  <c r="N243" i="4" s="1"/>
  <c r="AB243" i="4"/>
  <c r="AB42" i="4"/>
  <c r="AC42" i="4"/>
  <c r="N42" i="4" s="1"/>
  <c r="AC135" i="4"/>
  <c r="N135" i="4" s="1"/>
  <c r="AB135" i="4"/>
  <c r="AB305" i="4"/>
  <c r="AC305" i="4"/>
  <c r="N305" i="4" s="1"/>
  <c r="AA194" i="4"/>
  <c r="AB194" i="4" s="1"/>
  <c r="AA189" i="4"/>
  <c r="AC189" i="4" s="1"/>
  <c r="N189" i="4" s="1"/>
  <c r="AC88" i="4"/>
  <c r="N88" i="4" s="1"/>
  <c r="AB88" i="4"/>
  <c r="AB255" i="4"/>
  <c r="AC255" i="4"/>
  <c r="N255" i="4" s="1"/>
  <c r="AB415" i="4"/>
  <c r="AC415" i="4"/>
  <c r="N415" i="4" s="1"/>
  <c r="AB107" i="4"/>
  <c r="AC107" i="4"/>
  <c r="N107" i="4" s="1"/>
  <c r="AC244" i="4"/>
  <c r="N244" i="4" s="1"/>
  <c r="AB244" i="4"/>
  <c r="AB175" i="4"/>
  <c r="AC175" i="4"/>
  <c r="N175" i="4" s="1"/>
  <c r="AA338" i="4"/>
  <c r="AB338" i="4" s="1"/>
  <c r="AB399" i="4"/>
  <c r="AC399" i="4"/>
  <c r="N399" i="4" s="1"/>
  <c r="AB39" i="4"/>
  <c r="AC39" i="4"/>
  <c r="N39" i="4" s="1"/>
  <c r="AB470" i="4"/>
  <c r="AC470" i="4"/>
  <c r="N470" i="4" s="1"/>
  <c r="AB54" i="4"/>
  <c r="AC54" i="4"/>
  <c r="N54" i="4" s="1"/>
  <c r="AC46" i="4"/>
  <c r="N46" i="4" s="1"/>
  <c r="AB46" i="4"/>
  <c r="AA183" i="4"/>
  <c r="AC183" i="4" s="1"/>
  <c r="N183" i="4" s="1"/>
  <c r="AC248" i="4"/>
  <c r="N248" i="4" s="1"/>
  <c r="AB248" i="4"/>
  <c r="AC351" i="4"/>
  <c r="N351" i="4" s="1"/>
  <c r="AB351" i="4"/>
  <c r="AC44" i="4"/>
  <c r="N44" i="4" s="1"/>
  <c r="AB44" i="4"/>
  <c r="AC249" i="4"/>
  <c r="N249" i="4" s="1"/>
  <c r="AB249" i="4"/>
  <c r="AC282" i="4"/>
  <c r="N282" i="4" s="1"/>
  <c r="AB282" i="4"/>
  <c r="AC170" i="4"/>
  <c r="N170" i="4" s="1"/>
  <c r="AB170" i="4"/>
  <c r="AC450" i="4"/>
  <c r="N450" i="4" s="1"/>
  <c r="AB450" i="4"/>
  <c r="AB208" i="4"/>
  <c r="AC208" i="4"/>
  <c r="N208" i="4" s="1"/>
  <c r="AB229" i="4"/>
  <c r="AC229" i="4"/>
  <c r="N229" i="4" s="1"/>
  <c r="AC198" i="4"/>
  <c r="N198" i="4" s="1"/>
  <c r="AB198" i="4"/>
  <c r="AC333" i="4"/>
  <c r="N333" i="4" s="1"/>
  <c r="AB333" i="4"/>
  <c r="AC64" i="4"/>
  <c r="N64" i="4" s="1"/>
  <c r="AB64" i="4"/>
  <c r="AC70" i="4"/>
  <c r="N70" i="4" s="1"/>
  <c r="AB70" i="4"/>
  <c r="AC285" i="4"/>
  <c r="N285" i="4" s="1"/>
  <c r="AB285" i="4"/>
  <c r="AB220" i="4"/>
  <c r="AC220" i="4"/>
  <c r="N220" i="4" s="1"/>
  <c r="AB176" i="4"/>
  <c r="AC176" i="4"/>
  <c r="N176" i="4" s="1"/>
  <c r="AC30" i="4"/>
  <c r="N30" i="4" s="1"/>
  <c r="AB30" i="4"/>
  <c r="AC485" i="4"/>
  <c r="N485" i="4" s="1"/>
  <c r="AB485" i="4"/>
  <c r="AB291" i="4"/>
  <c r="AC291" i="4"/>
  <c r="N291" i="4" s="1"/>
  <c r="AC41" i="4"/>
  <c r="N41" i="4" s="1"/>
  <c r="AB41" i="4"/>
  <c r="AB14" i="4"/>
  <c r="AC14" i="4"/>
  <c r="N14" i="4" s="1"/>
  <c r="AB296" i="4"/>
  <c r="AC296" i="4"/>
  <c r="N296" i="4" s="1"/>
  <c r="AC304" i="4"/>
  <c r="N304" i="4" s="1"/>
  <c r="AB304" i="4"/>
  <c r="AB82" i="4"/>
  <c r="AC82" i="4"/>
  <c r="N82" i="4" s="1"/>
  <c r="AB31" i="4"/>
  <c r="AC31" i="4"/>
  <c r="N31" i="4" s="1"/>
  <c r="AC329" i="4"/>
  <c r="N329" i="4" s="1"/>
  <c r="AB329" i="4"/>
  <c r="AC138" i="4"/>
  <c r="N138" i="4" s="1"/>
  <c r="AB138" i="4"/>
  <c r="AB146" i="4"/>
  <c r="AC146" i="4"/>
  <c r="N146" i="4" s="1"/>
  <c r="AC213" i="4"/>
  <c r="N213" i="4" s="1"/>
  <c r="AB213" i="4"/>
  <c r="AC62" i="4"/>
  <c r="N62" i="4" s="1"/>
  <c r="AB62" i="4"/>
  <c r="AC235" i="4"/>
  <c r="N235" i="4" s="1"/>
  <c r="AB235" i="4"/>
  <c r="AC466" i="4"/>
  <c r="N466" i="4" s="1"/>
  <c r="AB466" i="4"/>
  <c r="AB501" i="4"/>
  <c r="AC501" i="4"/>
  <c r="N501" i="4" s="1"/>
  <c r="AC402" i="4"/>
  <c r="N402" i="4" s="1"/>
  <c r="AB402" i="4"/>
  <c r="AB256" i="4"/>
  <c r="AC256" i="4"/>
  <c r="N256" i="4" s="1"/>
  <c r="AC108" i="4"/>
  <c r="N108" i="4" s="1"/>
  <c r="AB108" i="4"/>
  <c r="AB190" i="4"/>
  <c r="AC190" i="4"/>
  <c r="N190" i="4" s="1"/>
  <c r="AA344" i="4"/>
  <c r="AB344" i="4" s="1"/>
  <c r="AA251" i="4"/>
  <c r="AB251" i="4" s="1"/>
  <c r="AC67" i="4"/>
  <c r="N67" i="4" s="1"/>
  <c r="AB67" i="4"/>
  <c r="AC359" i="4"/>
  <c r="N359" i="4" s="1"/>
  <c r="AB359" i="4"/>
  <c r="AC164" i="4"/>
  <c r="N164" i="4" s="1"/>
  <c r="AB164" i="4"/>
  <c r="AC299" i="4"/>
  <c r="N299" i="4" s="1"/>
  <c r="AB299" i="4"/>
  <c r="AC260" i="4"/>
  <c r="N260" i="4" s="1"/>
  <c r="AB260" i="4"/>
  <c r="AB327" i="4"/>
  <c r="AC327" i="4"/>
  <c r="N327" i="4" s="1"/>
  <c r="AC268" i="4"/>
  <c r="N268" i="4" s="1"/>
  <c r="AB268" i="4"/>
  <c r="AB425" i="4"/>
  <c r="AC425" i="4"/>
  <c r="N425" i="4" s="1"/>
  <c r="AC418" i="4"/>
  <c r="N418" i="4" s="1"/>
  <c r="AB418" i="4"/>
  <c r="AB212" i="4"/>
  <c r="AC212" i="4"/>
  <c r="N212" i="4" s="1"/>
  <c r="AC106" i="4"/>
  <c r="N106" i="4" s="1"/>
  <c r="AB106" i="4"/>
  <c r="AC483" i="4"/>
  <c r="N483" i="4" s="1"/>
  <c r="AB483" i="4"/>
  <c r="AC422" i="4"/>
  <c r="N422" i="4" s="1"/>
  <c r="AB422" i="4"/>
  <c r="AC313" i="4"/>
  <c r="N313" i="4" s="1"/>
  <c r="AB313" i="4"/>
  <c r="AC380" i="4"/>
  <c r="N380" i="4" s="1"/>
  <c r="AB380" i="4"/>
  <c r="AC245" i="4"/>
  <c r="N245" i="4" s="1"/>
  <c r="AB245" i="4"/>
  <c r="AA372" i="4"/>
  <c r="AC372" i="4" s="1"/>
  <c r="N372" i="4" s="1"/>
  <c r="AA463" i="4"/>
  <c r="AC463" i="4" s="1"/>
  <c r="N463" i="4" s="1"/>
  <c r="AA286" i="4"/>
  <c r="AB286" i="4" s="1"/>
  <c r="AC22" i="4"/>
  <c r="N22" i="4" s="1"/>
  <c r="AB22" i="4"/>
  <c r="AC152" i="4"/>
  <c r="N152" i="4" s="1"/>
  <c r="AB152" i="4"/>
  <c r="AB136" i="4"/>
  <c r="AC136" i="4"/>
  <c r="N136" i="4" s="1"/>
  <c r="AB179" i="4"/>
  <c r="AC179" i="4"/>
  <c r="N179" i="4" s="1"/>
  <c r="AB272" i="4"/>
  <c r="AC272" i="4"/>
  <c r="N272" i="4" s="1"/>
  <c r="AA61" i="4"/>
  <c r="AC61" i="4" s="1"/>
  <c r="N61" i="4" s="1"/>
  <c r="AA362" i="4"/>
  <c r="AB362" i="4" s="1"/>
  <c r="AC214" i="4"/>
  <c r="N214" i="4" s="1"/>
  <c r="AB214" i="4"/>
  <c r="AC162" i="4"/>
  <c r="N162" i="4" s="1"/>
  <c r="AB162" i="4"/>
  <c r="AC498" i="4"/>
  <c r="N498" i="4" s="1"/>
  <c r="AB498" i="4"/>
  <c r="AB369" i="4"/>
  <c r="AC369" i="4"/>
  <c r="N369" i="4" s="1"/>
  <c r="AB186" i="4"/>
  <c r="AC186" i="4"/>
  <c r="N186" i="4" s="1"/>
  <c r="AB434" i="4"/>
  <c r="AC434" i="4"/>
  <c r="N434" i="4" s="1"/>
  <c r="AC154" i="4"/>
  <c r="N154" i="4" s="1"/>
  <c r="AB154" i="4"/>
  <c r="AB438" i="4"/>
  <c r="AC438" i="4"/>
  <c r="N438" i="4" s="1"/>
  <c r="AB409" i="4"/>
  <c r="AC409" i="4"/>
  <c r="N409" i="4" s="1"/>
  <c r="AB246" i="4"/>
  <c r="AC246" i="4"/>
  <c r="N246" i="4" s="1"/>
  <c r="AC267" i="4"/>
  <c r="N267" i="4" s="1"/>
  <c r="AB267" i="4"/>
  <c r="AB502" i="4"/>
  <c r="AC502" i="4"/>
  <c r="N502" i="4" s="1"/>
  <c r="AC283" i="4"/>
  <c r="N283" i="4" s="1"/>
  <c r="AB283" i="4"/>
  <c r="AC378" i="4"/>
  <c r="N378" i="4" s="1"/>
  <c r="AB378" i="4"/>
  <c r="AB27" i="4"/>
  <c r="AC27" i="4"/>
  <c r="N27" i="4" s="1"/>
  <c r="AC316" i="4"/>
  <c r="N316" i="4" s="1"/>
  <c r="AB316" i="4"/>
  <c r="AC293" i="4"/>
  <c r="N293" i="4" s="1"/>
  <c r="AB293" i="4"/>
  <c r="AB484" i="4"/>
  <c r="AC484" i="4"/>
  <c r="N484" i="4" s="1"/>
  <c r="AA205" i="4"/>
  <c r="AC205" i="4" s="1"/>
  <c r="N205" i="4" s="1"/>
  <c r="AB71" i="4"/>
  <c r="AC71" i="4"/>
  <c r="N71" i="4" s="1"/>
  <c r="AB230" i="4"/>
  <c r="AC230" i="4"/>
  <c r="N230" i="4" s="1"/>
  <c r="AC147" i="4"/>
  <c r="N147" i="4" s="1"/>
  <c r="AB147" i="4"/>
  <c r="AC48" i="4"/>
  <c r="N48" i="4" s="1"/>
  <c r="AB48" i="4"/>
  <c r="AC165" i="4"/>
  <c r="N165" i="4" s="1"/>
  <c r="AB165" i="4"/>
  <c r="AC37" i="4"/>
  <c r="N37" i="4" s="1"/>
  <c r="AB37" i="4"/>
  <c r="AC426" i="4"/>
  <c r="N426" i="4" s="1"/>
  <c r="AB426" i="4"/>
  <c r="AC218" i="4"/>
  <c r="N218" i="4" s="1"/>
  <c r="AB218" i="4"/>
  <c r="AB153" i="4"/>
  <c r="AC153" i="4"/>
  <c r="N153" i="4" s="1"/>
  <c r="AB454" i="4"/>
  <c r="AC454" i="4"/>
  <c r="N454" i="4" s="1"/>
  <c r="AB144" i="4"/>
  <c r="AC144" i="4"/>
  <c r="N144" i="4" s="1"/>
  <c r="AC428" i="4"/>
  <c r="N428" i="4" s="1"/>
  <c r="AB428" i="4"/>
  <c r="AB45" i="4"/>
  <c r="AC45" i="4"/>
  <c r="N45" i="4" s="1"/>
  <c r="AB199" i="4"/>
  <c r="AC199" i="4"/>
  <c r="N199" i="4" s="1"/>
  <c r="AC83" i="4"/>
  <c r="N83" i="4" s="1"/>
  <c r="AB83" i="4"/>
  <c r="AA384" i="4"/>
  <c r="AB384" i="4" s="1"/>
  <c r="AB365" i="4"/>
  <c r="AC365" i="4"/>
  <c r="N365" i="4" s="1"/>
  <c r="AC436" i="4"/>
  <c r="N436" i="4" s="1"/>
  <c r="AB436" i="4"/>
  <c r="AB47" i="4"/>
  <c r="AC47" i="4"/>
  <c r="N47" i="4" s="1"/>
  <c r="AB346" i="4"/>
  <c r="AC346" i="4"/>
  <c r="N346" i="4" s="1"/>
  <c r="AB435" i="4"/>
  <c r="AC435" i="4"/>
  <c r="N435" i="4" s="1"/>
  <c r="AB94" i="4"/>
  <c r="AC94" i="4"/>
  <c r="N94" i="4" s="1"/>
  <c r="AB280" i="4"/>
  <c r="AC280" i="4"/>
  <c r="N280" i="4" s="1"/>
  <c r="AB467" i="4"/>
  <c r="AC467" i="4"/>
  <c r="N467" i="4" s="1"/>
  <c r="AB420" i="4"/>
  <c r="AC420" i="4"/>
  <c r="N420" i="4" s="1"/>
  <c r="AC233" i="4"/>
  <c r="N233" i="4" s="1"/>
  <c r="AB233" i="4"/>
  <c r="AB207" i="4"/>
  <c r="AC207" i="4"/>
  <c r="N207" i="4" s="1"/>
  <c r="AB317" i="4"/>
  <c r="AC317" i="4"/>
  <c r="N317" i="4" s="1"/>
  <c r="AB206" i="4"/>
  <c r="AC206" i="4"/>
  <c r="N206" i="4" s="1"/>
  <c r="AC400" i="4"/>
  <c r="N400" i="4" s="1"/>
  <c r="AB400" i="4"/>
  <c r="AC357" i="4"/>
  <c r="N357" i="4" s="1"/>
  <c r="AB357" i="4"/>
  <c r="AB331" i="4"/>
  <c r="AC331" i="4"/>
  <c r="N331" i="4" s="1"/>
  <c r="AB156" i="4"/>
  <c r="AC156" i="4"/>
  <c r="N156" i="4" s="1"/>
  <c r="AB49" i="4"/>
  <c r="AC49" i="4"/>
  <c r="N49" i="4" s="1"/>
  <c r="AC355" i="4"/>
  <c r="N355" i="4" s="1"/>
  <c r="AB355" i="4"/>
  <c r="AC444" i="4"/>
  <c r="N444" i="4" s="1"/>
  <c r="AB444" i="4"/>
  <c r="AC197" i="4"/>
  <c r="N197" i="4" s="1"/>
  <c r="AB197" i="4"/>
  <c r="AC499" i="4"/>
  <c r="N499" i="4" s="1"/>
  <c r="AB499" i="4"/>
  <c r="AB159" i="4"/>
  <c r="AC159" i="4"/>
  <c r="N159" i="4" s="1"/>
  <c r="AC276" i="4"/>
  <c r="N276" i="4" s="1"/>
  <c r="AB276" i="4"/>
  <c r="AB171" i="4"/>
  <c r="AC171" i="4"/>
  <c r="N171" i="4" s="1"/>
  <c r="AB192" i="4"/>
  <c r="AC192" i="4"/>
  <c r="N192" i="4" s="1"/>
  <c r="AB266" i="4"/>
  <c r="AC266" i="4"/>
  <c r="N266" i="4" s="1"/>
  <c r="AB368" i="4"/>
  <c r="AC368" i="4"/>
  <c r="N368" i="4" s="1"/>
  <c r="AC391" i="4"/>
  <c r="N391" i="4" s="1"/>
  <c r="AB391" i="4"/>
  <c r="AC417" i="4"/>
  <c r="N417" i="4" s="1"/>
  <c r="AB417" i="4"/>
  <c r="AC124" i="4"/>
  <c r="N124" i="4" s="1"/>
  <c r="AB124" i="4"/>
  <c r="AB11" i="4"/>
  <c r="AC11" i="4"/>
  <c r="N11" i="4" s="1"/>
  <c r="AB128" i="4"/>
  <c r="AC128" i="4"/>
  <c r="N128" i="4" s="1"/>
  <c r="AB95" i="4"/>
  <c r="AC95" i="4"/>
  <c r="N95" i="4" s="1"/>
  <c r="AC397" i="4"/>
  <c r="N397" i="4" s="1"/>
  <c r="AB397" i="4"/>
  <c r="AB16" i="4"/>
  <c r="AC16" i="4"/>
  <c r="N16" i="4" s="1"/>
  <c r="AC496" i="4"/>
  <c r="N496" i="4" s="1"/>
  <c r="AB496" i="4"/>
  <c r="AB414" i="4"/>
  <c r="AC414" i="4"/>
  <c r="N414" i="4" s="1"/>
  <c r="AC178" i="4"/>
  <c r="N178" i="4" s="1"/>
  <c r="AB178" i="4"/>
  <c r="AB309" i="4"/>
  <c r="AC309" i="4"/>
  <c r="N309" i="4" s="1"/>
  <c r="AB8" i="4"/>
  <c r="AC8" i="4"/>
  <c r="N8" i="4" s="1"/>
  <c r="AB452" i="4"/>
  <c r="AC452" i="4"/>
  <c r="N452" i="4" s="1"/>
  <c r="AB310" i="4"/>
  <c r="AC310" i="4"/>
  <c r="N310" i="4" s="1"/>
  <c r="V338" i="4"/>
  <c r="W338" i="4"/>
  <c r="AB318" i="4"/>
  <c r="AC318" i="4"/>
  <c r="N318" i="4" s="1"/>
  <c r="AB160" i="4"/>
  <c r="AC160" i="4"/>
  <c r="N160" i="4" s="1"/>
  <c r="W117" i="4"/>
  <c r="V117" i="4"/>
  <c r="AA117" i="4"/>
  <c r="W126" i="4"/>
  <c r="V126" i="4"/>
  <c r="AB308" i="4"/>
  <c r="AC308" i="4"/>
  <c r="N308" i="4" s="1"/>
  <c r="AB375" i="4"/>
  <c r="AC375" i="4"/>
  <c r="N375" i="4" s="1"/>
  <c r="AC382" i="4"/>
  <c r="N382" i="4" s="1"/>
  <c r="AB382" i="4"/>
  <c r="V51" i="4"/>
  <c r="W51" i="4"/>
  <c r="AB187" i="4"/>
  <c r="AC187" i="4"/>
  <c r="N187" i="4" s="1"/>
  <c r="AB381" i="4"/>
  <c r="AC381" i="4"/>
  <c r="N381" i="4" s="1"/>
  <c r="W364" i="4"/>
  <c r="V364" i="4"/>
  <c r="AA81" i="4"/>
  <c r="AA343" i="4"/>
  <c r="W183" i="4"/>
  <c r="V183" i="4"/>
  <c r="W241" i="4"/>
  <c r="AA241" i="4"/>
  <c r="V241" i="4"/>
  <c r="AC274" i="4"/>
  <c r="N274" i="4" s="1"/>
  <c r="AB274" i="4"/>
  <c r="AB320" i="4"/>
  <c r="AC320" i="4"/>
  <c r="N320" i="4" s="1"/>
  <c r="V137" i="4"/>
  <c r="W137" i="4"/>
  <c r="AA137" i="4"/>
  <c r="AB25" i="4"/>
  <c r="AC25" i="4"/>
  <c r="N25" i="4" s="1"/>
  <c r="AC408" i="4"/>
  <c r="N408" i="4" s="1"/>
  <c r="AB408" i="4"/>
  <c r="AB96" i="4"/>
  <c r="AC96" i="4"/>
  <c r="N96" i="4" s="1"/>
  <c r="AC366" i="4"/>
  <c r="N366" i="4" s="1"/>
  <c r="AB366" i="4"/>
  <c r="AC377" i="4"/>
  <c r="N377" i="4" s="1"/>
  <c r="AB377" i="4"/>
  <c r="AC151" i="4"/>
  <c r="N151" i="4" s="1"/>
  <c r="AB151" i="4"/>
  <c r="AB100" i="4"/>
  <c r="AC100" i="4"/>
  <c r="N100" i="4" s="1"/>
  <c r="AB125" i="4"/>
  <c r="AC125" i="4"/>
  <c r="N125" i="4" s="1"/>
  <c r="AC497" i="4"/>
  <c r="N497" i="4" s="1"/>
  <c r="AB497" i="4"/>
  <c r="AC91" i="4"/>
  <c r="N91" i="4" s="1"/>
  <c r="AB91" i="4"/>
  <c r="AB119" i="4"/>
  <c r="AC119" i="4"/>
  <c r="N119" i="4" s="1"/>
  <c r="AB479" i="4"/>
  <c r="AC479" i="4"/>
  <c r="N479" i="4" s="1"/>
  <c r="V32" i="4"/>
  <c r="AA32" i="4"/>
  <c r="W32" i="4"/>
  <c r="AC448" i="4"/>
  <c r="N448" i="4" s="1"/>
  <c r="AB448" i="4"/>
  <c r="AC396" i="4"/>
  <c r="N396" i="4" s="1"/>
  <c r="AB396" i="4"/>
  <c r="V191" i="4"/>
  <c r="W191" i="4"/>
  <c r="W61" i="4"/>
  <c r="V61" i="4"/>
  <c r="V372" i="4"/>
  <c r="W372" i="4"/>
  <c r="AC339" i="4"/>
  <c r="N339" i="4" s="1"/>
  <c r="AB339" i="4"/>
  <c r="AC60" i="4"/>
  <c r="N60" i="4" s="1"/>
  <c r="AB60" i="4"/>
  <c r="V463" i="4"/>
  <c r="W463" i="4"/>
  <c r="V17" i="4"/>
  <c r="W17" i="4"/>
  <c r="AC458" i="4"/>
  <c r="N458" i="4" s="1"/>
  <c r="AB458" i="4"/>
  <c r="AB429" i="4"/>
  <c r="AC429" i="4"/>
  <c r="N429" i="4" s="1"/>
  <c r="AC432" i="4"/>
  <c r="N432" i="4" s="1"/>
  <c r="AB432" i="4"/>
  <c r="V81" i="4"/>
  <c r="W81" i="4"/>
  <c r="AB430" i="4"/>
  <c r="AC430" i="4"/>
  <c r="N430" i="4" s="1"/>
  <c r="AB155" i="4"/>
  <c r="AC155" i="4"/>
  <c r="N155" i="4" s="1"/>
  <c r="AC284" i="4"/>
  <c r="N284" i="4" s="1"/>
  <c r="AB284" i="4"/>
  <c r="AB73" i="4"/>
  <c r="AC73" i="4"/>
  <c r="N73" i="4" s="1"/>
  <c r="AC328" i="4"/>
  <c r="N328" i="4" s="1"/>
  <c r="AB328" i="4"/>
  <c r="AB177" i="4"/>
  <c r="AC177" i="4"/>
  <c r="N177" i="4" s="1"/>
  <c r="AC388" i="4"/>
  <c r="N388" i="4" s="1"/>
  <c r="AB388" i="4"/>
  <c r="AB500" i="4"/>
  <c r="AC500" i="4"/>
  <c r="N500" i="4" s="1"/>
  <c r="AC168" i="4"/>
  <c r="N168" i="4" s="1"/>
  <c r="AB168" i="4"/>
  <c r="AB131" i="4"/>
  <c r="AC131" i="4"/>
  <c r="N131" i="4" s="1"/>
  <c r="AC140" i="4"/>
  <c r="N140" i="4" s="1"/>
  <c r="AB140" i="4"/>
  <c r="AC456" i="4"/>
  <c r="N456" i="4" s="1"/>
  <c r="AB456" i="4"/>
  <c r="AC110" i="4"/>
  <c r="N110" i="4" s="1"/>
  <c r="AB110" i="4"/>
  <c r="AC464" i="4"/>
  <c r="N464" i="4" s="1"/>
  <c r="AB464" i="4"/>
  <c r="AC275" i="4"/>
  <c r="N275" i="4" s="1"/>
  <c r="AB275" i="4"/>
  <c r="AB354" i="4"/>
  <c r="AC354" i="4"/>
  <c r="N354" i="4" s="1"/>
  <c r="AC222" i="4"/>
  <c r="N222" i="4" s="1"/>
  <c r="AB222" i="4"/>
  <c r="AB347" i="4"/>
  <c r="AC347" i="4"/>
  <c r="N347" i="4" s="1"/>
  <c r="AA239" i="4"/>
  <c r="AA141" i="4"/>
  <c r="AC182" i="4"/>
  <c r="N182" i="4" s="1"/>
  <c r="AB182" i="4"/>
  <c r="W130" i="4"/>
  <c r="V130" i="4"/>
  <c r="AA488" i="4"/>
  <c r="AA469" i="4"/>
  <c r="AA185" i="4"/>
  <c r="AA219" i="4"/>
  <c r="W286" i="4"/>
  <c r="V286" i="4"/>
  <c r="V181" i="4"/>
  <c r="W181" i="4"/>
  <c r="AC225" i="4"/>
  <c r="N225" i="4" s="1"/>
  <c r="AB225" i="4"/>
  <c r="AB360" i="4"/>
  <c r="AC360" i="4"/>
  <c r="N360" i="4" s="1"/>
  <c r="AC412" i="4"/>
  <c r="N412" i="4" s="1"/>
  <c r="AB412" i="4"/>
  <c r="AB114" i="4"/>
  <c r="AC114" i="4"/>
  <c r="N114" i="4" s="1"/>
  <c r="AB89" i="4"/>
  <c r="AC89" i="4"/>
  <c r="N89" i="4" s="1"/>
  <c r="AB134" i="4"/>
  <c r="AC134" i="4"/>
  <c r="N134" i="4" s="1"/>
  <c r="AC390" i="4"/>
  <c r="N390" i="4" s="1"/>
  <c r="AB390" i="4"/>
  <c r="AB472" i="4"/>
  <c r="AC472" i="4"/>
  <c r="N472" i="4" s="1"/>
  <c r="AC361" i="4"/>
  <c r="N361" i="4" s="1"/>
  <c r="AB361" i="4"/>
  <c r="AB24" i="4"/>
  <c r="AC24" i="4"/>
  <c r="N24" i="4" s="1"/>
  <c r="AC465" i="4"/>
  <c r="N465" i="4" s="1"/>
  <c r="AB465" i="4"/>
  <c r="AC376" i="4"/>
  <c r="N376" i="4" s="1"/>
  <c r="AB376" i="4"/>
  <c r="AB392" i="4"/>
  <c r="AC392" i="4"/>
  <c r="N392" i="4" s="1"/>
  <c r="AB173" i="4"/>
  <c r="AC173" i="4"/>
  <c r="N173" i="4" s="1"/>
  <c r="AB180" i="4"/>
  <c r="AC180" i="4"/>
  <c r="N180" i="4" s="1"/>
  <c r="AC76" i="4"/>
  <c r="N76" i="4" s="1"/>
  <c r="AB76" i="4"/>
  <c r="AC242" i="4"/>
  <c r="N242" i="4" s="1"/>
  <c r="AB242" i="4"/>
  <c r="W239" i="4"/>
  <c r="V239" i="4"/>
  <c r="V141" i="4"/>
  <c r="W141" i="4"/>
  <c r="AC439" i="4"/>
  <c r="N439" i="4" s="1"/>
  <c r="AB439" i="4"/>
  <c r="V488" i="4"/>
  <c r="W488" i="4"/>
  <c r="W469" i="4"/>
  <c r="V469" i="4"/>
  <c r="AB58" i="4"/>
  <c r="AC58" i="4"/>
  <c r="N58" i="4" s="1"/>
  <c r="AA487" i="4"/>
  <c r="W487" i="4"/>
  <c r="V487" i="4"/>
  <c r="AC440" i="4"/>
  <c r="N440" i="4" s="1"/>
  <c r="AB440" i="4"/>
  <c r="V185" i="4"/>
  <c r="W185" i="4"/>
  <c r="V219" i="4"/>
  <c r="W219" i="4"/>
  <c r="AC302" i="4"/>
  <c r="N302" i="4" s="1"/>
  <c r="AB302" i="4"/>
  <c r="AB410" i="4"/>
  <c r="AC410" i="4"/>
  <c r="N410" i="4" s="1"/>
  <c r="AC311" i="4"/>
  <c r="N311" i="4" s="1"/>
  <c r="AB311" i="4"/>
  <c r="V343" i="4"/>
  <c r="W343" i="4"/>
  <c r="AC401" i="4"/>
  <c r="N401" i="4" s="1"/>
  <c r="AB401" i="4"/>
  <c r="AC427" i="4"/>
  <c r="N427" i="4" s="1"/>
  <c r="AB427" i="4"/>
  <c r="AB326" i="4"/>
  <c r="AC326" i="4"/>
  <c r="N326" i="4" s="1"/>
  <c r="AB20" i="4"/>
  <c r="AC20" i="4"/>
  <c r="N20" i="4" s="1"/>
  <c r="AB281" i="4"/>
  <c r="AC281" i="4"/>
  <c r="N281" i="4" s="1"/>
  <c r="AC449" i="4"/>
  <c r="N449" i="4" s="1"/>
  <c r="AB449" i="4"/>
  <c r="AC424" i="4"/>
  <c r="N424" i="4" s="1"/>
  <c r="AB424" i="4"/>
  <c r="AC33" i="4"/>
  <c r="N33" i="4" s="1"/>
  <c r="AB33" i="4"/>
  <c r="AC262" i="4"/>
  <c r="N262" i="4" s="1"/>
  <c r="AB262" i="4"/>
  <c r="AC174" i="4"/>
  <c r="N174" i="4" s="1"/>
  <c r="AB174" i="4"/>
  <c r="AB332" i="4"/>
  <c r="AC332" i="4"/>
  <c r="N332" i="4" s="1"/>
  <c r="AB224" i="4"/>
  <c r="AC224" i="4"/>
  <c r="N224" i="4" s="1"/>
  <c r="AC201" i="4"/>
  <c r="N201" i="4" s="1"/>
  <c r="AB201" i="4"/>
  <c r="AB167" i="4"/>
  <c r="AC167" i="4"/>
  <c r="N167" i="4" s="1"/>
  <c r="AB471" i="4"/>
  <c r="AC471" i="4"/>
  <c r="N471" i="4" s="1"/>
  <c r="AA18" i="4"/>
  <c r="AA492" i="4"/>
  <c r="V269" i="4"/>
  <c r="AA269" i="4"/>
  <c r="W269" i="4"/>
  <c r="AC489" i="4"/>
  <c r="N489" i="4" s="1"/>
  <c r="AB489" i="4"/>
  <c r="V437" i="4"/>
  <c r="W437" i="4"/>
  <c r="AA38" i="4"/>
  <c r="V38" i="4"/>
  <c r="W38" i="4"/>
  <c r="V362" i="4"/>
  <c r="W362" i="4"/>
  <c r="AB371" i="4"/>
  <c r="AC371" i="4"/>
  <c r="N371" i="4" s="1"/>
  <c r="AC195" i="4"/>
  <c r="N195" i="4" s="1"/>
  <c r="AB195" i="4"/>
  <c r="AC29" i="4"/>
  <c r="N29" i="4" s="1"/>
  <c r="AB29" i="4"/>
  <c r="AC19" i="4"/>
  <c r="N19" i="4" s="1"/>
  <c r="AB19" i="4"/>
  <c r="AC228" i="4"/>
  <c r="N228" i="4" s="1"/>
  <c r="AB228" i="4"/>
  <c r="AC294" i="4"/>
  <c r="N294" i="4" s="1"/>
  <c r="AB294" i="4"/>
  <c r="AB495" i="4"/>
  <c r="AC495" i="4"/>
  <c r="N495" i="4" s="1"/>
  <c r="AB423" i="4"/>
  <c r="AC423" i="4"/>
  <c r="N423" i="4" s="1"/>
  <c r="AC493" i="4"/>
  <c r="N493" i="4" s="1"/>
  <c r="AB493" i="4"/>
  <c r="AB53" i="4"/>
  <c r="AC53" i="4"/>
  <c r="N53" i="4" s="1"/>
  <c r="AB202" i="4"/>
  <c r="AC202" i="4"/>
  <c r="N202" i="4" s="1"/>
  <c r="AB161" i="4"/>
  <c r="AC161" i="4"/>
  <c r="N161" i="4" s="1"/>
  <c r="W18" i="4"/>
  <c r="V18" i="4"/>
  <c r="AC265" i="4"/>
  <c r="N265" i="4" s="1"/>
  <c r="AB265" i="4"/>
  <c r="W492" i="4"/>
  <c r="V492" i="4"/>
  <c r="AA315" i="4"/>
  <c r="AC270" i="4"/>
  <c r="N270" i="4" s="1"/>
  <c r="AB270" i="4"/>
  <c r="AA59" i="4"/>
  <c r="AB404" i="4"/>
  <c r="AC404" i="4"/>
  <c r="N404" i="4" s="1"/>
  <c r="W205" i="4"/>
  <c r="V205" i="4"/>
  <c r="AA217" i="4"/>
  <c r="V273" i="4"/>
  <c r="W273" i="4"/>
  <c r="AA7" i="4"/>
  <c r="AC79" i="4"/>
  <c r="N79" i="4" s="1"/>
  <c r="AB79" i="4"/>
  <c r="AB204" i="4"/>
  <c r="AC204" i="4"/>
  <c r="N204" i="4" s="1"/>
  <c r="AB72" i="4"/>
  <c r="AC72" i="4"/>
  <c r="N72" i="4" s="1"/>
  <c r="AC109" i="4"/>
  <c r="N109" i="4" s="1"/>
  <c r="AB109" i="4"/>
  <c r="AB474" i="4"/>
  <c r="AC474" i="4"/>
  <c r="N474" i="4" s="1"/>
  <c r="AC5" i="4"/>
  <c r="N5" i="4" s="1"/>
  <c r="AB5" i="4"/>
  <c r="AB216" i="4"/>
  <c r="AC216" i="4"/>
  <c r="N216" i="4" s="1"/>
  <c r="AB441" i="4"/>
  <c r="AC441" i="4"/>
  <c r="N441" i="4" s="1"/>
  <c r="AC352" i="4"/>
  <c r="N352" i="4" s="1"/>
  <c r="AB352" i="4"/>
  <c r="AC373" i="4"/>
  <c r="N373" i="4" s="1"/>
  <c r="AB373" i="4"/>
  <c r="W315" i="4"/>
  <c r="V315" i="4"/>
  <c r="W59" i="4"/>
  <c r="V59" i="4"/>
  <c r="AC118" i="4"/>
  <c r="N118" i="4" s="1"/>
  <c r="AB118" i="4"/>
  <c r="V217" i="4"/>
  <c r="W217" i="4"/>
  <c r="AC490" i="4"/>
  <c r="N490" i="4" s="1"/>
  <c r="AB490" i="4"/>
  <c r="AA148" i="4"/>
  <c r="AB158" i="4"/>
  <c r="AC158" i="4"/>
  <c r="N158" i="4" s="1"/>
  <c r="V7" i="4"/>
  <c r="W7" i="4"/>
  <c r="AC254" i="4"/>
  <c r="N254" i="4" s="1"/>
  <c r="AB254" i="4"/>
  <c r="AB462" i="4"/>
  <c r="AC462" i="4"/>
  <c r="N462" i="4" s="1"/>
  <c r="AC68" i="4"/>
  <c r="N68" i="4" s="1"/>
  <c r="AB68" i="4"/>
  <c r="AB258" i="4"/>
  <c r="AC258" i="4"/>
  <c r="N258" i="4" s="1"/>
  <c r="AB451" i="4"/>
  <c r="AC451" i="4"/>
  <c r="N451" i="4" s="1"/>
  <c r="AC504" i="4"/>
  <c r="N504" i="4" s="1"/>
  <c r="AB504" i="4"/>
  <c r="AC312" i="4"/>
  <c r="N312" i="4" s="1"/>
  <c r="AB312" i="4"/>
  <c r="AC287" i="4"/>
  <c r="N287" i="4" s="1"/>
  <c r="AB287" i="4"/>
  <c r="AC277" i="4"/>
  <c r="N277" i="4" s="1"/>
  <c r="AB277" i="4"/>
  <c r="AB209" i="4"/>
  <c r="AC209" i="4"/>
  <c r="N209" i="4" s="1"/>
  <c r="AC98" i="4"/>
  <c r="N98" i="4" s="1"/>
  <c r="AB98" i="4"/>
  <c r="AB387" i="4"/>
  <c r="AC387" i="4"/>
  <c r="N387" i="4" s="1"/>
  <c r="AC379" i="4"/>
  <c r="N379" i="4" s="1"/>
  <c r="AB379" i="4"/>
  <c r="AB227" i="4"/>
  <c r="AC227" i="4"/>
  <c r="N227" i="4" s="1"/>
  <c r="W101" i="4"/>
  <c r="V101" i="4"/>
  <c r="W210" i="4"/>
  <c r="V210" i="4"/>
  <c r="AB87" i="4"/>
  <c r="AC87" i="4"/>
  <c r="N87" i="4" s="1"/>
  <c r="V148" i="4"/>
  <c r="W148" i="4"/>
  <c r="AA271" i="4"/>
  <c r="AB77" i="4"/>
  <c r="AC77" i="4"/>
  <c r="N77" i="4" s="1"/>
  <c r="AB419" i="4"/>
  <c r="AC419" i="4"/>
  <c r="N419" i="4" s="1"/>
  <c r="AB21" i="4"/>
  <c r="AC21" i="4"/>
  <c r="N21" i="4" s="1"/>
  <c r="AB433" i="4"/>
  <c r="AC433" i="4"/>
  <c r="N433" i="4" s="1"/>
  <c r="AC121" i="4"/>
  <c r="N121" i="4" s="1"/>
  <c r="AB121" i="4"/>
  <c r="AC115" i="4"/>
  <c r="N115" i="4" s="1"/>
  <c r="AB115" i="4"/>
  <c r="AC123" i="4"/>
  <c r="N123" i="4" s="1"/>
  <c r="AB123" i="4"/>
  <c r="AC105" i="4"/>
  <c r="N105" i="4" s="1"/>
  <c r="AB105" i="4"/>
  <c r="AC211" i="4"/>
  <c r="N211" i="4" s="1"/>
  <c r="AB211" i="4"/>
  <c r="AC358" i="4"/>
  <c r="N358" i="4" s="1"/>
  <c r="AB358" i="4"/>
  <c r="AB133" i="4"/>
  <c r="AC133" i="4"/>
  <c r="N133" i="4" s="1"/>
  <c r="AB386" i="4"/>
  <c r="AC386" i="4"/>
  <c r="N386" i="4" s="1"/>
  <c r="AB103" i="4"/>
  <c r="AC103" i="4"/>
  <c r="N103" i="4" s="1"/>
  <c r="AC324" i="4"/>
  <c r="N324" i="4" s="1"/>
  <c r="AB324" i="4"/>
  <c r="AC445" i="4"/>
  <c r="N445" i="4" s="1"/>
  <c r="AB445" i="4"/>
  <c r="AC446" i="4"/>
  <c r="N446" i="4" s="1"/>
  <c r="AB446" i="4"/>
  <c r="AB184" i="4"/>
  <c r="AC184" i="4"/>
  <c r="N184" i="4" s="1"/>
  <c r="AB238" i="4"/>
  <c r="AC238" i="4"/>
  <c r="N238" i="4" s="1"/>
  <c r="AB461" i="4"/>
  <c r="AC461" i="4"/>
  <c r="N461" i="4" s="1"/>
  <c r="AB482" i="4"/>
  <c r="AC482" i="4"/>
  <c r="N482" i="4" s="1"/>
  <c r="AB411" i="4"/>
  <c r="AC411" i="4"/>
  <c r="N411" i="4" s="1"/>
  <c r="W344" i="4"/>
  <c r="V344" i="4"/>
  <c r="W251" i="4"/>
  <c r="V251" i="4"/>
  <c r="AA340" i="4"/>
  <c r="W345" i="4"/>
  <c r="AA345" i="4"/>
  <c r="V345" i="4"/>
  <c r="AC289" i="4"/>
  <c r="N289" i="4" s="1"/>
  <c r="AB289" i="4"/>
  <c r="W111" i="4"/>
  <c r="V111" i="4"/>
  <c r="V384" i="4"/>
  <c r="W384" i="4"/>
  <c r="AA43" i="4"/>
  <c r="W43" i="4"/>
  <c r="V43" i="4"/>
  <c r="W194" i="4"/>
  <c r="V194" i="4"/>
  <c r="W271" i="4"/>
  <c r="V271" i="4"/>
  <c r="V457" i="4"/>
  <c r="W457" i="4"/>
  <c r="AC6" i="4"/>
  <c r="N6" i="4" s="1"/>
  <c r="AB6" i="4"/>
  <c r="AB325" i="4"/>
  <c r="AC325" i="4"/>
  <c r="N325" i="4" s="1"/>
  <c r="AC12" i="4"/>
  <c r="N12" i="4" s="1"/>
  <c r="AB12" i="4"/>
  <c r="AB447" i="4"/>
  <c r="AC447" i="4"/>
  <c r="N447" i="4" s="1"/>
  <c r="AC307" i="4"/>
  <c r="N307" i="4" s="1"/>
  <c r="AB307" i="4"/>
  <c r="AC319" i="4"/>
  <c r="N319" i="4" s="1"/>
  <c r="AB319" i="4"/>
  <c r="AB10" i="4"/>
  <c r="AC10" i="4"/>
  <c r="N10" i="4" s="1"/>
  <c r="AC306" i="4"/>
  <c r="N306" i="4" s="1"/>
  <c r="AB306" i="4"/>
  <c r="AB129" i="4"/>
  <c r="AC129" i="4"/>
  <c r="N129" i="4" s="1"/>
  <c r="AB363" i="4"/>
  <c r="AC363" i="4"/>
  <c r="N363" i="4" s="1"/>
  <c r="AB55" i="4"/>
  <c r="AC55" i="4"/>
  <c r="N55" i="4" s="1"/>
  <c r="AC349" i="4"/>
  <c r="N349" i="4" s="1"/>
  <c r="AB349" i="4"/>
  <c r="AB394" i="4"/>
  <c r="AC394" i="4"/>
  <c r="N394" i="4" s="1"/>
  <c r="AB85" i="4"/>
  <c r="AC85" i="4"/>
  <c r="N85" i="4" s="1"/>
  <c r="AC142" i="4"/>
  <c r="N142" i="4" s="1"/>
  <c r="AB142" i="4"/>
  <c r="AC342" i="4"/>
  <c r="N342" i="4" s="1"/>
  <c r="AB342" i="4"/>
  <c r="AA477" i="4"/>
  <c r="AB120" i="4"/>
  <c r="AC120" i="4"/>
  <c r="N120" i="4" s="1"/>
  <c r="AA63" i="4"/>
  <c r="W340" i="4"/>
  <c r="V340" i="4"/>
  <c r="AB337" i="4"/>
  <c r="AC337" i="4"/>
  <c r="N337" i="4" s="1"/>
  <c r="AA80" i="4"/>
  <c r="AA494" i="4"/>
  <c r="AC322" i="4"/>
  <c r="N322" i="4" s="1"/>
  <c r="AB322" i="4"/>
  <c r="AB455" i="4"/>
  <c r="AC455" i="4"/>
  <c r="N455" i="4" s="1"/>
  <c r="V188" i="4"/>
  <c r="W188" i="4"/>
  <c r="AA188" i="4"/>
  <c r="AC203" i="4"/>
  <c r="N203" i="4" s="1"/>
  <c r="AB203" i="4"/>
  <c r="AA84" i="4"/>
  <c r="AA247" i="4"/>
  <c r="W189" i="4"/>
  <c r="V189" i="4"/>
  <c r="AC86" i="4"/>
  <c r="N86" i="4" s="1"/>
  <c r="AB86" i="4"/>
  <c r="AB297" i="4"/>
  <c r="AC297" i="4"/>
  <c r="N297" i="4" s="1"/>
  <c r="AB353" i="4"/>
  <c r="AC353" i="4"/>
  <c r="N353" i="4" s="1"/>
  <c r="AB143" i="4"/>
  <c r="AC143" i="4"/>
  <c r="N143" i="4" s="1"/>
  <c r="AB413" i="4"/>
  <c r="AC413" i="4"/>
  <c r="N413" i="4" s="1"/>
  <c r="AC350" i="4"/>
  <c r="N350" i="4" s="1"/>
  <c r="AB350" i="4"/>
  <c r="AC74" i="4"/>
  <c r="N74" i="4" s="1"/>
  <c r="AB74" i="4"/>
  <c r="AB223" i="4"/>
  <c r="AC223" i="4"/>
  <c r="N223" i="4" s="1"/>
  <c r="AC78" i="4"/>
  <c r="N78" i="4" s="1"/>
  <c r="AB78" i="4"/>
  <c r="AB398" i="4"/>
  <c r="AC398" i="4"/>
  <c r="N398" i="4" s="1"/>
  <c r="AB279" i="4"/>
  <c r="AC279" i="4"/>
  <c r="N279" i="4" s="1"/>
  <c r="AC301" i="4"/>
  <c r="N301" i="4" s="1"/>
  <c r="AB301" i="4"/>
  <c r="AB35" i="4"/>
  <c r="AC35" i="4"/>
  <c r="N35" i="4" s="1"/>
  <c r="V477" i="4"/>
  <c r="W477" i="4"/>
  <c r="V63" i="4"/>
  <c r="W63" i="4"/>
  <c r="W80" i="4"/>
  <c r="V80" i="4"/>
  <c r="V494" i="4"/>
  <c r="W494" i="4"/>
  <c r="AB51" i="4"/>
  <c r="AC51" i="4"/>
  <c r="N51" i="4" s="1"/>
  <c r="AC486" i="4"/>
  <c r="N486" i="4" s="1"/>
  <c r="AB486" i="4"/>
  <c r="AC264" i="4"/>
  <c r="N264" i="4" s="1"/>
  <c r="AB264" i="4"/>
  <c r="AC443" i="4"/>
  <c r="N443" i="4" s="1"/>
  <c r="AB443" i="4"/>
  <c r="W84" i="4"/>
  <c r="V84" i="4"/>
  <c r="V247" i="4"/>
  <c r="W247" i="4"/>
  <c r="V252" i="4"/>
  <c r="W252" i="4"/>
  <c r="AA252" i="4"/>
  <c r="AB463" i="4" l="1"/>
  <c r="AB457" i="4"/>
  <c r="AB61" i="4"/>
  <c r="AC364" i="4"/>
  <c r="N364" i="4" s="1"/>
  <c r="AB273" i="4"/>
  <c r="AC126" i="4"/>
  <c r="N126" i="4" s="1"/>
  <c r="AB183" i="4"/>
  <c r="AB189" i="4"/>
  <c r="AC130" i="4"/>
  <c r="N130" i="4" s="1"/>
  <c r="AB17" i="4"/>
  <c r="AC251" i="4"/>
  <c r="N251" i="4" s="1"/>
  <c r="AC181" i="4"/>
  <c r="N181" i="4" s="1"/>
  <c r="AC111" i="4"/>
  <c r="N111" i="4" s="1"/>
  <c r="AC344" i="4"/>
  <c r="N344" i="4" s="1"/>
  <c r="AC101" i="4"/>
  <c r="N101" i="4" s="1"/>
  <c r="AC286" i="4"/>
  <c r="N286" i="4" s="1"/>
  <c r="AC362" i="4"/>
  <c r="N362" i="4" s="1"/>
  <c r="AC194" i="4"/>
  <c r="N194" i="4" s="1"/>
  <c r="AC338" i="4"/>
  <c r="N338" i="4" s="1"/>
  <c r="AB372" i="4"/>
  <c r="AB210" i="4"/>
  <c r="AB191" i="4"/>
  <c r="AB205" i="4"/>
  <c r="AB437" i="4"/>
  <c r="AC384" i="4"/>
  <c r="N384" i="4" s="1"/>
  <c r="D168" i="1"/>
  <c r="D169" i="1" s="1"/>
  <c r="D171" i="1" s="1"/>
  <c r="E171" i="1" s="1"/>
  <c r="D172" i="1" s="1"/>
  <c r="D176" i="1" s="1"/>
  <c r="E176" i="1" s="1"/>
  <c r="AC63" i="4"/>
  <c r="N63" i="4" s="1"/>
  <c r="AB63" i="4"/>
  <c r="AC148" i="4"/>
  <c r="N148" i="4" s="1"/>
  <c r="AB148" i="4"/>
  <c r="AB18" i="4"/>
  <c r="AC18" i="4"/>
  <c r="N18" i="4" s="1"/>
  <c r="AC469" i="4"/>
  <c r="N469" i="4" s="1"/>
  <c r="AB469" i="4"/>
  <c r="AC81" i="4"/>
  <c r="N81" i="4" s="1"/>
  <c r="AB81" i="4"/>
  <c r="AB219" i="4"/>
  <c r="AC219" i="4"/>
  <c r="N219" i="4" s="1"/>
  <c r="AB38" i="4"/>
  <c r="AC38" i="4"/>
  <c r="N38" i="4" s="1"/>
  <c r="AB343" i="4"/>
  <c r="AC343" i="4"/>
  <c r="N343" i="4" s="1"/>
  <c r="AB488" i="4"/>
  <c r="AC488" i="4"/>
  <c r="N488" i="4" s="1"/>
  <c r="AC43" i="4"/>
  <c r="N43" i="4" s="1"/>
  <c r="AB43" i="4"/>
  <c r="AB185" i="4"/>
  <c r="AC185" i="4"/>
  <c r="N185" i="4" s="1"/>
  <c r="AB217" i="4"/>
  <c r="AC217" i="4"/>
  <c r="N217" i="4" s="1"/>
  <c r="AC315" i="4"/>
  <c r="N315" i="4" s="1"/>
  <c r="AB315" i="4"/>
  <c r="AB7" i="4"/>
  <c r="AC7" i="4"/>
  <c r="N7" i="4" s="1"/>
  <c r="AC477" i="4"/>
  <c r="N477" i="4" s="1"/>
  <c r="AB477" i="4"/>
  <c r="AC487" i="4"/>
  <c r="N487" i="4" s="1"/>
  <c r="AB487" i="4"/>
  <c r="AB492" i="4"/>
  <c r="AC492" i="4"/>
  <c r="N492" i="4" s="1"/>
  <c r="AC137" i="4"/>
  <c r="N137" i="4" s="1"/>
  <c r="AB137" i="4"/>
  <c r="AC117" i="4"/>
  <c r="N117" i="4" s="1"/>
  <c r="AB117" i="4"/>
  <c r="AB188" i="4"/>
  <c r="AC188" i="4"/>
  <c r="N188" i="4" s="1"/>
  <c r="AC494" i="4"/>
  <c r="N494" i="4" s="1"/>
  <c r="AB494" i="4"/>
  <c r="AC345" i="4"/>
  <c r="N345" i="4" s="1"/>
  <c r="AB345" i="4"/>
  <c r="AC141" i="4"/>
  <c r="N141" i="4" s="1"/>
  <c r="AB141" i="4"/>
  <c r="AC247" i="4"/>
  <c r="N247" i="4" s="1"/>
  <c r="AB247" i="4"/>
  <c r="AB59" i="4"/>
  <c r="AC59" i="4"/>
  <c r="N59" i="4" s="1"/>
  <c r="AB239" i="4"/>
  <c r="AC239" i="4"/>
  <c r="N239" i="4" s="1"/>
  <c r="AB32" i="4"/>
  <c r="AC32" i="4"/>
  <c r="N32" i="4" s="1"/>
  <c r="AC241" i="4"/>
  <c r="N241" i="4" s="1"/>
  <c r="AB241" i="4"/>
  <c r="AB80" i="4"/>
  <c r="AC80" i="4"/>
  <c r="N80" i="4" s="1"/>
  <c r="AB84" i="4"/>
  <c r="AC84" i="4"/>
  <c r="N84" i="4" s="1"/>
  <c r="AC340" i="4"/>
  <c r="N340" i="4" s="1"/>
  <c r="AB340" i="4"/>
  <c r="AC252" i="4"/>
  <c r="N252" i="4" s="1"/>
  <c r="AB252" i="4"/>
  <c r="AB271" i="4"/>
  <c r="AC271" i="4"/>
  <c r="N271" i="4" s="1"/>
  <c r="AB269" i="4"/>
  <c r="AC269" i="4"/>
  <c r="N269" i="4" s="1"/>
  <c r="D175" i="1" l="1"/>
  <c r="E175" i="1" s="1"/>
  <c r="D177" i="1" s="1"/>
  <c r="C12" i="4" s="1"/>
  <c r="D35" i="1"/>
  <c r="C10" i="4"/>
  <c r="F10" i="4"/>
  <c r="D173" i="1"/>
  <c r="E173" i="1" s="1"/>
  <c r="D174" i="1" s="1"/>
  <c r="D179" i="1" s="1"/>
  <c r="C60" i="4"/>
  <c r="C52" i="4" s="1"/>
  <c r="D52" i="4" s="1"/>
  <c r="C50" i="4" s="1"/>
  <c r="D178" i="1" l="1"/>
  <c r="C11" i="4"/>
  <c r="F12" i="4"/>
  <c r="F11" i="4"/>
  <c r="D22" i="1"/>
  <c r="D180" i="1"/>
  <c r="D24" i="1"/>
  <c r="C53" i="4"/>
  <c r="D53" i="4" s="1"/>
  <c r="C51" i="4" s="1"/>
  <c r="AH121" i="4" s="1"/>
  <c r="AD121" i="4" l="1"/>
  <c r="AF121" i="4" s="1"/>
  <c r="P121" i="4" s="1"/>
  <c r="AE121" i="4"/>
  <c r="AG121" i="4" s="1"/>
  <c r="O121" i="4" s="1"/>
  <c r="AH9" i="4"/>
  <c r="AH29" i="4"/>
  <c r="AH335" i="4"/>
  <c r="AH25" i="4"/>
  <c r="AH224" i="4"/>
  <c r="AH310" i="4"/>
  <c r="AH385" i="4"/>
  <c r="AH41" i="4"/>
  <c r="AH389" i="4"/>
  <c r="AH155" i="4"/>
  <c r="AH126" i="4"/>
  <c r="AH242" i="4"/>
  <c r="AH191" i="4"/>
  <c r="AH368" i="4"/>
  <c r="AH358" i="4"/>
  <c r="AH194" i="4"/>
  <c r="AH204" i="4"/>
  <c r="AH237" i="4"/>
  <c r="AH55" i="4"/>
  <c r="AH201" i="4"/>
  <c r="AH502" i="4"/>
  <c r="AH357" i="4"/>
  <c r="AH217" i="4"/>
  <c r="AH188" i="4"/>
  <c r="AH257" i="4"/>
  <c r="AH189" i="4"/>
  <c r="AH465" i="4"/>
  <c r="AH406" i="4"/>
  <c r="AH144" i="4"/>
  <c r="AH72" i="4"/>
  <c r="AH202" i="4"/>
  <c r="AH199" i="4"/>
  <c r="AH20" i="4"/>
  <c r="AH14" i="4"/>
  <c r="AH99" i="4"/>
  <c r="AH89" i="4"/>
  <c r="AH400" i="4"/>
  <c r="AH222" i="4"/>
  <c r="AH455" i="4"/>
  <c r="AH88" i="4"/>
  <c r="AH43" i="4"/>
  <c r="AH54" i="4"/>
  <c r="AH461" i="4"/>
  <c r="AH407" i="4"/>
  <c r="AH414" i="4"/>
  <c r="AH377" i="4"/>
  <c r="AH361" i="4"/>
  <c r="AH77" i="4"/>
  <c r="AH163" i="4"/>
  <c r="AH190" i="4"/>
  <c r="AH8" i="4"/>
  <c r="AH134" i="4"/>
  <c r="AH110" i="4"/>
  <c r="AH195" i="4"/>
  <c r="AH56" i="4"/>
  <c r="AH205" i="4"/>
  <c r="AH378" i="4"/>
  <c r="AH107" i="4"/>
  <c r="AH472" i="4"/>
  <c r="AH325" i="4"/>
  <c r="AH220" i="4"/>
  <c r="AH178" i="4"/>
  <c r="AH320" i="4"/>
  <c r="AH308" i="4"/>
  <c r="AH487" i="4"/>
  <c r="AH193" i="4"/>
  <c r="AH213" i="4"/>
  <c r="AH173" i="4"/>
  <c r="AH422" i="4"/>
  <c r="AH309" i="4"/>
  <c r="AH488" i="4"/>
  <c r="AH136" i="4"/>
  <c r="AH206" i="4"/>
  <c r="AH46" i="4"/>
  <c r="AH31" i="4"/>
  <c r="AH318" i="4"/>
  <c r="AH184" i="4"/>
  <c r="AH255" i="4"/>
  <c r="AH51" i="4"/>
  <c r="AH299" i="4"/>
  <c r="AH413" i="4"/>
  <c r="AH140" i="4"/>
  <c r="AH142" i="4"/>
  <c r="AH120" i="4"/>
  <c r="AH114" i="4"/>
  <c r="AH87" i="4"/>
  <c r="AH60" i="4"/>
  <c r="AH62" i="4"/>
  <c r="AH162" i="4"/>
  <c r="AH116" i="4"/>
  <c r="AH419" i="4"/>
  <c r="AH323" i="4"/>
  <c r="AH101" i="4"/>
  <c r="AH363" i="4"/>
  <c r="AH93" i="4"/>
  <c r="AH448" i="4"/>
  <c r="AH338" i="4"/>
  <c r="AH32" i="4"/>
  <c r="AH236" i="4"/>
  <c r="AH64" i="4"/>
  <c r="AH63" i="4"/>
  <c r="AH35" i="4"/>
  <c r="AH97" i="4"/>
  <c r="AH380" i="4"/>
  <c r="AH304" i="4"/>
  <c r="AH424" i="4"/>
  <c r="AH263" i="4"/>
  <c r="AH159" i="4"/>
  <c r="AH102" i="4"/>
  <c r="AH423" i="4"/>
  <c r="AH75" i="4"/>
  <c r="AH428" i="4"/>
  <c r="AH276" i="4"/>
  <c r="AH139" i="4"/>
  <c r="AH408" i="4"/>
  <c r="AH330" i="4"/>
  <c r="AH431" i="4"/>
  <c r="AH367" i="4"/>
  <c r="AH129" i="4"/>
  <c r="AH153" i="4"/>
  <c r="AH39" i="4"/>
  <c r="AH344" i="4"/>
  <c r="AH306" i="4"/>
  <c r="AH233" i="4"/>
  <c r="AH240" i="4"/>
  <c r="AH226" i="4"/>
  <c r="AH331" i="4"/>
  <c r="AH131" i="4"/>
  <c r="AH37" i="4"/>
  <c r="AH375" i="4"/>
  <c r="AH267" i="4"/>
  <c r="AH119" i="4"/>
  <c r="AH387" i="4"/>
  <c r="AH373" i="4"/>
  <c r="AH112" i="4"/>
  <c r="AH219" i="4"/>
  <c r="AH223" i="4"/>
  <c r="AH332" i="4"/>
  <c r="AH69" i="4"/>
  <c r="AH251" i="4"/>
  <c r="AH446" i="4"/>
  <c r="AH440" i="4"/>
  <c r="AH218" i="4"/>
  <c r="AH181" i="4"/>
  <c r="AH148" i="4"/>
  <c r="AH275" i="4"/>
  <c r="AH489" i="4"/>
  <c r="AH416" i="4"/>
  <c r="AH493" i="4"/>
  <c r="AH316" i="4"/>
  <c r="AH248" i="4"/>
  <c r="AH473" i="4"/>
  <c r="AH490" i="4"/>
  <c r="AH494" i="4"/>
  <c r="AH381" i="4"/>
  <c r="AH42" i="4"/>
  <c r="AH19" i="4"/>
  <c r="AH124" i="4"/>
  <c r="AH435" i="4"/>
  <c r="AH456" i="4"/>
  <c r="AH290" i="4"/>
  <c r="AH130" i="4"/>
  <c r="AH402" i="4"/>
  <c r="AH250" i="4"/>
  <c r="AH305" i="4"/>
  <c r="AH12" i="4"/>
  <c r="AH274" i="4"/>
  <c r="AH479" i="4"/>
  <c r="AH208" i="4"/>
  <c r="AH238" i="4"/>
  <c r="AH232" i="4"/>
  <c r="AH169" i="4"/>
  <c r="AH53" i="4"/>
  <c r="AH471" i="4"/>
  <c r="AH16" i="4"/>
  <c r="AH279" i="4"/>
  <c r="AH260" i="4"/>
  <c r="AH245" i="4"/>
  <c r="AH393" i="4"/>
  <c r="AH410" i="4"/>
  <c r="AH246" i="4"/>
  <c r="AH230" i="4"/>
  <c r="AH179" i="4"/>
  <c r="AH324" i="4"/>
  <c r="AH235" i="4"/>
  <c r="AH429" i="4"/>
  <c r="AH394" i="4"/>
  <c r="AH283" i="4"/>
  <c r="AH154" i="4"/>
  <c r="AH216" i="4"/>
  <c r="AH351" i="4"/>
  <c r="AH156" i="4"/>
  <c r="AH262" i="4"/>
  <c r="AH171" i="4"/>
  <c r="AH227" i="4"/>
  <c r="AH460" i="4"/>
  <c r="AH167" i="4"/>
  <c r="AH231" i="4"/>
  <c r="AH496" i="4"/>
  <c r="AH278" i="4"/>
  <c r="AH294" i="4"/>
  <c r="AH266" i="4"/>
  <c r="AH454" i="4"/>
  <c r="AH280" i="4"/>
  <c r="AH396" i="4"/>
  <c r="AH334" i="4"/>
  <c r="AH482" i="4"/>
  <c r="AH430" i="4"/>
  <c r="AH284" i="4"/>
  <c r="AH261" i="4"/>
  <c r="AH281" i="4"/>
  <c r="AH50" i="4"/>
  <c r="AH386" i="4"/>
  <c r="AH383" i="4"/>
  <c r="AH364" i="4"/>
  <c r="AH28" i="4"/>
  <c r="AH392" i="4"/>
  <c r="AH61" i="4"/>
  <c r="AH483" i="4"/>
  <c r="AH439" i="4"/>
  <c r="AH365" i="4"/>
  <c r="AH185" i="4"/>
  <c r="AH421" i="4"/>
  <c r="AH143" i="4"/>
  <c r="AH225" i="4"/>
  <c r="AH282" i="4"/>
  <c r="AH293" i="4"/>
  <c r="AH74" i="4"/>
  <c r="AH253" i="4"/>
  <c r="AH70" i="4"/>
  <c r="AH108" i="4"/>
  <c r="AH200" i="4"/>
  <c r="AH390" i="4"/>
  <c r="AH83" i="4"/>
  <c r="AH287" i="4"/>
  <c r="AH198" i="4"/>
  <c r="AH340" i="4"/>
  <c r="AH23" i="4"/>
  <c r="AH397" i="4"/>
  <c r="AH329" i="4"/>
  <c r="AH96" i="4"/>
  <c r="AH111" i="4"/>
  <c r="AH15" i="4"/>
  <c r="AH94" i="4"/>
  <c r="AH106" i="4"/>
  <c r="AH33" i="4"/>
  <c r="AH345" i="4"/>
  <c r="AH437" i="4"/>
  <c r="AH500" i="4"/>
  <c r="AH411" i="4"/>
  <c r="AH292" i="4"/>
  <c r="AH463" i="4"/>
  <c r="AH444" i="4"/>
  <c r="AH207" i="4"/>
  <c r="AH359" i="4"/>
  <c r="AH113" i="4"/>
  <c r="AH384" i="4"/>
  <c r="AH315" i="4"/>
  <c r="AH481" i="4"/>
  <c r="AH418" i="4"/>
  <c r="AH86" i="4"/>
  <c r="AH13" i="4"/>
  <c r="AH149" i="4"/>
  <c r="AH417" i="4"/>
  <c r="AH180" i="4"/>
  <c r="AH313" i="4"/>
  <c r="AH175" i="4"/>
  <c r="AH336" i="4"/>
  <c r="AH158" i="4"/>
  <c r="AH376" i="4"/>
  <c r="AH399" i="4"/>
  <c r="AH443" i="4"/>
  <c r="AH132" i="4"/>
  <c r="AH165" i="4"/>
  <c r="AH459" i="4"/>
  <c r="AH286" i="4"/>
  <c r="AH366" i="4"/>
  <c r="AH24" i="4"/>
  <c r="AH401" i="4"/>
  <c r="AH137" i="4"/>
  <c r="AH81" i="4"/>
  <c r="AH474" i="4"/>
  <c r="AH168" i="4"/>
  <c r="AH234" i="4"/>
  <c r="AH256" i="4"/>
  <c r="AH339" i="4"/>
  <c r="AH438" i="4"/>
  <c r="AH497" i="4"/>
  <c r="AH92" i="4"/>
  <c r="AH65" i="4"/>
  <c r="AH343" i="4"/>
  <c r="AH104" i="4"/>
  <c r="AH333" i="4"/>
  <c r="AH270" i="4"/>
  <c r="AH78" i="4"/>
  <c r="AH80" i="4"/>
  <c r="AH241" i="4"/>
  <c r="AH495" i="4"/>
  <c r="AH21" i="4"/>
  <c r="AH66" i="4"/>
  <c r="AH314" i="4"/>
  <c r="AH58" i="4"/>
  <c r="AH328" i="4"/>
  <c r="AH317" i="4"/>
  <c r="AH247" i="4"/>
  <c r="AH296" i="4"/>
  <c r="AH452" i="4"/>
  <c r="AH298" i="4"/>
  <c r="AH388" i="4"/>
  <c r="AH485" i="4"/>
  <c r="AH374" i="4"/>
  <c r="AH22" i="4"/>
  <c r="AH426" i="4"/>
  <c r="AH10" i="4"/>
  <c r="AH341" i="4"/>
  <c r="AH105" i="4"/>
  <c r="AH127" i="4"/>
  <c r="AH382" i="4"/>
  <c r="AH151" i="4"/>
  <c r="AH146" i="4"/>
  <c r="AH372" i="4"/>
  <c r="AH71" i="4"/>
  <c r="AH415" i="4"/>
  <c r="AH265" i="4"/>
  <c r="AH449" i="4"/>
  <c r="AH300" i="4"/>
  <c r="AH103" i="4"/>
  <c r="AH467" i="4"/>
  <c r="AH269" i="4"/>
  <c r="AH133" i="4"/>
  <c r="AH6" i="4"/>
  <c r="AH174" i="4"/>
  <c r="AH360" i="4"/>
  <c r="AH145" i="4"/>
  <c r="AH48" i="4"/>
  <c r="AH252" i="4"/>
  <c r="AH307" i="4"/>
  <c r="AH95" i="4"/>
  <c r="AH259" i="4"/>
  <c r="AH442" i="4"/>
  <c r="AH59" i="4"/>
  <c r="AH484" i="4"/>
  <c r="AH177" i="4"/>
  <c r="AH321" i="4"/>
  <c r="AH268" i="4"/>
  <c r="AH18" i="4"/>
  <c r="AH196" i="4"/>
  <c r="AH38" i="4"/>
  <c r="AH427" i="4"/>
  <c r="AH239" i="4"/>
  <c r="AH141" i="4"/>
  <c r="AH186" i="4"/>
  <c r="AH354" i="4"/>
  <c r="AH447" i="4"/>
  <c r="AH150" i="4"/>
  <c r="AH85" i="4"/>
  <c r="AH466" i="4"/>
  <c r="AH409" i="4"/>
  <c r="AH346" i="4"/>
  <c r="AH212" i="4"/>
  <c r="AH425" i="4"/>
  <c r="AH100" i="4"/>
  <c r="AH457" i="4"/>
  <c r="AH478" i="4"/>
  <c r="AH499" i="4"/>
  <c r="AH501" i="4"/>
  <c r="AH436" i="4"/>
  <c r="AH254" i="4"/>
  <c r="AH49" i="4"/>
  <c r="AH160" i="4"/>
  <c r="AH214" i="4"/>
  <c r="AH57" i="4"/>
  <c r="AH475" i="4"/>
  <c r="AH228" i="4"/>
  <c r="AH211" i="4"/>
  <c r="AH441" i="4"/>
  <c r="AH229" i="4"/>
  <c r="AH36" i="4"/>
  <c r="AH476" i="4"/>
  <c r="AH352" i="4"/>
  <c r="AH123" i="4"/>
  <c r="AH221" i="4"/>
  <c r="AH7" i="4"/>
  <c r="AH468" i="4"/>
  <c r="AH277" i="4"/>
  <c r="AH115" i="4"/>
  <c r="AH291" i="4"/>
  <c r="AH161" i="4"/>
  <c r="AH349" i="4"/>
  <c r="AH249" i="4"/>
  <c r="AH350" i="4"/>
  <c r="AH289" i="4"/>
  <c r="AH5" i="4"/>
  <c r="AH303" i="4"/>
  <c r="AH73" i="4"/>
  <c r="AH347" i="4"/>
  <c r="AH319" i="4"/>
  <c r="AH138" i="4"/>
  <c r="AH405" i="4"/>
  <c r="AH67" i="4"/>
  <c r="AH215" i="4"/>
  <c r="AH147" i="4"/>
  <c r="AH450" i="4"/>
  <c r="AH30" i="4"/>
  <c r="AH170" i="4"/>
  <c r="AH362" i="4"/>
  <c r="AH504" i="4"/>
  <c r="AH353" i="4"/>
  <c r="AH453" i="4"/>
  <c r="AH45" i="4"/>
  <c r="AH371" i="4"/>
  <c r="AH445" i="4"/>
  <c r="AH433" i="4"/>
  <c r="AH295" i="4"/>
  <c r="AH464" i="4"/>
  <c r="AH210" i="4"/>
  <c r="AH492" i="4"/>
  <c r="AH243" i="4"/>
  <c r="AH47" i="4"/>
  <c r="AH404" i="4"/>
  <c r="AH209" i="4"/>
  <c r="AH285" i="4"/>
  <c r="AH327" i="4"/>
  <c r="AH342" i="4"/>
  <c r="AH498" i="4"/>
  <c r="AH164" i="4"/>
  <c r="AH462" i="4"/>
  <c r="AH203" i="4"/>
  <c r="AH90" i="4"/>
  <c r="AH301" i="4"/>
  <c r="AH312" i="4"/>
  <c r="AH356" i="4"/>
  <c r="AH128" i="4"/>
  <c r="AH258" i="4"/>
  <c r="AH84" i="4"/>
  <c r="AH98" i="4"/>
  <c r="AH26" i="4"/>
  <c r="AH288" i="4"/>
  <c r="AH152" i="4"/>
  <c r="AH182" i="4"/>
  <c r="AH420" i="4"/>
  <c r="AH11" i="4"/>
  <c r="AH27" i="4"/>
  <c r="AH486" i="4"/>
  <c r="AH264" i="4"/>
  <c r="AH370" i="4"/>
  <c r="AH458" i="4"/>
  <c r="AH183" i="4"/>
  <c r="AH79" i="4"/>
  <c r="AH470" i="4"/>
  <c r="AH412" i="4"/>
  <c r="AH176" i="4"/>
  <c r="AH197" i="4"/>
  <c r="AH172" i="4"/>
  <c r="AH369" i="4"/>
  <c r="AH118" i="4"/>
  <c r="AH491" i="4"/>
  <c r="AH244" i="4"/>
  <c r="AH451" i="4"/>
  <c r="AH135" i="4"/>
  <c r="AH311" i="4"/>
  <c r="AH302" i="4"/>
  <c r="AH52" i="4"/>
  <c r="AH187" i="4"/>
  <c r="AH40" i="4"/>
  <c r="AH76" i="4"/>
  <c r="AH91" i="4"/>
  <c r="AH398" i="4"/>
  <c r="AH34" i="4"/>
  <c r="AH326" i="4"/>
  <c r="AH434" i="4"/>
  <c r="AH109" i="4"/>
  <c r="AH469" i="4"/>
  <c r="AH68" i="4"/>
  <c r="AH117" i="4"/>
  <c r="AH192" i="4"/>
  <c r="AH82" i="4"/>
  <c r="AH272" i="4"/>
  <c r="AH17" i="4"/>
  <c r="AH157" i="4"/>
  <c r="AH322" i="4"/>
  <c r="AH480" i="4"/>
  <c r="AH337" i="4"/>
  <c r="AH4" i="4"/>
  <c r="AH44" i="4"/>
  <c r="AH403" i="4"/>
  <c r="AH391" i="4"/>
  <c r="AH122" i="4"/>
  <c r="AH166" i="4"/>
  <c r="AH503" i="4"/>
  <c r="AH395" i="4"/>
  <c r="AH273" i="4"/>
  <c r="AH432" i="4"/>
  <c r="AH271" i="4"/>
  <c r="AH477" i="4"/>
  <c r="AH348" i="4"/>
  <c r="AH125" i="4"/>
  <c r="AH379" i="4"/>
  <c r="AH297" i="4"/>
  <c r="AH355" i="4"/>
  <c r="AE152" i="4" l="1"/>
  <c r="AG152" i="4" s="1"/>
  <c r="O152" i="4" s="1"/>
  <c r="AD152" i="4"/>
  <c r="AF152" i="4" s="1"/>
  <c r="P152" i="4" s="1"/>
  <c r="AE452" i="4"/>
  <c r="AG452" i="4" s="1"/>
  <c r="O452" i="4" s="1"/>
  <c r="AD452" i="4"/>
  <c r="AF452" i="4" s="1"/>
  <c r="P452" i="4" s="1"/>
  <c r="AE16" i="4"/>
  <c r="AG16" i="4" s="1"/>
  <c r="O16" i="4" s="1"/>
  <c r="AD16" i="4"/>
  <c r="AF16" i="4" s="1"/>
  <c r="P16" i="4" s="1"/>
  <c r="AD44" i="4"/>
  <c r="AF44" i="4" s="1"/>
  <c r="P44" i="4" s="1"/>
  <c r="AE44" i="4"/>
  <c r="AG44" i="4" s="1"/>
  <c r="O44" i="4" s="1"/>
  <c r="AD337" i="4"/>
  <c r="AF337" i="4" s="1"/>
  <c r="P337" i="4" s="1"/>
  <c r="AE337" i="4"/>
  <c r="AG337" i="4" s="1"/>
  <c r="O337" i="4" s="1"/>
  <c r="AE244" i="4"/>
  <c r="AG244" i="4" s="1"/>
  <c r="O244" i="4" s="1"/>
  <c r="AD244" i="4"/>
  <c r="AF244" i="4" s="1"/>
  <c r="P244" i="4" s="1"/>
  <c r="AE273" i="4"/>
  <c r="AG273" i="4" s="1"/>
  <c r="O273" i="4" s="1"/>
  <c r="AD273" i="4"/>
  <c r="AF273" i="4" s="1"/>
  <c r="P273" i="4" s="1"/>
  <c r="AE503" i="4"/>
  <c r="AG503" i="4" s="1"/>
  <c r="O503" i="4" s="1"/>
  <c r="AD503" i="4"/>
  <c r="AF503" i="4" s="1"/>
  <c r="P503" i="4" s="1"/>
  <c r="AE272" i="4"/>
  <c r="AG272" i="4" s="1"/>
  <c r="O272" i="4" s="1"/>
  <c r="AD272" i="4"/>
  <c r="AF272" i="4" s="1"/>
  <c r="P272" i="4" s="1"/>
  <c r="AE76" i="4"/>
  <c r="AG76" i="4" s="1"/>
  <c r="O76" i="4" s="1"/>
  <c r="AD76" i="4"/>
  <c r="AF76" i="4" s="1"/>
  <c r="P76" i="4" s="1"/>
  <c r="AD172" i="4"/>
  <c r="AF172" i="4" s="1"/>
  <c r="P172" i="4" s="1"/>
  <c r="AE172" i="4"/>
  <c r="AG172" i="4" s="1"/>
  <c r="O172" i="4" s="1"/>
  <c r="AD11" i="4"/>
  <c r="AF11" i="4" s="1"/>
  <c r="P11" i="4" s="1"/>
  <c r="AE11" i="4"/>
  <c r="AG11" i="4" s="1"/>
  <c r="O11" i="4" s="1"/>
  <c r="AE301" i="4"/>
  <c r="AG301" i="4" s="1"/>
  <c r="O301" i="4" s="1"/>
  <c r="AD301" i="4"/>
  <c r="AF301" i="4" s="1"/>
  <c r="P301" i="4" s="1"/>
  <c r="AD243" i="4"/>
  <c r="AF243" i="4" s="1"/>
  <c r="P243" i="4" s="1"/>
  <c r="AE243" i="4"/>
  <c r="AG243" i="4" s="1"/>
  <c r="O243" i="4" s="1"/>
  <c r="AD362" i="4"/>
  <c r="AF362" i="4" s="1"/>
  <c r="P362" i="4" s="1"/>
  <c r="AE362" i="4"/>
  <c r="AG362" i="4" s="1"/>
  <c r="O362" i="4" s="1"/>
  <c r="AD303" i="4"/>
  <c r="AF303" i="4" s="1"/>
  <c r="P303" i="4" s="1"/>
  <c r="AE303" i="4"/>
  <c r="AG303" i="4" s="1"/>
  <c r="O303" i="4" s="1"/>
  <c r="AD221" i="4"/>
  <c r="AF221" i="4" s="1"/>
  <c r="P221" i="4" s="1"/>
  <c r="AE221" i="4"/>
  <c r="AG221" i="4" s="1"/>
  <c r="O221" i="4" s="1"/>
  <c r="AE160" i="4"/>
  <c r="AG160" i="4" s="1"/>
  <c r="O160" i="4" s="1"/>
  <c r="AD160" i="4"/>
  <c r="AF160" i="4" s="1"/>
  <c r="P160" i="4" s="1"/>
  <c r="AD409" i="4"/>
  <c r="AF409" i="4" s="1"/>
  <c r="P409" i="4" s="1"/>
  <c r="AE409" i="4"/>
  <c r="AG409" i="4" s="1"/>
  <c r="O409" i="4" s="1"/>
  <c r="AE18" i="4"/>
  <c r="AG18" i="4" s="1"/>
  <c r="O18" i="4" s="1"/>
  <c r="AD18" i="4"/>
  <c r="AF18" i="4" s="1"/>
  <c r="P18" i="4" s="1"/>
  <c r="AD145" i="4"/>
  <c r="AF145" i="4" s="1"/>
  <c r="P145" i="4" s="1"/>
  <c r="AE145" i="4"/>
  <c r="AG145" i="4" s="1"/>
  <c r="O145" i="4" s="1"/>
  <c r="AD71" i="4"/>
  <c r="AF71" i="4" s="1"/>
  <c r="P71" i="4" s="1"/>
  <c r="AE71" i="4"/>
  <c r="AG71" i="4" s="1"/>
  <c r="O71" i="4" s="1"/>
  <c r="AD485" i="4"/>
  <c r="AF485" i="4" s="1"/>
  <c r="P485" i="4" s="1"/>
  <c r="AE485" i="4"/>
  <c r="AG485" i="4" s="1"/>
  <c r="O485" i="4" s="1"/>
  <c r="AE495" i="4"/>
  <c r="AG495" i="4" s="1"/>
  <c r="O495" i="4" s="1"/>
  <c r="AD495" i="4"/>
  <c r="AF495" i="4" s="1"/>
  <c r="P495" i="4" s="1"/>
  <c r="AE339" i="4"/>
  <c r="AG339" i="4" s="1"/>
  <c r="O339" i="4" s="1"/>
  <c r="AD339" i="4"/>
  <c r="AF339" i="4" s="1"/>
  <c r="P339" i="4" s="1"/>
  <c r="AD165" i="4"/>
  <c r="AF165" i="4" s="1"/>
  <c r="P165" i="4" s="1"/>
  <c r="AE165" i="4"/>
  <c r="AG165" i="4" s="1"/>
  <c r="O165" i="4" s="1"/>
  <c r="AE13" i="4"/>
  <c r="AG13" i="4" s="1"/>
  <c r="O13" i="4" s="1"/>
  <c r="AD13" i="4"/>
  <c r="AF13" i="4" s="1"/>
  <c r="P13" i="4" s="1"/>
  <c r="AE411" i="4"/>
  <c r="AG411" i="4" s="1"/>
  <c r="O411" i="4" s="1"/>
  <c r="AD411" i="4"/>
  <c r="AF411" i="4" s="1"/>
  <c r="P411" i="4" s="1"/>
  <c r="AE23" i="4"/>
  <c r="AG23" i="4" s="1"/>
  <c r="O23" i="4" s="1"/>
  <c r="AD23" i="4"/>
  <c r="AF23" i="4" s="1"/>
  <c r="P23" i="4" s="1"/>
  <c r="AD282" i="4"/>
  <c r="AF282" i="4" s="1"/>
  <c r="P282" i="4" s="1"/>
  <c r="AE282" i="4"/>
  <c r="AG282" i="4" s="1"/>
  <c r="O282" i="4" s="1"/>
  <c r="AE383" i="4"/>
  <c r="AG383" i="4" s="1"/>
  <c r="O383" i="4" s="1"/>
  <c r="AD383" i="4"/>
  <c r="AF383" i="4" s="1"/>
  <c r="P383" i="4" s="1"/>
  <c r="AE266" i="4"/>
  <c r="AG266" i="4" s="1"/>
  <c r="O266" i="4" s="1"/>
  <c r="AD266" i="4"/>
  <c r="AF266" i="4" s="1"/>
  <c r="P266" i="4" s="1"/>
  <c r="AE216" i="4"/>
  <c r="AG216" i="4" s="1"/>
  <c r="O216" i="4" s="1"/>
  <c r="AD216" i="4"/>
  <c r="AF216" i="4" s="1"/>
  <c r="P216" i="4" s="1"/>
  <c r="AD245" i="4"/>
  <c r="AF245" i="4" s="1"/>
  <c r="P245" i="4" s="1"/>
  <c r="AE245" i="4"/>
  <c r="AG245" i="4" s="1"/>
  <c r="O245" i="4" s="1"/>
  <c r="AD12" i="4"/>
  <c r="AF12" i="4" s="1"/>
  <c r="P12" i="4" s="1"/>
  <c r="AE12" i="4"/>
  <c r="AG12" i="4" s="1"/>
  <c r="O12" i="4" s="1"/>
  <c r="AE494" i="4"/>
  <c r="AG494" i="4" s="1"/>
  <c r="O494" i="4" s="1"/>
  <c r="AD494" i="4"/>
  <c r="AF494" i="4" s="1"/>
  <c r="P494" i="4" s="1"/>
  <c r="AE440" i="4"/>
  <c r="AG440" i="4" s="1"/>
  <c r="O440" i="4" s="1"/>
  <c r="AD440" i="4"/>
  <c r="AF440" i="4" s="1"/>
  <c r="P440" i="4" s="1"/>
  <c r="AE375" i="4"/>
  <c r="AG375" i="4" s="1"/>
  <c r="O375" i="4" s="1"/>
  <c r="AD375" i="4"/>
  <c r="AF375" i="4" s="1"/>
  <c r="P375" i="4" s="1"/>
  <c r="AD367" i="4"/>
  <c r="AF367" i="4" s="1"/>
  <c r="P367" i="4" s="1"/>
  <c r="AE367" i="4"/>
  <c r="AG367" i="4" s="1"/>
  <c r="O367" i="4" s="1"/>
  <c r="AE424" i="4"/>
  <c r="AG424" i="4" s="1"/>
  <c r="O424" i="4" s="1"/>
  <c r="AD424" i="4"/>
  <c r="AF424" i="4" s="1"/>
  <c r="P424" i="4" s="1"/>
  <c r="AD363" i="4"/>
  <c r="AF363" i="4" s="1"/>
  <c r="P363" i="4" s="1"/>
  <c r="AE363" i="4"/>
  <c r="AG363" i="4" s="1"/>
  <c r="O363" i="4" s="1"/>
  <c r="AD140" i="4"/>
  <c r="AF140" i="4" s="1"/>
  <c r="P140" i="4" s="1"/>
  <c r="AE140" i="4"/>
  <c r="AG140" i="4" s="1"/>
  <c r="O140" i="4" s="1"/>
  <c r="AE309" i="4"/>
  <c r="AG309" i="4" s="1"/>
  <c r="O309" i="4" s="1"/>
  <c r="AD309" i="4"/>
  <c r="AF309" i="4" s="1"/>
  <c r="P309" i="4" s="1"/>
  <c r="AD107" i="4"/>
  <c r="AF107" i="4" s="1"/>
  <c r="P107" i="4" s="1"/>
  <c r="AE107" i="4"/>
  <c r="AG107" i="4" s="1"/>
  <c r="O107" i="4" s="1"/>
  <c r="AE377" i="4"/>
  <c r="AG377" i="4" s="1"/>
  <c r="O377" i="4" s="1"/>
  <c r="AD377" i="4"/>
  <c r="AF377" i="4" s="1"/>
  <c r="P377" i="4" s="1"/>
  <c r="AD14" i="4"/>
  <c r="AF14" i="4" s="1"/>
  <c r="P14" i="4" s="1"/>
  <c r="AE14" i="4"/>
  <c r="AG14" i="4" s="1"/>
  <c r="O14" i="4" s="1"/>
  <c r="AD357" i="4"/>
  <c r="AF357" i="4" s="1"/>
  <c r="P357" i="4" s="1"/>
  <c r="AE357" i="4"/>
  <c r="AG357" i="4" s="1"/>
  <c r="O357" i="4" s="1"/>
  <c r="AD155" i="4"/>
  <c r="AF155" i="4" s="1"/>
  <c r="P155" i="4" s="1"/>
  <c r="AE155" i="4"/>
  <c r="AG155" i="4" s="1"/>
  <c r="O155" i="4" s="1"/>
  <c r="AD436" i="4"/>
  <c r="AF436" i="4" s="1"/>
  <c r="P436" i="4" s="1"/>
  <c r="AE436" i="4"/>
  <c r="AG436" i="4" s="1"/>
  <c r="O436" i="4" s="1"/>
  <c r="AE281" i="4"/>
  <c r="AG281" i="4" s="1"/>
  <c r="O281" i="4" s="1"/>
  <c r="AD281" i="4"/>
  <c r="AF281" i="4" s="1"/>
  <c r="P281" i="4" s="1"/>
  <c r="AE51" i="4"/>
  <c r="AG51" i="4" s="1"/>
  <c r="O51" i="4" s="1"/>
  <c r="AD51" i="4"/>
  <c r="AF51" i="4" s="1"/>
  <c r="P51" i="4" s="1"/>
  <c r="AD477" i="4"/>
  <c r="AF477" i="4" s="1"/>
  <c r="P477" i="4" s="1"/>
  <c r="AE477" i="4"/>
  <c r="AG477" i="4" s="1"/>
  <c r="O477" i="4" s="1"/>
  <c r="AD480" i="4"/>
  <c r="AF480" i="4" s="1"/>
  <c r="P480" i="4" s="1"/>
  <c r="AE480" i="4"/>
  <c r="AG480" i="4" s="1"/>
  <c r="O480" i="4" s="1"/>
  <c r="AE166" i="4"/>
  <c r="AG166" i="4" s="1"/>
  <c r="O166" i="4" s="1"/>
  <c r="AD166" i="4"/>
  <c r="AF166" i="4" s="1"/>
  <c r="P166" i="4" s="1"/>
  <c r="AE82" i="4"/>
  <c r="AG82" i="4" s="1"/>
  <c r="O82" i="4" s="1"/>
  <c r="AD82" i="4"/>
  <c r="AF82" i="4" s="1"/>
  <c r="P82" i="4" s="1"/>
  <c r="AE40" i="4"/>
  <c r="AG40" i="4" s="1"/>
  <c r="O40" i="4" s="1"/>
  <c r="AD40" i="4"/>
  <c r="AF40" i="4" s="1"/>
  <c r="P40" i="4" s="1"/>
  <c r="AD197" i="4"/>
  <c r="AF197" i="4" s="1"/>
  <c r="P197" i="4" s="1"/>
  <c r="AE197" i="4"/>
  <c r="AG197" i="4" s="1"/>
  <c r="O197" i="4" s="1"/>
  <c r="AE420" i="4"/>
  <c r="AG420" i="4" s="1"/>
  <c r="O420" i="4" s="1"/>
  <c r="AD420" i="4"/>
  <c r="AF420" i="4" s="1"/>
  <c r="P420" i="4" s="1"/>
  <c r="AE90" i="4"/>
  <c r="AG90" i="4" s="1"/>
  <c r="O90" i="4" s="1"/>
  <c r="AD90" i="4"/>
  <c r="AF90" i="4" s="1"/>
  <c r="P90" i="4" s="1"/>
  <c r="AD492" i="4"/>
  <c r="AF492" i="4" s="1"/>
  <c r="P492" i="4" s="1"/>
  <c r="AE492" i="4"/>
  <c r="AG492" i="4" s="1"/>
  <c r="O492" i="4" s="1"/>
  <c r="AE170" i="4"/>
  <c r="AG170" i="4" s="1"/>
  <c r="O170" i="4" s="1"/>
  <c r="AD170" i="4"/>
  <c r="AF170" i="4" s="1"/>
  <c r="P170" i="4" s="1"/>
  <c r="AE5" i="4"/>
  <c r="AG5" i="4" s="1"/>
  <c r="O5" i="4" s="1"/>
  <c r="AD5" i="4"/>
  <c r="AF5" i="4" s="1"/>
  <c r="P5" i="4" s="1"/>
  <c r="AE123" i="4"/>
  <c r="AG123" i="4" s="1"/>
  <c r="O123" i="4" s="1"/>
  <c r="AD123" i="4"/>
  <c r="AF123" i="4" s="1"/>
  <c r="P123" i="4" s="1"/>
  <c r="AE49" i="4"/>
  <c r="AG49" i="4" s="1"/>
  <c r="O49" i="4" s="1"/>
  <c r="AD49" i="4"/>
  <c r="AF49" i="4" s="1"/>
  <c r="P49" i="4" s="1"/>
  <c r="AD466" i="4"/>
  <c r="AF466" i="4" s="1"/>
  <c r="P466" i="4" s="1"/>
  <c r="AE466" i="4"/>
  <c r="AG466" i="4" s="1"/>
  <c r="O466" i="4" s="1"/>
  <c r="AE268" i="4"/>
  <c r="AG268" i="4" s="1"/>
  <c r="O268" i="4" s="1"/>
  <c r="AD268" i="4"/>
  <c r="AF268" i="4" s="1"/>
  <c r="P268" i="4" s="1"/>
  <c r="AE360" i="4"/>
  <c r="AG360" i="4" s="1"/>
  <c r="O360" i="4" s="1"/>
  <c r="AD360" i="4"/>
  <c r="AF360" i="4" s="1"/>
  <c r="P360" i="4" s="1"/>
  <c r="AD372" i="4"/>
  <c r="AF372" i="4" s="1"/>
  <c r="P372" i="4" s="1"/>
  <c r="AE372" i="4"/>
  <c r="AG372" i="4" s="1"/>
  <c r="O372" i="4" s="1"/>
  <c r="AE388" i="4"/>
  <c r="AG388" i="4" s="1"/>
  <c r="O388" i="4" s="1"/>
  <c r="AD388" i="4"/>
  <c r="AF388" i="4" s="1"/>
  <c r="P388" i="4" s="1"/>
  <c r="AE241" i="4"/>
  <c r="AG241" i="4" s="1"/>
  <c r="O241" i="4" s="1"/>
  <c r="AD241" i="4"/>
  <c r="AF241" i="4" s="1"/>
  <c r="P241" i="4" s="1"/>
  <c r="AE256" i="4"/>
  <c r="AG256" i="4" s="1"/>
  <c r="O256" i="4" s="1"/>
  <c r="AD256" i="4"/>
  <c r="AF256" i="4" s="1"/>
  <c r="P256" i="4" s="1"/>
  <c r="AD132" i="4"/>
  <c r="AF132" i="4" s="1"/>
  <c r="P132" i="4" s="1"/>
  <c r="AE132" i="4"/>
  <c r="AG132" i="4" s="1"/>
  <c r="O132" i="4" s="1"/>
  <c r="AE86" i="4"/>
  <c r="AG86" i="4" s="1"/>
  <c r="O86" i="4" s="1"/>
  <c r="AD86" i="4"/>
  <c r="AF86" i="4" s="1"/>
  <c r="P86" i="4" s="1"/>
  <c r="AD500" i="4"/>
  <c r="AF500" i="4" s="1"/>
  <c r="P500" i="4" s="1"/>
  <c r="AE500" i="4"/>
  <c r="AG500" i="4" s="1"/>
  <c r="O500" i="4" s="1"/>
  <c r="AD340" i="4"/>
  <c r="AF340" i="4" s="1"/>
  <c r="P340" i="4" s="1"/>
  <c r="AE340" i="4"/>
  <c r="AG340" i="4" s="1"/>
  <c r="O340" i="4" s="1"/>
  <c r="AD225" i="4"/>
  <c r="AF225" i="4" s="1"/>
  <c r="P225" i="4" s="1"/>
  <c r="AE225" i="4"/>
  <c r="AG225" i="4" s="1"/>
  <c r="O225" i="4" s="1"/>
  <c r="AD386" i="4"/>
  <c r="AF386" i="4" s="1"/>
  <c r="P386" i="4" s="1"/>
  <c r="AE386" i="4"/>
  <c r="AG386" i="4" s="1"/>
  <c r="O386" i="4" s="1"/>
  <c r="AD294" i="4"/>
  <c r="AF294" i="4" s="1"/>
  <c r="P294" i="4" s="1"/>
  <c r="AE294" i="4"/>
  <c r="AG294" i="4" s="1"/>
  <c r="O294" i="4" s="1"/>
  <c r="AE154" i="4"/>
  <c r="AG154" i="4" s="1"/>
  <c r="O154" i="4" s="1"/>
  <c r="AD154" i="4"/>
  <c r="AF154" i="4" s="1"/>
  <c r="P154" i="4" s="1"/>
  <c r="AD260" i="4"/>
  <c r="AF260" i="4" s="1"/>
  <c r="P260" i="4" s="1"/>
  <c r="AE260" i="4"/>
  <c r="AG260" i="4" s="1"/>
  <c r="O260" i="4" s="1"/>
  <c r="AE305" i="4"/>
  <c r="AG305" i="4" s="1"/>
  <c r="O305" i="4" s="1"/>
  <c r="AD305" i="4"/>
  <c r="AF305" i="4" s="1"/>
  <c r="P305" i="4" s="1"/>
  <c r="AD490" i="4"/>
  <c r="AF490" i="4" s="1"/>
  <c r="P490" i="4" s="1"/>
  <c r="AE490" i="4"/>
  <c r="AG490" i="4" s="1"/>
  <c r="O490" i="4" s="1"/>
  <c r="AD446" i="4"/>
  <c r="AF446" i="4" s="1"/>
  <c r="P446" i="4" s="1"/>
  <c r="AE446" i="4"/>
  <c r="AG446" i="4" s="1"/>
  <c r="O446" i="4" s="1"/>
  <c r="AE37" i="4"/>
  <c r="AG37" i="4" s="1"/>
  <c r="O37" i="4" s="1"/>
  <c r="AD37" i="4"/>
  <c r="AF37" i="4" s="1"/>
  <c r="P37" i="4" s="1"/>
  <c r="AE431" i="4"/>
  <c r="AG431" i="4" s="1"/>
  <c r="O431" i="4" s="1"/>
  <c r="AD431" i="4"/>
  <c r="AF431" i="4" s="1"/>
  <c r="P431" i="4" s="1"/>
  <c r="AD304" i="4"/>
  <c r="AF304" i="4" s="1"/>
  <c r="P304" i="4" s="1"/>
  <c r="AE304" i="4"/>
  <c r="AG304" i="4" s="1"/>
  <c r="O304" i="4" s="1"/>
  <c r="AD101" i="4"/>
  <c r="AF101" i="4" s="1"/>
  <c r="P101" i="4" s="1"/>
  <c r="AE101" i="4"/>
  <c r="AG101" i="4" s="1"/>
  <c r="O101" i="4" s="1"/>
  <c r="AD413" i="4"/>
  <c r="AF413" i="4" s="1"/>
  <c r="P413" i="4" s="1"/>
  <c r="AE413" i="4"/>
  <c r="AG413" i="4" s="1"/>
  <c r="O413" i="4" s="1"/>
  <c r="AD422" i="4"/>
  <c r="AF422" i="4" s="1"/>
  <c r="P422" i="4" s="1"/>
  <c r="AE422" i="4"/>
  <c r="AG422" i="4" s="1"/>
  <c r="O422" i="4" s="1"/>
  <c r="AE378" i="4"/>
  <c r="AG378" i="4" s="1"/>
  <c r="O378" i="4" s="1"/>
  <c r="AD378" i="4"/>
  <c r="AF378" i="4" s="1"/>
  <c r="P378" i="4" s="1"/>
  <c r="AD414" i="4"/>
  <c r="AF414" i="4" s="1"/>
  <c r="P414" i="4" s="1"/>
  <c r="AE414" i="4"/>
  <c r="AG414" i="4" s="1"/>
  <c r="O414" i="4" s="1"/>
  <c r="AE20" i="4"/>
  <c r="AG20" i="4" s="1"/>
  <c r="O20" i="4" s="1"/>
  <c r="AD20" i="4"/>
  <c r="AF20" i="4" s="1"/>
  <c r="P20" i="4" s="1"/>
  <c r="AD502" i="4"/>
  <c r="AF502" i="4" s="1"/>
  <c r="P502" i="4" s="1"/>
  <c r="AE502" i="4"/>
  <c r="AG502" i="4" s="1"/>
  <c r="O502" i="4" s="1"/>
  <c r="AD389" i="4"/>
  <c r="AF389" i="4" s="1"/>
  <c r="P389" i="4" s="1"/>
  <c r="AE389" i="4"/>
  <c r="AG389" i="4" s="1"/>
  <c r="O389" i="4" s="1"/>
  <c r="AD462" i="4"/>
  <c r="AF462" i="4" s="1"/>
  <c r="P462" i="4" s="1"/>
  <c r="AE462" i="4"/>
  <c r="AG462" i="4" s="1"/>
  <c r="O462" i="4" s="1"/>
  <c r="AD78" i="4"/>
  <c r="AF78" i="4" s="1"/>
  <c r="P78" i="4" s="1"/>
  <c r="AE78" i="4"/>
  <c r="AG78" i="4" s="1"/>
  <c r="O78" i="4" s="1"/>
  <c r="AD402" i="4"/>
  <c r="AF402" i="4" s="1"/>
  <c r="P402" i="4" s="1"/>
  <c r="AE402" i="4"/>
  <c r="AG402" i="4" s="1"/>
  <c r="O402" i="4" s="1"/>
  <c r="AD355" i="4"/>
  <c r="AF355" i="4" s="1"/>
  <c r="P355" i="4" s="1"/>
  <c r="AE355" i="4"/>
  <c r="AG355" i="4" s="1"/>
  <c r="O355" i="4" s="1"/>
  <c r="AD122" i="4"/>
  <c r="AF122" i="4" s="1"/>
  <c r="P122" i="4" s="1"/>
  <c r="AE122" i="4"/>
  <c r="AG122" i="4" s="1"/>
  <c r="O122" i="4" s="1"/>
  <c r="AE192" i="4"/>
  <c r="AG192" i="4" s="1"/>
  <c r="O192" i="4" s="1"/>
  <c r="AD192" i="4"/>
  <c r="AF192" i="4" s="1"/>
  <c r="P192" i="4" s="1"/>
  <c r="AE187" i="4"/>
  <c r="AG187" i="4" s="1"/>
  <c r="O187" i="4" s="1"/>
  <c r="AD187" i="4"/>
  <c r="AF187" i="4" s="1"/>
  <c r="P187" i="4" s="1"/>
  <c r="AD176" i="4"/>
  <c r="AF176" i="4" s="1"/>
  <c r="P176" i="4" s="1"/>
  <c r="AE176" i="4"/>
  <c r="AG176" i="4" s="1"/>
  <c r="O176" i="4" s="1"/>
  <c r="AE182" i="4"/>
  <c r="AG182" i="4" s="1"/>
  <c r="O182" i="4" s="1"/>
  <c r="AD182" i="4"/>
  <c r="AF182" i="4" s="1"/>
  <c r="P182" i="4" s="1"/>
  <c r="AE203" i="4"/>
  <c r="AG203" i="4" s="1"/>
  <c r="O203" i="4" s="1"/>
  <c r="AD203" i="4"/>
  <c r="AF203" i="4" s="1"/>
  <c r="P203" i="4" s="1"/>
  <c r="AE210" i="4"/>
  <c r="AG210" i="4" s="1"/>
  <c r="O210" i="4" s="1"/>
  <c r="AD210" i="4"/>
  <c r="AF210" i="4" s="1"/>
  <c r="P210" i="4" s="1"/>
  <c r="AE30" i="4"/>
  <c r="AG30" i="4" s="1"/>
  <c r="O30" i="4" s="1"/>
  <c r="AD30" i="4"/>
  <c r="AF30" i="4" s="1"/>
  <c r="P30" i="4" s="1"/>
  <c r="AD289" i="4"/>
  <c r="AF289" i="4" s="1"/>
  <c r="P289" i="4" s="1"/>
  <c r="AE289" i="4"/>
  <c r="AG289" i="4" s="1"/>
  <c r="O289" i="4" s="1"/>
  <c r="AE352" i="4"/>
  <c r="AG352" i="4" s="1"/>
  <c r="O352" i="4" s="1"/>
  <c r="AD352" i="4"/>
  <c r="AF352" i="4" s="1"/>
  <c r="P352" i="4" s="1"/>
  <c r="AE254" i="4"/>
  <c r="AG254" i="4" s="1"/>
  <c r="O254" i="4" s="1"/>
  <c r="AD254" i="4"/>
  <c r="AF254" i="4" s="1"/>
  <c r="P254" i="4" s="1"/>
  <c r="AD85" i="4"/>
  <c r="AF85" i="4" s="1"/>
  <c r="P85" i="4" s="1"/>
  <c r="AE85" i="4"/>
  <c r="AG85" i="4" s="1"/>
  <c r="O85" i="4" s="1"/>
  <c r="AD321" i="4"/>
  <c r="AF321" i="4" s="1"/>
  <c r="P321" i="4" s="1"/>
  <c r="AE321" i="4"/>
  <c r="AG321" i="4" s="1"/>
  <c r="O321" i="4" s="1"/>
  <c r="AE174" i="4"/>
  <c r="AG174" i="4" s="1"/>
  <c r="O174" i="4" s="1"/>
  <c r="AD174" i="4"/>
  <c r="AF174" i="4" s="1"/>
  <c r="P174" i="4" s="1"/>
  <c r="AE146" i="4"/>
  <c r="AG146" i="4" s="1"/>
  <c r="O146" i="4" s="1"/>
  <c r="AD146" i="4"/>
  <c r="AF146" i="4" s="1"/>
  <c r="P146" i="4" s="1"/>
  <c r="AE298" i="4"/>
  <c r="AG298" i="4" s="1"/>
  <c r="O298" i="4" s="1"/>
  <c r="AD298" i="4"/>
  <c r="AF298" i="4" s="1"/>
  <c r="P298" i="4" s="1"/>
  <c r="AE80" i="4"/>
  <c r="AG80" i="4" s="1"/>
  <c r="O80" i="4" s="1"/>
  <c r="AD80" i="4"/>
  <c r="AF80" i="4" s="1"/>
  <c r="P80" i="4" s="1"/>
  <c r="AE234" i="4"/>
  <c r="AG234" i="4" s="1"/>
  <c r="O234" i="4" s="1"/>
  <c r="AD234" i="4"/>
  <c r="AF234" i="4" s="1"/>
  <c r="P234" i="4" s="1"/>
  <c r="AE443" i="4"/>
  <c r="AG443" i="4" s="1"/>
  <c r="O443" i="4" s="1"/>
  <c r="AD443" i="4"/>
  <c r="AF443" i="4" s="1"/>
  <c r="P443" i="4" s="1"/>
  <c r="AE418" i="4"/>
  <c r="AG418" i="4" s="1"/>
  <c r="O418" i="4" s="1"/>
  <c r="AD418" i="4"/>
  <c r="AF418" i="4" s="1"/>
  <c r="P418" i="4" s="1"/>
  <c r="AE437" i="4"/>
  <c r="AG437" i="4" s="1"/>
  <c r="O437" i="4" s="1"/>
  <c r="AD437" i="4"/>
  <c r="AF437" i="4" s="1"/>
  <c r="P437" i="4" s="1"/>
  <c r="AD198" i="4"/>
  <c r="AF198" i="4" s="1"/>
  <c r="P198" i="4" s="1"/>
  <c r="AE198" i="4"/>
  <c r="AG198" i="4" s="1"/>
  <c r="O198" i="4" s="1"/>
  <c r="AE143" i="4"/>
  <c r="AG143" i="4" s="1"/>
  <c r="O143" i="4" s="1"/>
  <c r="AD143" i="4"/>
  <c r="AF143" i="4" s="1"/>
  <c r="P143" i="4" s="1"/>
  <c r="AE50" i="4"/>
  <c r="AG50" i="4" s="1"/>
  <c r="O50" i="4" s="1"/>
  <c r="AD50" i="4"/>
  <c r="AF50" i="4" s="1"/>
  <c r="P50" i="4" s="1"/>
  <c r="AE278" i="4"/>
  <c r="AG278" i="4" s="1"/>
  <c r="O278" i="4" s="1"/>
  <c r="AD278" i="4"/>
  <c r="AF278" i="4" s="1"/>
  <c r="P278" i="4" s="1"/>
  <c r="AD283" i="4"/>
  <c r="AF283" i="4" s="1"/>
  <c r="P283" i="4" s="1"/>
  <c r="AE283" i="4"/>
  <c r="AG283" i="4" s="1"/>
  <c r="O283" i="4" s="1"/>
  <c r="AE279" i="4"/>
  <c r="AG279" i="4" s="1"/>
  <c r="O279" i="4" s="1"/>
  <c r="AD279" i="4"/>
  <c r="AF279" i="4" s="1"/>
  <c r="P279" i="4" s="1"/>
  <c r="AD250" i="4"/>
  <c r="AF250" i="4" s="1"/>
  <c r="P250" i="4" s="1"/>
  <c r="AE250" i="4"/>
  <c r="AG250" i="4" s="1"/>
  <c r="O250" i="4" s="1"/>
  <c r="AD473" i="4"/>
  <c r="AF473" i="4" s="1"/>
  <c r="P473" i="4" s="1"/>
  <c r="AE473" i="4"/>
  <c r="AG473" i="4" s="1"/>
  <c r="O473" i="4" s="1"/>
  <c r="AE251" i="4"/>
  <c r="AG251" i="4" s="1"/>
  <c r="O251" i="4" s="1"/>
  <c r="AD251" i="4"/>
  <c r="AF251" i="4" s="1"/>
  <c r="P251" i="4" s="1"/>
  <c r="AD131" i="4"/>
  <c r="AF131" i="4" s="1"/>
  <c r="P131" i="4" s="1"/>
  <c r="AE131" i="4"/>
  <c r="AG131" i="4" s="1"/>
  <c r="O131" i="4" s="1"/>
  <c r="AD330" i="4"/>
  <c r="AF330" i="4" s="1"/>
  <c r="P330" i="4" s="1"/>
  <c r="AE330" i="4"/>
  <c r="AG330" i="4" s="1"/>
  <c r="O330" i="4" s="1"/>
  <c r="AE380" i="4"/>
  <c r="AG380" i="4" s="1"/>
  <c r="O380" i="4" s="1"/>
  <c r="AD380" i="4"/>
  <c r="AF380" i="4" s="1"/>
  <c r="P380" i="4" s="1"/>
  <c r="AE323" i="4"/>
  <c r="AG323" i="4" s="1"/>
  <c r="O323" i="4" s="1"/>
  <c r="AD323" i="4"/>
  <c r="AF323" i="4" s="1"/>
  <c r="P323" i="4" s="1"/>
  <c r="AE299" i="4"/>
  <c r="AG299" i="4" s="1"/>
  <c r="O299" i="4" s="1"/>
  <c r="AD299" i="4"/>
  <c r="AF299" i="4" s="1"/>
  <c r="P299" i="4" s="1"/>
  <c r="AD173" i="4"/>
  <c r="AF173" i="4" s="1"/>
  <c r="P173" i="4" s="1"/>
  <c r="AE173" i="4"/>
  <c r="AG173" i="4" s="1"/>
  <c r="O173" i="4" s="1"/>
  <c r="AD205" i="4"/>
  <c r="AF205" i="4" s="1"/>
  <c r="P205" i="4" s="1"/>
  <c r="AE205" i="4"/>
  <c r="AG205" i="4" s="1"/>
  <c r="O205" i="4" s="1"/>
  <c r="AD407" i="4"/>
  <c r="AF407" i="4" s="1"/>
  <c r="P407" i="4" s="1"/>
  <c r="AE407" i="4"/>
  <c r="AG407" i="4" s="1"/>
  <c r="O407" i="4" s="1"/>
  <c r="AD199" i="4"/>
  <c r="AF199" i="4" s="1"/>
  <c r="P199" i="4" s="1"/>
  <c r="AE199" i="4"/>
  <c r="AG199" i="4" s="1"/>
  <c r="O199" i="4" s="1"/>
  <c r="AD201" i="4"/>
  <c r="AF201" i="4" s="1"/>
  <c r="P201" i="4" s="1"/>
  <c r="AE201" i="4"/>
  <c r="AG201" i="4" s="1"/>
  <c r="O201" i="4" s="1"/>
  <c r="AD41" i="4"/>
  <c r="AF41" i="4" s="1"/>
  <c r="P41" i="4" s="1"/>
  <c r="AE41" i="4"/>
  <c r="AG41" i="4" s="1"/>
  <c r="O41" i="4" s="1"/>
  <c r="AD450" i="4"/>
  <c r="AF450" i="4" s="1"/>
  <c r="P450" i="4" s="1"/>
  <c r="AE450" i="4"/>
  <c r="AG450" i="4" s="1"/>
  <c r="O450" i="4" s="1"/>
  <c r="AE481" i="4"/>
  <c r="AG481" i="4" s="1"/>
  <c r="O481" i="4" s="1"/>
  <c r="AD481" i="4"/>
  <c r="AF481" i="4" s="1"/>
  <c r="P481" i="4" s="1"/>
  <c r="AD248" i="4"/>
  <c r="AF248" i="4" s="1"/>
  <c r="P248" i="4" s="1"/>
  <c r="AE248" i="4"/>
  <c r="AG248" i="4" s="1"/>
  <c r="O248" i="4" s="1"/>
  <c r="AD461" i="4"/>
  <c r="AF461" i="4" s="1"/>
  <c r="P461" i="4" s="1"/>
  <c r="AE461" i="4"/>
  <c r="AG461" i="4" s="1"/>
  <c r="O461" i="4" s="1"/>
  <c r="AD55" i="4"/>
  <c r="AF55" i="4" s="1"/>
  <c r="P55" i="4" s="1"/>
  <c r="AE55" i="4"/>
  <c r="AG55" i="4" s="1"/>
  <c r="O55" i="4" s="1"/>
  <c r="AD391" i="4"/>
  <c r="AF391" i="4" s="1"/>
  <c r="P391" i="4" s="1"/>
  <c r="AE391" i="4"/>
  <c r="AG391" i="4" s="1"/>
  <c r="O391" i="4" s="1"/>
  <c r="AE150" i="4"/>
  <c r="AG150" i="4" s="1"/>
  <c r="O150" i="4" s="1"/>
  <c r="AD150" i="4"/>
  <c r="AF150" i="4" s="1"/>
  <c r="P150" i="4" s="1"/>
  <c r="AE421" i="4"/>
  <c r="AG421" i="4" s="1"/>
  <c r="O421" i="4" s="1"/>
  <c r="AD421" i="4"/>
  <c r="AF421" i="4" s="1"/>
  <c r="P421" i="4" s="1"/>
  <c r="AD408" i="4"/>
  <c r="AF408" i="4" s="1"/>
  <c r="P408" i="4" s="1"/>
  <c r="AE408" i="4"/>
  <c r="AG408" i="4" s="1"/>
  <c r="O408" i="4" s="1"/>
  <c r="AD202" i="4"/>
  <c r="AF202" i="4" s="1"/>
  <c r="P202" i="4" s="1"/>
  <c r="AE202" i="4"/>
  <c r="AG202" i="4" s="1"/>
  <c r="O202" i="4" s="1"/>
  <c r="AE385" i="4"/>
  <c r="AG385" i="4" s="1"/>
  <c r="O385" i="4" s="1"/>
  <c r="AD385" i="4"/>
  <c r="AF385" i="4" s="1"/>
  <c r="P385" i="4" s="1"/>
  <c r="AD379" i="4"/>
  <c r="AF379" i="4" s="1"/>
  <c r="P379" i="4" s="1"/>
  <c r="AE379" i="4"/>
  <c r="AG379" i="4" s="1"/>
  <c r="O379" i="4" s="1"/>
  <c r="AD403" i="4"/>
  <c r="AF403" i="4" s="1"/>
  <c r="P403" i="4" s="1"/>
  <c r="AE403" i="4"/>
  <c r="AG403" i="4" s="1"/>
  <c r="O403" i="4" s="1"/>
  <c r="AD68" i="4"/>
  <c r="AF68" i="4" s="1"/>
  <c r="P68" i="4" s="1"/>
  <c r="AE68" i="4"/>
  <c r="AG68" i="4" s="1"/>
  <c r="O68" i="4" s="1"/>
  <c r="AD302" i="4"/>
  <c r="AF302" i="4" s="1"/>
  <c r="P302" i="4" s="1"/>
  <c r="AE302" i="4"/>
  <c r="AG302" i="4" s="1"/>
  <c r="O302" i="4" s="1"/>
  <c r="AD470" i="4"/>
  <c r="AF470" i="4" s="1"/>
  <c r="P470" i="4" s="1"/>
  <c r="AE470" i="4"/>
  <c r="AG470" i="4" s="1"/>
  <c r="O470" i="4" s="1"/>
  <c r="AD288" i="4"/>
  <c r="AF288" i="4" s="1"/>
  <c r="P288" i="4" s="1"/>
  <c r="AE288" i="4"/>
  <c r="AG288" i="4" s="1"/>
  <c r="O288" i="4" s="1"/>
  <c r="AE164" i="4"/>
  <c r="AG164" i="4" s="1"/>
  <c r="O164" i="4" s="1"/>
  <c r="AD164" i="4"/>
  <c r="AF164" i="4" s="1"/>
  <c r="P164" i="4" s="1"/>
  <c r="AE295" i="4"/>
  <c r="AG295" i="4" s="1"/>
  <c r="O295" i="4" s="1"/>
  <c r="AD295" i="4"/>
  <c r="AF295" i="4" s="1"/>
  <c r="P295" i="4" s="1"/>
  <c r="AE147" i="4"/>
  <c r="AG147" i="4" s="1"/>
  <c r="O147" i="4" s="1"/>
  <c r="AD147" i="4"/>
  <c r="AF147" i="4" s="1"/>
  <c r="P147" i="4" s="1"/>
  <c r="AD249" i="4"/>
  <c r="AF249" i="4" s="1"/>
  <c r="P249" i="4" s="1"/>
  <c r="AE249" i="4"/>
  <c r="AG249" i="4" s="1"/>
  <c r="O249" i="4" s="1"/>
  <c r="AE36" i="4"/>
  <c r="AG36" i="4" s="1"/>
  <c r="O36" i="4" s="1"/>
  <c r="AD36" i="4"/>
  <c r="AF36" i="4" s="1"/>
  <c r="P36" i="4" s="1"/>
  <c r="AE501" i="4"/>
  <c r="AG501" i="4" s="1"/>
  <c r="O501" i="4" s="1"/>
  <c r="AD501" i="4"/>
  <c r="AF501" i="4" s="1"/>
  <c r="P501" i="4" s="1"/>
  <c r="AD447" i="4"/>
  <c r="AF447" i="4" s="1"/>
  <c r="P447" i="4" s="1"/>
  <c r="AE447" i="4"/>
  <c r="AG447" i="4" s="1"/>
  <c r="O447" i="4" s="1"/>
  <c r="AD484" i="4"/>
  <c r="AF484" i="4" s="1"/>
  <c r="P484" i="4" s="1"/>
  <c r="AE484" i="4"/>
  <c r="AG484" i="4" s="1"/>
  <c r="O484" i="4" s="1"/>
  <c r="AD133" i="4"/>
  <c r="AF133" i="4" s="1"/>
  <c r="P133" i="4" s="1"/>
  <c r="AE133" i="4"/>
  <c r="AG133" i="4" s="1"/>
  <c r="O133" i="4" s="1"/>
  <c r="AD382" i="4"/>
  <c r="AF382" i="4" s="1"/>
  <c r="P382" i="4" s="1"/>
  <c r="AE382" i="4"/>
  <c r="AG382" i="4" s="1"/>
  <c r="O382" i="4" s="1"/>
  <c r="AD296" i="4"/>
  <c r="AF296" i="4" s="1"/>
  <c r="P296" i="4" s="1"/>
  <c r="AE296" i="4"/>
  <c r="AG296" i="4" s="1"/>
  <c r="O296" i="4" s="1"/>
  <c r="AE270" i="4"/>
  <c r="AG270" i="4" s="1"/>
  <c r="O270" i="4" s="1"/>
  <c r="AD270" i="4"/>
  <c r="AF270" i="4" s="1"/>
  <c r="P270" i="4" s="1"/>
  <c r="AD474" i="4"/>
  <c r="AF474" i="4" s="1"/>
  <c r="P474" i="4" s="1"/>
  <c r="AE474" i="4"/>
  <c r="AG474" i="4" s="1"/>
  <c r="O474" i="4" s="1"/>
  <c r="AE376" i="4"/>
  <c r="AG376" i="4" s="1"/>
  <c r="O376" i="4" s="1"/>
  <c r="AD376" i="4"/>
  <c r="AF376" i="4" s="1"/>
  <c r="P376" i="4" s="1"/>
  <c r="AD315" i="4"/>
  <c r="AF315" i="4" s="1"/>
  <c r="P315" i="4" s="1"/>
  <c r="AE315" i="4"/>
  <c r="AG315" i="4" s="1"/>
  <c r="O315" i="4" s="1"/>
  <c r="AD33" i="4"/>
  <c r="AF33" i="4" s="1"/>
  <c r="P33" i="4" s="1"/>
  <c r="AE33" i="4"/>
  <c r="AG33" i="4" s="1"/>
  <c r="O33" i="4" s="1"/>
  <c r="AE83" i="4"/>
  <c r="AG83" i="4" s="1"/>
  <c r="O83" i="4" s="1"/>
  <c r="AD83" i="4"/>
  <c r="AF83" i="4" s="1"/>
  <c r="P83" i="4" s="1"/>
  <c r="AD185" i="4"/>
  <c r="AF185" i="4" s="1"/>
  <c r="P185" i="4" s="1"/>
  <c r="AE185" i="4"/>
  <c r="AG185" i="4" s="1"/>
  <c r="O185" i="4" s="1"/>
  <c r="AE261" i="4"/>
  <c r="AG261" i="4" s="1"/>
  <c r="O261" i="4" s="1"/>
  <c r="AD261" i="4"/>
  <c r="AF261" i="4" s="1"/>
  <c r="P261" i="4" s="1"/>
  <c r="AE231" i="4"/>
  <c r="AG231" i="4" s="1"/>
  <c r="O231" i="4" s="1"/>
  <c r="AD231" i="4"/>
  <c r="AF231" i="4" s="1"/>
  <c r="P231" i="4" s="1"/>
  <c r="AD429" i="4"/>
  <c r="AF429" i="4" s="1"/>
  <c r="P429" i="4" s="1"/>
  <c r="AE429" i="4"/>
  <c r="AG429" i="4" s="1"/>
  <c r="O429" i="4" s="1"/>
  <c r="AE471" i="4"/>
  <c r="AG471" i="4" s="1"/>
  <c r="O471" i="4" s="1"/>
  <c r="AD471" i="4"/>
  <c r="AF471" i="4" s="1"/>
  <c r="P471" i="4" s="1"/>
  <c r="AD130" i="4"/>
  <c r="AF130" i="4" s="1"/>
  <c r="P130" i="4" s="1"/>
  <c r="AE130" i="4"/>
  <c r="AG130" i="4" s="1"/>
  <c r="O130" i="4" s="1"/>
  <c r="AE316" i="4"/>
  <c r="AG316" i="4" s="1"/>
  <c r="O316" i="4" s="1"/>
  <c r="AD316" i="4"/>
  <c r="AF316" i="4" s="1"/>
  <c r="P316" i="4" s="1"/>
  <c r="AD332" i="4"/>
  <c r="AF332" i="4" s="1"/>
  <c r="P332" i="4" s="1"/>
  <c r="AE332" i="4"/>
  <c r="AG332" i="4" s="1"/>
  <c r="O332" i="4" s="1"/>
  <c r="AD226" i="4"/>
  <c r="AF226" i="4" s="1"/>
  <c r="P226" i="4" s="1"/>
  <c r="AE226" i="4"/>
  <c r="AG226" i="4" s="1"/>
  <c r="O226" i="4" s="1"/>
  <c r="AE139" i="4"/>
  <c r="AG139" i="4" s="1"/>
  <c r="O139" i="4" s="1"/>
  <c r="AD139" i="4"/>
  <c r="AF139" i="4" s="1"/>
  <c r="P139" i="4" s="1"/>
  <c r="AD35" i="4"/>
  <c r="AF35" i="4" s="1"/>
  <c r="P35" i="4" s="1"/>
  <c r="AE35" i="4"/>
  <c r="AG35" i="4" s="1"/>
  <c r="O35" i="4" s="1"/>
  <c r="AD116" i="4"/>
  <c r="AF116" i="4" s="1"/>
  <c r="P116" i="4" s="1"/>
  <c r="AE116" i="4"/>
  <c r="AG116" i="4" s="1"/>
  <c r="O116" i="4" s="1"/>
  <c r="AD255" i="4"/>
  <c r="AF255" i="4" s="1"/>
  <c r="P255" i="4" s="1"/>
  <c r="AE255" i="4"/>
  <c r="AG255" i="4" s="1"/>
  <c r="O255" i="4" s="1"/>
  <c r="AD193" i="4"/>
  <c r="AF193" i="4" s="1"/>
  <c r="P193" i="4" s="1"/>
  <c r="AE193" i="4"/>
  <c r="AG193" i="4" s="1"/>
  <c r="O193" i="4" s="1"/>
  <c r="AD195" i="4"/>
  <c r="AF195" i="4" s="1"/>
  <c r="P195" i="4" s="1"/>
  <c r="AE195" i="4"/>
  <c r="AG195" i="4" s="1"/>
  <c r="O195" i="4" s="1"/>
  <c r="AE54" i="4"/>
  <c r="AG54" i="4" s="1"/>
  <c r="O54" i="4" s="1"/>
  <c r="AD54" i="4"/>
  <c r="AF54" i="4" s="1"/>
  <c r="P54" i="4" s="1"/>
  <c r="AE72" i="4"/>
  <c r="AG72" i="4" s="1"/>
  <c r="O72" i="4" s="1"/>
  <c r="AD72" i="4"/>
  <c r="AF72" i="4" s="1"/>
  <c r="P72" i="4" s="1"/>
  <c r="AD237" i="4"/>
  <c r="AF237" i="4" s="1"/>
  <c r="P237" i="4" s="1"/>
  <c r="AE237" i="4"/>
  <c r="AG237" i="4" s="1"/>
  <c r="O237" i="4" s="1"/>
  <c r="AE310" i="4"/>
  <c r="AG310" i="4" s="1"/>
  <c r="O310" i="4" s="1"/>
  <c r="AD310" i="4"/>
  <c r="AF310" i="4" s="1"/>
  <c r="P310" i="4" s="1"/>
  <c r="AD52" i="4"/>
  <c r="AF52" i="4" s="1"/>
  <c r="P52" i="4" s="1"/>
  <c r="AE52" i="4"/>
  <c r="AG52" i="4" s="1"/>
  <c r="O52" i="4" s="1"/>
  <c r="AE168" i="4"/>
  <c r="AG168" i="4" s="1"/>
  <c r="O168" i="4" s="1"/>
  <c r="AD168" i="4"/>
  <c r="AF168" i="4" s="1"/>
  <c r="P168" i="4" s="1"/>
  <c r="AD213" i="4"/>
  <c r="AF213" i="4" s="1"/>
  <c r="P213" i="4" s="1"/>
  <c r="AE213" i="4"/>
  <c r="AG213" i="4" s="1"/>
  <c r="O213" i="4" s="1"/>
  <c r="AE498" i="4"/>
  <c r="AG498" i="4" s="1"/>
  <c r="O498" i="4" s="1"/>
  <c r="AD498" i="4"/>
  <c r="AF498" i="4" s="1"/>
  <c r="P498" i="4" s="1"/>
  <c r="AD229" i="4"/>
  <c r="AF229" i="4" s="1"/>
  <c r="P229" i="4" s="1"/>
  <c r="AE229" i="4"/>
  <c r="AG229" i="4" s="1"/>
  <c r="O229" i="4" s="1"/>
  <c r="AD499" i="4"/>
  <c r="AF499" i="4" s="1"/>
  <c r="P499" i="4" s="1"/>
  <c r="AE499" i="4"/>
  <c r="AG499" i="4" s="1"/>
  <c r="O499" i="4" s="1"/>
  <c r="AD354" i="4"/>
  <c r="AF354" i="4" s="1"/>
  <c r="P354" i="4" s="1"/>
  <c r="AE354" i="4"/>
  <c r="AG354" i="4" s="1"/>
  <c r="O354" i="4" s="1"/>
  <c r="AD59" i="4"/>
  <c r="AF59" i="4" s="1"/>
  <c r="P59" i="4" s="1"/>
  <c r="AE59" i="4"/>
  <c r="AG59" i="4" s="1"/>
  <c r="O59" i="4" s="1"/>
  <c r="AD269" i="4"/>
  <c r="AF269" i="4" s="1"/>
  <c r="P269" i="4" s="1"/>
  <c r="AE269" i="4"/>
  <c r="AG269" i="4" s="1"/>
  <c r="O269" i="4" s="1"/>
  <c r="AE127" i="4"/>
  <c r="AG127" i="4" s="1"/>
  <c r="O127" i="4" s="1"/>
  <c r="AD127" i="4"/>
  <c r="AF127" i="4" s="1"/>
  <c r="P127" i="4" s="1"/>
  <c r="AE247" i="4"/>
  <c r="AG247" i="4" s="1"/>
  <c r="O247" i="4" s="1"/>
  <c r="AD247" i="4"/>
  <c r="AF247" i="4" s="1"/>
  <c r="P247" i="4" s="1"/>
  <c r="AD333" i="4"/>
  <c r="AF333" i="4" s="1"/>
  <c r="P333" i="4" s="1"/>
  <c r="AE333" i="4"/>
  <c r="AG333" i="4" s="1"/>
  <c r="O333" i="4" s="1"/>
  <c r="AD81" i="4"/>
  <c r="AF81" i="4" s="1"/>
  <c r="P81" i="4" s="1"/>
  <c r="AE81" i="4"/>
  <c r="AG81" i="4" s="1"/>
  <c r="O81" i="4" s="1"/>
  <c r="AE158" i="4"/>
  <c r="AG158" i="4" s="1"/>
  <c r="O158" i="4" s="1"/>
  <c r="AD158" i="4"/>
  <c r="AF158" i="4" s="1"/>
  <c r="P158" i="4" s="1"/>
  <c r="AD384" i="4"/>
  <c r="AF384" i="4" s="1"/>
  <c r="P384" i="4" s="1"/>
  <c r="AE384" i="4"/>
  <c r="AG384" i="4" s="1"/>
  <c r="O384" i="4" s="1"/>
  <c r="AD106" i="4"/>
  <c r="AF106" i="4" s="1"/>
  <c r="P106" i="4" s="1"/>
  <c r="AE106" i="4"/>
  <c r="AG106" i="4" s="1"/>
  <c r="O106" i="4" s="1"/>
  <c r="AE390" i="4"/>
  <c r="AG390" i="4" s="1"/>
  <c r="O390" i="4" s="1"/>
  <c r="AD390" i="4"/>
  <c r="AF390" i="4" s="1"/>
  <c r="P390" i="4" s="1"/>
  <c r="AE365" i="4"/>
  <c r="AG365" i="4" s="1"/>
  <c r="O365" i="4" s="1"/>
  <c r="AD365" i="4"/>
  <c r="AF365" i="4" s="1"/>
  <c r="P365" i="4" s="1"/>
  <c r="AD284" i="4"/>
  <c r="AF284" i="4" s="1"/>
  <c r="P284" i="4" s="1"/>
  <c r="AE284" i="4"/>
  <c r="AG284" i="4" s="1"/>
  <c r="O284" i="4" s="1"/>
  <c r="AE167" i="4"/>
  <c r="AG167" i="4" s="1"/>
  <c r="O167" i="4" s="1"/>
  <c r="AD167" i="4"/>
  <c r="AF167" i="4" s="1"/>
  <c r="P167" i="4" s="1"/>
  <c r="AE235" i="4"/>
  <c r="AG235" i="4" s="1"/>
  <c r="O235" i="4" s="1"/>
  <c r="AD235" i="4"/>
  <c r="AF235" i="4" s="1"/>
  <c r="P235" i="4" s="1"/>
  <c r="AE53" i="4"/>
  <c r="AG53" i="4" s="1"/>
  <c r="O53" i="4" s="1"/>
  <c r="AD53" i="4"/>
  <c r="AF53" i="4" s="1"/>
  <c r="P53" i="4" s="1"/>
  <c r="AE290" i="4"/>
  <c r="AG290" i="4" s="1"/>
  <c r="O290" i="4" s="1"/>
  <c r="AD290" i="4"/>
  <c r="AF290" i="4" s="1"/>
  <c r="P290" i="4" s="1"/>
  <c r="AD493" i="4"/>
  <c r="AF493" i="4" s="1"/>
  <c r="P493" i="4" s="1"/>
  <c r="AE493" i="4"/>
  <c r="AG493" i="4" s="1"/>
  <c r="O493" i="4" s="1"/>
  <c r="AD223" i="4"/>
  <c r="AF223" i="4" s="1"/>
  <c r="P223" i="4" s="1"/>
  <c r="AE223" i="4"/>
  <c r="AG223" i="4" s="1"/>
  <c r="O223" i="4" s="1"/>
  <c r="AE240" i="4"/>
  <c r="AG240" i="4" s="1"/>
  <c r="O240" i="4" s="1"/>
  <c r="AD240" i="4"/>
  <c r="AF240" i="4" s="1"/>
  <c r="P240" i="4" s="1"/>
  <c r="AE276" i="4"/>
  <c r="AG276" i="4" s="1"/>
  <c r="O276" i="4" s="1"/>
  <c r="AD276" i="4"/>
  <c r="AF276" i="4" s="1"/>
  <c r="P276" i="4" s="1"/>
  <c r="AD63" i="4"/>
  <c r="AF63" i="4" s="1"/>
  <c r="P63" i="4" s="1"/>
  <c r="AE63" i="4"/>
  <c r="AG63" i="4" s="1"/>
  <c r="O63" i="4" s="1"/>
  <c r="AE162" i="4"/>
  <c r="AG162" i="4" s="1"/>
  <c r="O162" i="4" s="1"/>
  <c r="AD162" i="4"/>
  <c r="AF162" i="4" s="1"/>
  <c r="P162" i="4" s="1"/>
  <c r="AE184" i="4"/>
  <c r="AG184" i="4" s="1"/>
  <c r="O184" i="4" s="1"/>
  <c r="AD184" i="4"/>
  <c r="AF184" i="4" s="1"/>
  <c r="P184" i="4" s="1"/>
  <c r="AE487" i="4"/>
  <c r="AG487" i="4" s="1"/>
  <c r="O487" i="4" s="1"/>
  <c r="AD487" i="4"/>
  <c r="AF487" i="4" s="1"/>
  <c r="P487" i="4" s="1"/>
  <c r="AD110" i="4"/>
  <c r="AF110" i="4" s="1"/>
  <c r="P110" i="4" s="1"/>
  <c r="AE110" i="4"/>
  <c r="AG110" i="4" s="1"/>
  <c r="O110" i="4" s="1"/>
  <c r="AD43" i="4"/>
  <c r="AF43" i="4" s="1"/>
  <c r="P43" i="4" s="1"/>
  <c r="AE43" i="4"/>
  <c r="AG43" i="4" s="1"/>
  <c r="O43" i="4" s="1"/>
  <c r="AE144" i="4"/>
  <c r="AG144" i="4" s="1"/>
  <c r="O144" i="4" s="1"/>
  <c r="AD144" i="4"/>
  <c r="AF144" i="4" s="1"/>
  <c r="P144" i="4" s="1"/>
  <c r="AD204" i="4"/>
  <c r="AF204" i="4" s="1"/>
  <c r="P204" i="4" s="1"/>
  <c r="AE204" i="4"/>
  <c r="AG204" i="4" s="1"/>
  <c r="O204" i="4" s="1"/>
  <c r="AE224" i="4"/>
  <c r="AG224" i="4" s="1"/>
  <c r="O224" i="4" s="1"/>
  <c r="AD224" i="4"/>
  <c r="AF224" i="4" s="1"/>
  <c r="P224" i="4" s="1"/>
  <c r="AE412" i="4"/>
  <c r="AG412" i="4" s="1"/>
  <c r="O412" i="4" s="1"/>
  <c r="AD412" i="4"/>
  <c r="AF412" i="4" s="1"/>
  <c r="P412" i="4" s="1"/>
  <c r="AE151" i="4"/>
  <c r="AG151" i="4" s="1"/>
  <c r="O151" i="4" s="1"/>
  <c r="AD151" i="4"/>
  <c r="AF151" i="4" s="1"/>
  <c r="P151" i="4" s="1"/>
  <c r="AE69" i="4"/>
  <c r="AG69" i="4" s="1"/>
  <c r="O69" i="4" s="1"/>
  <c r="AD69" i="4"/>
  <c r="AF69" i="4" s="1"/>
  <c r="P69" i="4" s="1"/>
  <c r="AE311" i="4"/>
  <c r="AG311" i="4" s="1"/>
  <c r="O311" i="4" s="1"/>
  <c r="AD311" i="4"/>
  <c r="AF311" i="4" s="1"/>
  <c r="P311" i="4" s="1"/>
  <c r="AD433" i="4"/>
  <c r="AF433" i="4" s="1"/>
  <c r="P433" i="4" s="1"/>
  <c r="AE433" i="4"/>
  <c r="AG433" i="4" s="1"/>
  <c r="O433" i="4" s="1"/>
  <c r="AD215" i="4"/>
  <c r="AF215" i="4" s="1"/>
  <c r="P215" i="4" s="1"/>
  <c r="AE215" i="4"/>
  <c r="AG215" i="4" s="1"/>
  <c r="O215" i="4" s="1"/>
  <c r="AE349" i="4"/>
  <c r="AG349" i="4" s="1"/>
  <c r="O349" i="4" s="1"/>
  <c r="AD349" i="4"/>
  <c r="AF349" i="4" s="1"/>
  <c r="P349" i="4" s="1"/>
  <c r="AD348" i="4"/>
  <c r="AF348" i="4" s="1"/>
  <c r="P348" i="4" s="1"/>
  <c r="AE348" i="4"/>
  <c r="AG348" i="4" s="1"/>
  <c r="O348" i="4" s="1"/>
  <c r="AE4" i="4"/>
  <c r="AG4" i="4" s="1"/>
  <c r="O4" i="4" s="1"/>
  <c r="AD4" i="4"/>
  <c r="AF4" i="4" s="1"/>
  <c r="P4" i="4" s="1"/>
  <c r="AE109" i="4"/>
  <c r="AG109" i="4" s="1"/>
  <c r="O109" i="4" s="1"/>
  <c r="AD109" i="4"/>
  <c r="AF109" i="4" s="1"/>
  <c r="P109" i="4" s="1"/>
  <c r="AE135" i="4"/>
  <c r="AG135" i="4" s="1"/>
  <c r="O135" i="4" s="1"/>
  <c r="AD135" i="4"/>
  <c r="AF135" i="4" s="1"/>
  <c r="P135" i="4" s="1"/>
  <c r="AD183" i="4"/>
  <c r="AF183" i="4" s="1"/>
  <c r="P183" i="4" s="1"/>
  <c r="AE183" i="4"/>
  <c r="AG183" i="4" s="1"/>
  <c r="O183" i="4" s="1"/>
  <c r="AE98" i="4"/>
  <c r="AG98" i="4" s="1"/>
  <c r="O98" i="4" s="1"/>
  <c r="AD98" i="4"/>
  <c r="AF98" i="4" s="1"/>
  <c r="P98" i="4" s="1"/>
  <c r="AD342" i="4"/>
  <c r="AF342" i="4" s="1"/>
  <c r="P342" i="4" s="1"/>
  <c r="AE342" i="4"/>
  <c r="AG342" i="4" s="1"/>
  <c r="O342" i="4" s="1"/>
  <c r="AE445" i="4"/>
  <c r="AG445" i="4" s="1"/>
  <c r="O445" i="4" s="1"/>
  <c r="AD445" i="4"/>
  <c r="AF445" i="4" s="1"/>
  <c r="P445" i="4" s="1"/>
  <c r="AD67" i="4"/>
  <c r="AF67" i="4" s="1"/>
  <c r="P67" i="4" s="1"/>
  <c r="AE67" i="4"/>
  <c r="AG67" i="4" s="1"/>
  <c r="O67" i="4" s="1"/>
  <c r="AE161" i="4"/>
  <c r="AG161" i="4" s="1"/>
  <c r="O161" i="4" s="1"/>
  <c r="AD161" i="4"/>
  <c r="AF161" i="4" s="1"/>
  <c r="P161" i="4" s="1"/>
  <c r="AD441" i="4"/>
  <c r="AF441" i="4" s="1"/>
  <c r="P441" i="4" s="1"/>
  <c r="AE441" i="4"/>
  <c r="AG441" i="4" s="1"/>
  <c r="O441" i="4" s="1"/>
  <c r="AD478" i="4"/>
  <c r="AF478" i="4" s="1"/>
  <c r="P478" i="4" s="1"/>
  <c r="AE478" i="4"/>
  <c r="AG478" i="4" s="1"/>
  <c r="O478" i="4" s="1"/>
  <c r="AD186" i="4"/>
  <c r="AF186" i="4" s="1"/>
  <c r="P186" i="4" s="1"/>
  <c r="AE186" i="4"/>
  <c r="AG186" i="4" s="1"/>
  <c r="O186" i="4" s="1"/>
  <c r="AE442" i="4"/>
  <c r="AG442" i="4" s="1"/>
  <c r="O442" i="4" s="1"/>
  <c r="AD442" i="4"/>
  <c r="AF442" i="4" s="1"/>
  <c r="P442" i="4" s="1"/>
  <c r="AE467" i="4"/>
  <c r="AG467" i="4" s="1"/>
  <c r="O467" i="4" s="1"/>
  <c r="AD467" i="4"/>
  <c r="AF467" i="4" s="1"/>
  <c r="P467" i="4" s="1"/>
  <c r="AD105" i="4"/>
  <c r="AF105" i="4" s="1"/>
  <c r="P105" i="4" s="1"/>
  <c r="AE105" i="4"/>
  <c r="AG105" i="4" s="1"/>
  <c r="O105" i="4" s="1"/>
  <c r="AD317" i="4"/>
  <c r="AF317" i="4" s="1"/>
  <c r="P317" i="4" s="1"/>
  <c r="AE317" i="4"/>
  <c r="AG317" i="4" s="1"/>
  <c r="O317" i="4" s="1"/>
  <c r="AE104" i="4"/>
  <c r="AG104" i="4" s="1"/>
  <c r="O104" i="4" s="1"/>
  <c r="AD104" i="4"/>
  <c r="AF104" i="4" s="1"/>
  <c r="P104" i="4" s="1"/>
  <c r="AE137" i="4"/>
  <c r="AG137" i="4" s="1"/>
  <c r="O137" i="4" s="1"/>
  <c r="AD137" i="4"/>
  <c r="AF137" i="4" s="1"/>
  <c r="P137" i="4" s="1"/>
  <c r="AE336" i="4"/>
  <c r="AG336" i="4" s="1"/>
  <c r="O336" i="4" s="1"/>
  <c r="AD336" i="4"/>
  <c r="AF336" i="4" s="1"/>
  <c r="P336" i="4" s="1"/>
  <c r="AE113" i="4"/>
  <c r="AG113" i="4" s="1"/>
  <c r="O113" i="4" s="1"/>
  <c r="AD113" i="4"/>
  <c r="AF113" i="4" s="1"/>
  <c r="P113" i="4" s="1"/>
  <c r="AD94" i="4"/>
  <c r="AF94" i="4" s="1"/>
  <c r="P94" i="4" s="1"/>
  <c r="AE94" i="4"/>
  <c r="AG94" i="4" s="1"/>
  <c r="O94" i="4" s="1"/>
  <c r="AE200" i="4"/>
  <c r="AG200" i="4" s="1"/>
  <c r="O200" i="4" s="1"/>
  <c r="AD200" i="4"/>
  <c r="AF200" i="4" s="1"/>
  <c r="P200" i="4" s="1"/>
  <c r="AE439" i="4"/>
  <c r="AG439" i="4" s="1"/>
  <c r="O439" i="4" s="1"/>
  <c r="AD439" i="4"/>
  <c r="AF439" i="4" s="1"/>
  <c r="P439" i="4" s="1"/>
  <c r="AE430" i="4"/>
  <c r="AG430" i="4" s="1"/>
  <c r="O430" i="4" s="1"/>
  <c r="AD430" i="4"/>
  <c r="AF430" i="4" s="1"/>
  <c r="P430" i="4" s="1"/>
  <c r="AD460" i="4"/>
  <c r="AF460" i="4" s="1"/>
  <c r="P460" i="4" s="1"/>
  <c r="AE460" i="4"/>
  <c r="AG460" i="4" s="1"/>
  <c r="O460" i="4" s="1"/>
  <c r="AE324" i="4"/>
  <c r="AG324" i="4" s="1"/>
  <c r="O324" i="4" s="1"/>
  <c r="AD324" i="4"/>
  <c r="AF324" i="4" s="1"/>
  <c r="P324" i="4" s="1"/>
  <c r="AE169" i="4"/>
  <c r="AG169" i="4" s="1"/>
  <c r="O169" i="4" s="1"/>
  <c r="AD169" i="4"/>
  <c r="AF169" i="4" s="1"/>
  <c r="P169" i="4" s="1"/>
  <c r="AD456" i="4"/>
  <c r="AF456" i="4" s="1"/>
  <c r="P456" i="4" s="1"/>
  <c r="AE456" i="4"/>
  <c r="AG456" i="4" s="1"/>
  <c r="O456" i="4" s="1"/>
  <c r="AE416" i="4"/>
  <c r="AG416" i="4" s="1"/>
  <c r="O416" i="4" s="1"/>
  <c r="AD416" i="4"/>
  <c r="AF416" i="4" s="1"/>
  <c r="P416" i="4" s="1"/>
  <c r="AE219" i="4"/>
  <c r="AG219" i="4" s="1"/>
  <c r="O219" i="4" s="1"/>
  <c r="AD219" i="4"/>
  <c r="AF219" i="4" s="1"/>
  <c r="P219" i="4" s="1"/>
  <c r="AD233" i="4"/>
  <c r="AF233" i="4" s="1"/>
  <c r="P233" i="4" s="1"/>
  <c r="AE233" i="4"/>
  <c r="AG233" i="4" s="1"/>
  <c r="O233" i="4" s="1"/>
  <c r="AE428" i="4"/>
  <c r="AG428" i="4" s="1"/>
  <c r="O428" i="4" s="1"/>
  <c r="AD428" i="4"/>
  <c r="AF428" i="4" s="1"/>
  <c r="P428" i="4" s="1"/>
  <c r="AE64" i="4"/>
  <c r="AG64" i="4" s="1"/>
  <c r="O64" i="4" s="1"/>
  <c r="AD64" i="4"/>
  <c r="AF64" i="4" s="1"/>
  <c r="P64" i="4" s="1"/>
  <c r="AD62" i="4"/>
  <c r="AF62" i="4" s="1"/>
  <c r="P62" i="4" s="1"/>
  <c r="AE62" i="4"/>
  <c r="AG62" i="4" s="1"/>
  <c r="O62" i="4" s="1"/>
  <c r="AE318" i="4"/>
  <c r="AG318" i="4" s="1"/>
  <c r="O318" i="4" s="1"/>
  <c r="AD318" i="4"/>
  <c r="AF318" i="4" s="1"/>
  <c r="P318" i="4" s="1"/>
  <c r="AE308" i="4"/>
  <c r="AG308" i="4" s="1"/>
  <c r="O308" i="4" s="1"/>
  <c r="AD308" i="4"/>
  <c r="AF308" i="4" s="1"/>
  <c r="P308" i="4" s="1"/>
  <c r="AE134" i="4"/>
  <c r="AG134" i="4" s="1"/>
  <c r="O134" i="4" s="1"/>
  <c r="AD134" i="4"/>
  <c r="AF134" i="4" s="1"/>
  <c r="P134" i="4" s="1"/>
  <c r="AD88" i="4"/>
  <c r="AF88" i="4" s="1"/>
  <c r="P88" i="4" s="1"/>
  <c r="AE88" i="4"/>
  <c r="AG88" i="4" s="1"/>
  <c r="O88" i="4" s="1"/>
  <c r="AD406" i="4"/>
  <c r="AF406" i="4" s="1"/>
  <c r="P406" i="4" s="1"/>
  <c r="AE406" i="4"/>
  <c r="AG406" i="4" s="1"/>
  <c r="O406" i="4" s="1"/>
  <c r="AD194" i="4"/>
  <c r="AF194" i="4" s="1"/>
  <c r="P194" i="4" s="1"/>
  <c r="AE194" i="4"/>
  <c r="AG194" i="4" s="1"/>
  <c r="O194" i="4" s="1"/>
  <c r="AD25" i="4"/>
  <c r="AF25" i="4" s="1"/>
  <c r="P25" i="4" s="1"/>
  <c r="AE25" i="4"/>
  <c r="AG25" i="4" s="1"/>
  <c r="O25" i="4" s="1"/>
  <c r="AE297" i="4"/>
  <c r="AG297" i="4" s="1"/>
  <c r="O297" i="4" s="1"/>
  <c r="AD297" i="4"/>
  <c r="AF297" i="4" s="1"/>
  <c r="P297" i="4" s="1"/>
  <c r="AE177" i="4"/>
  <c r="AG177" i="4" s="1"/>
  <c r="O177" i="4" s="1"/>
  <c r="AD177" i="4"/>
  <c r="AF177" i="4" s="1"/>
  <c r="P177" i="4" s="1"/>
  <c r="AE496" i="4"/>
  <c r="AG496" i="4" s="1"/>
  <c r="O496" i="4" s="1"/>
  <c r="AD496" i="4"/>
  <c r="AF496" i="4" s="1"/>
  <c r="P496" i="4" s="1"/>
  <c r="AE56" i="4"/>
  <c r="AG56" i="4" s="1"/>
  <c r="O56" i="4" s="1"/>
  <c r="AD56" i="4"/>
  <c r="AF56" i="4" s="1"/>
  <c r="P56" i="4" s="1"/>
  <c r="AD451" i="4"/>
  <c r="AF451" i="4" s="1"/>
  <c r="P451" i="4" s="1"/>
  <c r="AE451" i="4"/>
  <c r="AG451" i="4" s="1"/>
  <c r="O451" i="4" s="1"/>
  <c r="AD84" i="4"/>
  <c r="AF84" i="4" s="1"/>
  <c r="P84" i="4" s="1"/>
  <c r="AE84" i="4"/>
  <c r="AG84" i="4" s="1"/>
  <c r="O84" i="4" s="1"/>
  <c r="AE327" i="4"/>
  <c r="AG327" i="4" s="1"/>
  <c r="O327" i="4" s="1"/>
  <c r="AD327" i="4"/>
  <c r="AF327" i="4" s="1"/>
  <c r="P327" i="4" s="1"/>
  <c r="AE371" i="4"/>
  <c r="AG371" i="4" s="1"/>
  <c r="O371" i="4" s="1"/>
  <c r="AD371" i="4"/>
  <c r="AF371" i="4" s="1"/>
  <c r="P371" i="4" s="1"/>
  <c r="AE405" i="4"/>
  <c r="AG405" i="4" s="1"/>
  <c r="O405" i="4" s="1"/>
  <c r="AD405" i="4"/>
  <c r="AF405" i="4" s="1"/>
  <c r="P405" i="4" s="1"/>
  <c r="AD291" i="4"/>
  <c r="AF291" i="4" s="1"/>
  <c r="P291" i="4" s="1"/>
  <c r="AE291" i="4"/>
  <c r="AG291" i="4" s="1"/>
  <c r="O291" i="4" s="1"/>
  <c r="AD211" i="4"/>
  <c r="AF211" i="4" s="1"/>
  <c r="P211" i="4" s="1"/>
  <c r="AE211" i="4"/>
  <c r="AG211" i="4" s="1"/>
  <c r="O211" i="4" s="1"/>
  <c r="AD457" i="4"/>
  <c r="AF457" i="4" s="1"/>
  <c r="P457" i="4" s="1"/>
  <c r="AE457" i="4"/>
  <c r="AG457" i="4" s="1"/>
  <c r="O457" i="4" s="1"/>
  <c r="AD141" i="4"/>
  <c r="AF141" i="4" s="1"/>
  <c r="P141" i="4" s="1"/>
  <c r="AE141" i="4"/>
  <c r="AG141" i="4" s="1"/>
  <c r="O141" i="4" s="1"/>
  <c r="AD259" i="4"/>
  <c r="AF259" i="4" s="1"/>
  <c r="P259" i="4" s="1"/>
  <c r="AE259" i="4"/>
  <c r="AG259" i="4" s="1"/>
  <c r="O259" i="4" s="1"/>
  <c r="AE103" i="4"/>
  <c r="AG103" i="4" s="1"/>
  <c r="O103" i="4" s="1"/>
  <c r="AD103" i="4"/>
  <c r="AF103" i="4" s="1"/>
  <c r="P103" i="4" s="1"/>
  <c r="AD341" i="4"/>
  <c r="AF341" i="4" s="1"/>
  <c r="P341" i="4" s="1"/>
  <c r="AE341" i="4"/>
  <c r="AG341" i="4" s="1"/>
  <c r="O341" i="4" s="1"/>
  <c r="AE328" i="4"/>
  <c r="AG328" i="4" s="1"/>
  <c r="O328" i="4" s="1"/>
  <c r="AD328" i="4"/>
  <c r="AF328" i="4" s="1"/>
  <c r="P328" i="4" s="1"/>
  <c r="AD343" i="4"/>
  <c r="AF343" i="4" s="1"/>
  <c r="P343" i="4" s="1"/>
  <c r="AE343" i="4"/>
  <c r="AG343" i="4" s="1"/>
  <c r="O343" i="4" s="1"/>
  <c r="AD401" i="4"/>
  <c r="AF401" i="4" s="1"/>
  <c r="P401" i="4" s="1"/>
  <c r="AE401" i="4"/>
  <c r="AG401" i="4" s="1"/>
  <c r="O401" i="4" s="1"/>
  <c r="AD175" i="4"/>
  <c r="AF175" i="4" s="1"/>
  <c r="P175" i="4" s="1"/>
  <c r="AE175" i="4"/>
  <c r="AG175" i="4" s="1"/>
  <c r="O175" i="4" s="1"/>
  <c r="AE359" i="4"/>
  <c r="AG359" i="4" s="1"/>
  <c r="O359" i="4" s="1"/>
  <c r="AD359" i="4"/>
  <c r="AF359" i="4" s="1"/>
  <c r="P359" i="4" s="1"/>
  <c r="AD15" i="4"/>
  <c r="AF15" i="4" s="1"/>
  <c r="P15" i="4" s="1"/>
  <c r="AE15" i="4"/>
  <c r="AG15" i="4" s="1"/>
  <c r="O15" i="4" s="1"/>
  <c r="AE108" i="4"/>
  <c r="AG108" i="4" s="1"/>
  <c r="O108" i="4" s="1"/>
  <c r="AD108" i="4"/>
  <c r="AF108" i="4" s="1"/>
  <c r="P108" i="4" s="1"/>
  <c r="AD483" i="4"/>
  <c r="AF483" i="4" s="1"/>
  <c r="P483" i="4" s="1"/>
  <c r="AE483" i="4"/>
  <c r="AG483" i="4" s="1"/>
  <c r="O483" i="4" s="1"/>
  <c r="AD482" i="4"/>
  <c r="AF482" i="4" s="1"/>
  <c r="P482" i="4" s="1"/>
  <c r="AE482" i="4"/>
  <c r="AG482" i="4" s="1"/>
  <c r="O482" i="4" s="1"/>
  <c r="AD227" i="4"/>
  <c r="AF227" i="4" s="1"/>
  <c r="P227" i="4" s="1"/>
  <c r="AE227" i="4"/>
  <c r="AG227" i="4" s="1"/>
  <c r="O227" i="4" s="1"/>
  <c r="AE179" i="4"/>
  <c r="AG179" i="4" s="1"/>
  <c r="O179" i="4" s="1"/>
  <c r="AD179" i="4"/>
  <c r="AF179" i="4" s="1"/>
  <c r="P179" i="4" s="1"/>
  <c r="AD232" i="4"/>
  <c r="AF232" i="4" s="1"/>
  <c r="P232" i="4" s="1"/>
  <c r="AE232" i="4"/>
  <c r="AG232" i="4" s="1"/>
  <c r="O232" i="4" s="1"/>
  <c r="AE435" i="4"/>
  <c r="AG435" i="4" s="1"/>
  <c r="O435" i="4" s="1"/>
  <c r="AD435" i="4"/>
  <c r="AF435" i="4" s="1"/>
  <c r="P435" i="4" s="1"/>
  <c r="AE489" i="4"/>
  <c r="AG489" i="4" s="1"/>
  <c r="O489" i="4" s="1"/>
  <c r="AD489" i="4"/>
  <c r="AF489" i="4" s="1"/>
  <c r="P489" i="4" s="1"/>
  <c r="AE112" i="4"/>
  <c r="AG112" i="4" s="1"/>
  <c r="O112" i="4" s="1"/>
  <c r="AD112" i="4"/>
  <c r="AF112" i="4" s="1"/>
  <c r="P112" i="4" s="1"/>
  <c r="AE306" i="4"/>
  <c r="AG306" i="4" s="1"/>
  <c r="O306" i="4" s="1"/>
  <c r="AD306" i="4"/>
  <c r="AF306" i="4" s="1"/>
  <c r="P306" i="4" s="1"/>
  <c r="AD75" i="4"/>
  <c r="AF75" i="4" s="1"/>
  <c r="P75" i="4" s="1"/>
  <c r="AE75" i="4"/>
  <c r="AG75" i="4" s="1"/>
  <c r="O75" i="4" s="1"/>
  <c r="AE236" i="4"/>
  <c r="AG236" i="4" s="1"/>
  <c r="O236" i="4" s="1"/>
  <c r="AD236" i="4"/>
  <c r="AF236" i="4" s="1"/>
  <c r="P236" i="4" s="1"/>
  <c r="AD60" i="4"/>
  <c r="AF60" i="4" s="1"/>
  <c r="P60" i="4" s="1"/>
  <c r="AE60" i="4"/>
  <c r="AG60" i="4" s="1"/>
  <c r="O60" i="4" s="1"/>
  <c r="AD31" i="4"/>
  <c r="AF31" i="4" s="1"/>
  <c r="P31" i="4" s="1"/>
  <c r="AE31" i="4"/>
  <c r="AG31" i="4" s="1"/>
  <c r="O31" i="4" s="1"/>
  <c r="AE320" i="4"/>
  <c r="AG320" i="4" s="1"/>
  <c r="O320" i="4" s="1"/>
  <c r="AD320" i="4"/>
  <c r="AF320" i="4" s="1"/>
  <c r="P320" i="4" s="1"/>
  <c r="AD8" i="4"/>
  <c r="AF8" i="4" s="1"/>
  <c r="P8" i="4" s="1"/>
  <c r="AE8" i="4"/>
  <c r="AG8" i="4" s="1"/>
  <c r="O8" i="4" s="1"/>
  <c r="AD455" i="4"/>
  <c r="AF455" i="4" s="1"/>
  <c r="P455" i="4" s="1"/>
  <c r="AE455" i="4"/>
  <c r="AG455" i="4" s="1"/>
  <c r="O455" i="4" s="1"/>
  <c r="AD465" i="4"/>
  <c r="AF465" i="4" s="1"/>
  <c r="P465" i="4" s="1"/>
  <c r="AE465" i="4"/>
  <c r="AG465" i="4" s="1"/>
  <c r="O465" i="4" s="1"/>
  <c r="AE358" i="4"/>
  <c r="AG358" i="4" s="1"/>
  <c r="O358" i="4" s="1"/>
  <c r="AD358" i="4"/>
  <c r="AF358" i="4" s="1"/>
  <c r="P358" i="4" s="1"/>
  <c r="AD335" i="4"/>
  <c r="AF335" i="4" s="1"/>
  <c r="P335" i="4" s="1"/>
  <c r="AE335" i="4"/>
  <c r="AG335" i="4" s="1"/>
  <c r="O335" i="4" s="1"/>
  <c r="AD350" i="4"/>
  <c r="AF350" i="4" s="1"/>
  <c r="P350" i="4" s="1"/>
  <c r="AE350" i="4"/>
  <c r="AG350" i="4" s="1"/>
  <c r="O350" i="4" s="1"/>
  <c r="AE345" i="4"/>
  <c r="AG345" i="4" s="1"/>
  <c r="O345" i="4" s="1"/>
  <c r="AD345" i="4"/>
  <c r="AF345" i="4" s="1"/>
  <c r="P345" i="4" s="1"/>
  <c r="AD419" i="4"/>
  <c r="AF419" i="4" s="1"/>
  <c r="P419" i="4" s="1"/>
  <c r="AE419" i="4"/>
  <c r="AG419" i="4" s="1"/>
  <c r="O419" i="4" s="1"/>
  <c r="AE26" i="4"/>
  <c r="AG26" i="4" s="1"/>
  <c r="O26" i="4" s="1"/>
  <c r="AD26" i="4"/>
  <c r="AF26" i="4" s="1"/>
  <c r="P26" i="4" s="1"/>
  <c r="AE326" i="4"/>
  <c r="AG326" i="4" s="1"/>
  <c r="O326" i="4" s="1"/>
  <c r="AD326" i="4"/>
  <c r="AF326" i="4" s="1"/>
  <c r="P326" i="4" s="1"/>
  <c r="AE45" i="4"/>
  <c r="AG45" i="4" s="1"/>
  <c r="O45" i="4" s="1"/>
  <c r="AD45" i="4"/>
  <c r="AF45" i="4" s="1"/>
  <c r="P45" i="4" s="1"/>
  <c r="AD138" i="4"/>
  <c r="AF138" i="4" s="1"/>
  <c r="P138" i="4" s="1"/>
  <c r="AE138" i="4"/>
  <c r="AG138" i="4" s="1"/>
  <c r="O138" i="4" s="1"/>
  <c r="AE115" i="4"/>
  <c r="AG115" i="4" s="1"/>
  <c r="O115" i="4" s="1"/>
  <c r="AD115" i="4"/>
  <c r="AF115" i="4" s="1"/>
  <c r="P115" i="4" s="1"/>
  <c r="AE228" i="4"/>
  <c r="AG228" i="4" s="1"/>
  <c r="O228" i="4" s="1"/>
  <c r="AD228" i="4"/>
  <c r="AF228" i="4" s="1"/>
  <c r="P228" i="4" s="1"/>
  <c r="AE100" i="4"/>
  <c r="AG100" i="4" s="1"/>
  <c r="O100" i="4" s="1"/>
  <c r="AD100" i="4"/>
  <c r="AF100" i="4" s="1"/>
  <c r="P100" i="4" s="1"/>
  <c r="AD239" i="4"/>
  <c r="AF239" i="4" s="1"/>
  <c r="P239" i="4" s="1"/>
  <c r="AE239" i="4"/>
  <c r="AG239" i="4" s="1"/>
  <c r="O239" i="4" s="1"/>
  <c r="AD95" i="4"/>
  <c r="AF95" i="4" s="1"/>
  <c r="P95" i="4" s="1"/>
  <c r="AE95" i="4"/>
  <c r="AG95" i="4" s="1"/>
  <c r="O95" i="4" s="1"/>
  <c r="AE300" i="4"/>
  <c r="AG300" i="4" s="1"/>
  <c r="O300" i="4" s="1"/>
  <c r="AD300" i="4"/>
  <c r="AF300" i="4" s="1"/>
  <c r="P300" i="4" s="1"/>
  <c r="AD10" i="4"/>
  <c r="AF10" i="4" s="1"/>
  <c r="P10" i="4" s="1"/>
  <c r="AE10" i="4"/>
  <c r="AG10" i="4" s="1"/>
  <c r="O10" i="4" s="1"/>
  <c r="AE58" i="4"/>
  <c r="AG58" i="4" s="1"/>
  <c r="O58" i="4" s="1"/>
  <c r="AD58" i="4"/>
  <c r="AF58" i="4" s="1"/>
  <c r="P58" i="4" s="1"/>
  <c r="AE65" i="4"/>
  <c r="AG65" i="4" s="1"/>
  <c r="O65" i="4" s="1"/>
  <c r="AD65" i="4"/>
  <c r="AF65" i="4" s="1"/>
  <c r="P65" i="4" s="1"/>
  <c r="AD24" i="4"/>
  <c r="AF24" i="4" s="1"/>
  <c r="P24" i="4" s="1"/>
  <c r="AE24" i="4"/>
  <c r="AG24" i="4" s="1"/>
  <c r="O24" i="4" s="1"/>
  <c r="AD313" i="4"/>
  <c r="AF313" i="4" s="1"/>
  <c r="P313" i="4" s="1"/>
  <c r="AE313" i="4"/>
  <c r="AG313" i="4" s="1"/>
  <c r="O313" i="4" s="1"/>
  <c r="AD207" i="4"/>
  <c r="AF207" i="4" s="1"/>
  <c r="P207" i="4" s="1"/>
  <c r="AE207" i="4"/>
  <c r="AG207" i="4" s="1"/>
  <c r="O207" i="4" s="1"/>
  <c r="AD111" i="4"/>
  <c r="AF111" i="4" s="1"/>
  <c r="P111" i="4" s="1"/>
  <c r="AE111" i="4"/>
  <c r="AG111" i="4" s="1"/>
  <c r="O111" i="4" s="1"/>
  <c r="AD70" i="4"/>
  <c r="AF70" i="4" s="1"/>
  <c r="P70" i="4" s="1"/>
  <c r="AE70" i="4"/>
  <c r="AG70" i="4" s="1"/>
  <c r="O70" i="4" s="1"/>
  <c r="AE61" i="4"/>
  <c r="AG61" i="4" s="1"/>
  <c r="O61" i="4" s="1"/>
  <c r="AD61" i="4"/>
  <c r="AF61" i="4" s="1"/>
  <c r="P61" i="4" s="1"/>
  <c r="AE334" i="4"/>
  <c r="AG334" i="4" s="1"/>
  <c r="O334" i="4" s="1"/>
  <c r="AD334" i="4"/>
  <c r="AF334" i="4" s="1"/>
  <c r="P334" i="4" s="1"/>
  <c r="AE171" i="4"/>
  <c r="AG171" i="4" s="1"/>
  <c r="O171" i="4" s="1"/>
  <c r="AD171" i="4"/>
  <c r="AF171" i="4" s="1"/>
  <c r="P171" i="4" s="1"/>
  <c r="AE230" i="4"/>
  <c r="AG230" i="4" s="1"/>
  <c r="O230" i="4" s="1"/>
  <c r="AD230" i="4"/>
  <c r="AF230" i="4" s="1"/>
  <c r="P230" i="4" s="1"/>
  <c r="AE238" i="4"/>
  <c r="AG238" i="4" s="1"/>
  <c r="O238" i="4" s="1"/>
  <c r="AD238" i="4"/>
  <c r="AF238" i="4" s="1"/>
  <c r="P238" i="4" s="1"/>
  <c r="AE124" i="4"/>
  <c r="AG124" i="4" s="1"/>
  <c r="O124" i="4" s="1"/>
  <c r="AD124" i="4"/>
  <c r="AF124" i="4" s="1"/>
  <c r="P124" i="4" s="1"/>
  <c r="AE275" i="4"/>
  <c r="AG275" i="4" s="1"/>
  <c r="O275" i="4" s="1"/>
  <c r="AD275" i="4"/>
  <c r="AF275" i="4" s="1"/>
  <c r="P275" i="4" s="1"/>
  <c r="AE373" i="4"/>
  <c r="AG373" i="4" s="1"/>
  <c r="O373" i="4" s="1"/>
  <c r="AD373" i="4"/>
  <c r="AF373" i="4" s="1"/>
  <c r="P373" i="4" s="1"/>
  <c r="AD344" i="4"/>
  <c r="AF344" i="4" s="1"/>
  <c r="P344" i="4" s="1"/>
  <c r="AE344" i="4"/>
  <c r="AG344" i="4" s="1"/>
  <c r="O344" i="4" s="1"/>
  <c r="AE423" i="4"/>
  <c r="AG423" i="4" s="1"/>
  <c r="O423" i="4" s="1"/>
  <c r="AD423" i="4"/>
  <c r="AF423" i="4" s="1"/>
  <c r="P423" i="4" s="1"/>
  <c r="AE32" i="4"/>
  <c r="AG32" i="4" s="1"/>
  <c r="O32" i="4" s="1"/>
  <c r="AD32" i="4"/>
  <c r="AF32" i="4" s="1"/>
  <c r="P32" i="4" s="1"/>
  <c r="AE87" i="4"/>
  <c r="AG87" i="4" s="1"/>
  <c r="O87" i="4" s="1"/>
  <c r="AD87" i="4"/>
  <c r="AF87" i="4" s="1"/>
  <c r="P87" i="4" s="1"/>
  <c r="AD46" i="4"/>
  <c r="AF46" i="4" s="1"/>
  <c r="P46" i="4" s="1"/>
  <c r="AE46" i="4"/>
  <c r="AG46" i="4" s="1"/>
  <c r="O46" i="4" s="1"/>
  <c r="AE178" i="4"/>
  <c r="AG178" i="4" s="1"/>
  <c r="O178" i="4" s="1"/>
  <c r="AD178" i="4"/>
  <c r="AF178" i="4" s="1"/>
  <c r="P178" i="4" s="1"/>
  <c r="AD190" i="4"/>
  <c r="AF190" i="4" s="1"/>
  <c r="P190" i="4" s="1"/>
  <c r="AE190" i="4"/>
  <c r="AG190" i="4" s="1"/>
  <c r="O190" i="4" s="1"/>
  <c r="AE222" i="4"/>
  <c r="AG222" i="4" s="1"/>
  <c r="O222" i="4" s="1"/>
  <c r="AD222" i="4"/>
  <c r="AF222" i="4" s="1"/>
  <c r="P222" i="4" s="1"/>
  <c r="AD189" i="4"/>
  <c r="AF189" i="4" s="1"/>
  <c r="P189" i="4" s="1"/>
  <c r="AE189" i="4"/>
  <c r="AG189" i="4" s="1"/>
  <c r="O189" i="4" s="1"/>
  <c r="AE368" i="4"/>
  <c r="AG368" i="4" s="1"/>
  <c r="O368" i="4" s="1"/>
  <c r="AD368" i="4"/>
  <c r="AF368" i="4" s="1"/>
  <c r="P368" i="4" s="1"/>
  <c r="AD29" i="4"/>
  <c r="AF29" i="4" s="1"/>
  <c r="P29" i="4" s="1"/>
  <c r="AE29" i="4"/>
  <c r="AG29" i="4" s="1"/>
  <c r="O29" i="4" s="1"/>
  <c r="AE464" i="4"/>
  <c r="AG464" i="4" s="1"/>
  <c r="O464" i="4" s="1"/>
  <c r="AD464" i="4"/>
  <c r="AF464" i="4" s="1"/>
  <c r="P464" i="4" s="1"/>
  <c r="AD399" i="4"/>
  <c r="AF399" i="4" s="1"/>
  <c r="P399" i="4" s="1"/>
  <c r="AE399" i="4"/>
  <c r="AG399" i="4" s="1"/>
  <c r="O399" i="4" s="1"/>
  <c r="AE394" i="4"/>
  <c r="AG394" i="4" s="1"/>
  <c r="O394" i="4" s="1"/>
  <c r="AD394" i="4"/>
  <c r="AF394" i="4" s="1"/>
  <c r="P394" i="4" s="1"/>
  <c r="AD125" i="4"/>
  <c r="AF125" i="4" s="1"/>
  <c r="P125" i="4" s="1"/>
  <c r="AE125" i="4"/>
  <c r="AG125" i="4" s="1"/>
  <c r="O125" i="4" s="1"/>
  <c r="AD434" i="4"/>
  <c r="AF434" i="4" s="1"/>
  <c r="P434" i="4" s="1"/>
  <c r="AE434" i="4"/>
  <c r="AG434" i="4" s="1"/>
  <c r="O434" i="4" s="1"/>
  <c r="AD285" i="4"/>
  <c r="AF285" i="4" s="1"/>
  <c r="P285" i="4" s="1"/>
  <c r="AE285" i="4"/>
  <c r="AG285" i="4" s="1"/>
  <c r="O285" i="4" s="1"/>
  <c r="AE432" i="4"/>
  <c r="AG432" i="4" s="1"/>
  <c r="O432" i="4" s="1"/>
  <c r="AD432" i="4"/>
  <c r="AF432" i="4" s="1"/>
  <c r="P432" i="4" s="1"/>
  <c r="AD322" i="4"/>
  <c r="AF322" i="4" s="1"/>
  <c r="P322" i="4" s="1"/>
  <c r="AE322" i="4"/>
  <c r="AG322" i="4" s="1"/>
  <c r="O322" i="4" s="1"/>
  <c r="AD34" i="4"/>
  <c r="AF34" i="4" s="1"/>
  <c r="P34" i="4" s="1"/>
  <c r="AE34" i="4"/>
  <c r="AG34" i="4" s="1"/>
  <c r="O34" i="4" s="1"/>
  <c r="AE491" i="4"/>
  <c r="AG491" i="4" s="1"/>
  <c r="O491" i="4" s="1"/>
  <c r="AD491" i="4"/>
  <c r="AF491" i="4" s="1"/>
  <c r="P491" i="4" s="1"/>
  <c r="AE264" i="4"/>
  <c r="AG264" i="4" s="1"/>
  <c r="O264" i="4" s="1"/>
  <c r="AD264" i="4"/>
  <c r="AF264" i="4" s="1"/>
  <c r="P264" i="4" s="1"/>
  <c r="AD128" i="4"/>
  <c r="AF128" i="4" s="1"/>
  <c r="P128" i="4" s="1"/>
  <c r="AE128" i="4"/>
  <c r="AG128" i="4" s="1"/>
  <c r="O128" i="4" s="1"/>
  <c r="AD209" i="4"/>
  <c r="AF209" i="4" s="1"/>
  <c r="P209" i="4" s="1"/>
  <c r="AE209" i="4"/>
  <c r="AG209" i="4" s="1"/>
  <c r="O209" i="4" s="1"/>
  <c r="AD453" i="4"/>
  <c r="AF453" i="4" s="1"/>
  <c r="P453" i="4" s="1"/>
  <c r="AE453" i="4"/>
  <c r="AG453" i="4" s="1"/>
  <c r="O453" i="4" s="1"/>
  <c r="AE319" i="4"/>
  <c r="AG319" i="4" s="1"/>
  <c r="O319" i="4" s="1"/>
  <c r="AD319" i="4"/>
  <c r="AF319" i="4" s="1"/>
  <c r="P319" i="4" s="1"/>
  <c r="AE277" i="4"/>
  <c r="AG277" i="4" s="1"/>
  <c r="O277" i="4" s="1"/>
  <c r="AD277" i="4"/>
  <c r="AF277" i="4" s="1"/>
  <c r="P277" i="4" s="1"/>
  <c r="AE475" i="4"/>
  <c r="AG475" i="4" s="1"/>
  <c r="O475" i="4" s="1"/>
  <c r="AD475" i="4"/>
  <c r="AF475" i="4" s="1"/>
  <c r="P475" i="4" s="1"/>
  <c r="AE425" i="4"/>
  <c r="AG425" i="4" s="1"/>
  <c r="O425" i="4" s="1"/>
  <c r="AD425" i="4"/>
  <c r="AF425" i="4" s="1"/>
  <c r="P425" i="4" s="1"/>
  <c r="AD427" i="4"/>
  <c r="AF427" i="4" s="1"/>
  <c r="P427" i="4" s="1"/>
  <c r="AE427" i="4"/>
  <c r="AG427" i="4" s="1"/>
  <c r="O427" i="4" s="1"/>
  <c r="AE307" i="4"/>
  <c r="AG307" i="4" s="1"/>
  <c r="O307" i="4" s="1"/>
  <c r="AD307" i="4"/>
  <c r="AF307" i="4" s="1"/>
  <c r="P307" i="4" s="1"/>
  <c r="AD449" i="4"/>
  <c r="AF449" i="4" s="1"/>
  <c r="P449" i="4" s="1"/>
  <c r="AE449" i="4"/>
  <c r="AG449" i="4" s="1"/>
  <c r="O449" i="4" s="1"/>
  <c r="AE426" i="4"/>
  <c r="AG426" i="4" s="1"/>
  <c r="O426" i="4" s="1"/>
  <c r="AD426" i="4"/>
  <c r="AF426" i="4" s="1"/>
  <c r="P426" i="4" s="1"/>
  <c r="AE314" i="4"/>
  <c r="AG314" i="4" s="1"/>
  <c r="O314" i="4" s="1"/>
  <c r="AD314" i="4"/>
  <c r="AF314" i="4" s="1"/>
  <c r="P314" i="4" s="1"/>
  <c r="AE92" i="4"/>
  <c r="AG92" i="4" s="1"/>
  <c r="O92" i="4" s="1"/>
  <c r="AD92" i="4"/>
  <c r="AF92" i="4" s="1"/>
  <c r="P92" i="4" s="1"/>
  <c r="AE366" i="4"/>
  <c r="AG366" i="4" s="1"/>
  <c r="O366" i="4" s="1"/>
  <c r="AD366" i="4"/>
  <c r="AF366" i="4" s="1"/>
  <c r="P366" i="4" s="1"/>
  <c r="AD180" i="4"/>
  <c r="AF180" i="4" s="1"/>
  <c r="P180" i="4" s="1"/>
  <c r="AE180" i="4"/>
  <c r="AG180" i="4" s="1"/>
  <c r="O180" i="4" s="1"/>
  <c r="AE444" i="4"/>
  <c r="AG444" i="4" s="1"/>
  <c r="O444" i="4" s="1"/>
  <c r="AD444" i="4"/>
  <c r="AF444" i="4" s="1"/>
  <c r="P444" i="4" s="1"/>
  <c r="AE96" i="4"/>
  <c r="AG96" i="4" s="1"/>
  <c r="O96" i="4" s="1"/>
  <c r="AD96" i="4"/>
  <c r="AF96" i="4" s="1"/>
  <c r="P96" i="4" s="1"/>
  <c r="AE253" i="4"/>
  <c r="AG253" i="4" s="1"/>
  <c r="O253" i="4" s="1"/>
  <c r="AD253" i="4"/>
  <c r="AF253" i="4" s="1"/>
  <c r="P253" i="4" s="1"/>
  <c r="AD392" i="4"/>
  <c r="AF392" i="4" s="1"/>
  <c r="P392" i="4" s="1"/>
  <c r="AE392" i="4"/>
  <c r="AG392" i="4" s="1"/>
  <c r="O392" i="4" s="1"/>
  <c r="AD396" i="4"/>
  <c r="AF396" i="4" s="1"/>
  <c r="P396" i="4" s="1"/>
  <c r="AE396" i="4"/>
  <c r="AG396" i="4" s="1"/>
  <c r="O396" i="4" s="1"/>
  <c r="AE262" i="4"/>
  <c r="AG262" i="4" s="1"/>
  <c r="O262" i="4" s="1"/>
  <c r="AD262" i="4"/>
  <c r="AF262" i="4" s="1"/>
  <c r="P262" i="4" s="1"/>
  <c r="AD246" i="4"/>
  <c r="AF246" i="4" s="1"/>
  <c r="P246" i="4" s="1"/>
  <c r="AE246" i="4"/>
  <c r="AG246" i="4" s="1"/>
  <c r="O246" i="4" s="1"/>
  <c r="AD208" i="4"/>
  <c r="AF208" i="4" s="1"/>
  <c r="P208" i="4" s="1"/>
  <c r="AE208" i="4"/>
  <c r="AG208" i="4" s="1"/>
  <c r="O208" i="4" s="1"/>
  <c r="AE19" i="4"/>
  <c r="AG19" i="4" s="1"/>
  <c r="O19" i="4" s="1"/>
  <c r="AD19" i="4"/>
  <c r="AF19" i="4" s="1"/>
  <c r="P19" i="4" s="1"/>
  <c r="AD148" i="4"/>
  <c r="AF148" i="4" s="1"/>
  <c r="P148" i="4" s="1"/>
  <c r="AE148" i="4"/>
  <c r="AG148" i="4" s="1"/>
  <c r="O148" i="4" s="1"/>
  <c r="AE387" i="4"/>
  <c r="AG387" i="4" s="1"/>
  <c r="O387" i="4" s="1"/>
  <c r="AD387" i="4"/>
  <c r="AF387" i="4" s="1"/>
  <c r="P387" i="4" s="1"/>
  <c r="AE39" i="4"/>
  <c r="AG39" i="4" s="1"/>
  <c r="O39" i="4" s="1"/>
  <c r="AD39" i="4"/>
  <c r="AF39" i="4" s="1"/>
  <c r="P39" i="4" s="1"/>
  <c r="AE102" i="4"/>
  <c r="AG102" i="4" s="1"/>
  <c r="O102" i="4" s="1"/>
  <c r="AD102" i="4"/>
  <c r="AF102" i="4" s="1"/>
  <c r="P102" i="4" s="1"/>
  <c r="AD338" i="4"/>
  <c r="AF338" i="4" s="1"/>
  <c r="P338" i="4" s="1"/>
  <c r="AE338" i="4"/>
  <c r="AG338" i="4" s="1"/>
  <c r="O338" i="4" s="1"/>
  <c r="AE114" i="4"/>
  <c r="AG114" i="4" s="1"/>
  <c r="O114" i="4" s="1"/>
  <c r="AD114" i="4"/>
  <c r="AF114" i="4" s="1"/>
  <c r="P114" i="4" s="1"/>
  <c r="AE206" i="4"/>
  <c r="AG206" i="4" s="1"/>
  <c r="O206" i="4" s="1"/>
  <c r="AD206" i="4"/>
  <c r="AF206" i="4" s="1"/>
  <c r="P206" i="4" s="1"/>
  <c r="AE220" i="4"/>
  <c r="AG220" i="4" s="1"/>
  <c r="O220" i="4" s="1"/>
  <c r="AD220" i="4"/>
  <c r="AF220" i="4" s="1"/>
  <c r="P220" i="4" s="1"/>
  <c r="AD163" i="4"/>
  <c r="AF163" i="4" s="1"/>
  <c r="P163" i="4" s="1"/>
  <c r="AE163" i="4"/>
  <c r="AG163" i="4" s="1"/>
  <c r="O163" i="4" s="1"/>
  <c r="AE400" i="4"/>
  <c r="AG400" i="4" s="1"/>
  <c r="O400" i="4" s="1"/>
  <c r="AD400" i="4"/>
  <c r="AF400" i="4" s="1"/>
  <c r="P400" i="4" s="1"/>
  <c r="AD257" i="4"/>
  <c r="AF257" i="4" s="1"/>
  <c r="P257" i="4" s="1"/>
  <c r="AE257" i="4"/>
  <c r="AG257" i="4" s="1"/>
  <c r="O257" i="4" s="1"/>
  <c r="AE191" i="4"/>
  <c r="AG191" i="4" s="1"/>
  <c r="O191" i="4" s="1"/>
  <c r="AD191" i="4"/>
  <c r="AF191" i="4" s="1"/>
  <c r="P191" i="4" s="1"/>
  <c r="AD9" i="4"/>
  <c r="AF9" i="4" s="1"/>
  <c r="P9" i="4" s="1"/>
  <c r="AE9" i="4"/>
  <c r="AG9" i="4" s="1"/>
  <c r="O9" i="4" s="1"/>
  <c r="AE476" i="4"/>
  <c r="AG476" i="4" s="1"/>
  <c r="O476" i="4" s="1"/>
  <c r="AD476" i="4"/>
  <c r="AF476" i="4" s="1"/>
  <c r="P476" i="4" s="1"/>
  <c r="AD287" i="4"/>
  <c r="AF287" i="4" s="1"/>
  <c r="P287" i="4" s="1"/>
  <c r="AE287" i="4"/>
  <c r="AG287" i="4" s="1"/>
  <c r="O287" i="4" s="1"/>
  <c r="AE97" i="4"/>
  <c r="AG97" i="4" s="1"/>
  <c r="O97" i="4" s="1"/>
  <c r="AD97" i="4"/>
  <c r="AF97" i="4" s="1"/>
  <c r="P97" i="4" s="1"/>
  <c r="AE79" i="4"/>
  <c r="AG79" i="4" s="1"/>
  <c r="O79" i="4" s="1"/>
  <c r="AD79" i="4"/>
  <c r="AF79" i="4" s="1"/>
  <c r="P79" i="4" s="1"/>
  <c r="AD271" i="4"/>
  <c r="AF271" i="4" s="1"/>
  <c r="P271" i="4" s="1"/>
  <c r="AE271" i="4"/>
  <c r="AG271" i="4" s="1"/>
  <c r="O271" i="4" s="1"/>
  <c r="AE258" i="4"/>
  <c r="AG258" i="4" s="1"/>
  <c r="O258" i="4" s="1"/>
  <c r="AD258" i="4"/>
  <c r="AF258" i="4" s="1"/>
  <c r="P258" i="4" s="1"/>
  <c r="AE398" i="4"/>
  <c r="AG398" i="4" s="1"/>
  <c r="O398" i="4" s="1"/>
  <c r="AD398" i="4"/>
  <c r="AF398" i="4" s="1"/>
  <c r="P398" i="4" s="1"/>
  <c r="AE118" i="4"/>
  <c r="AG118" i="4" s="1"/>
  <c r="O118" i="4" s="1"/>
  <c r="AD118" i="4"/>
  <c r="AF118" i="4" s="1"/>
  <c r="P118" i="4" s="1"/>
  <c r="AD486" i="4"/>
  <c r="AF486" i="4" s="1"/>
  <c r="P486" i="4" s="1"/>
  <c r="AE486" i="4"/>
  <c r="AG486" i="4" s="1"/>
  <c r="O486" i="4" s="1"/>
  <c r="AD356" i="4"/>
  <c r="AF356" i="4" s="1"/>
  <c r="P356" i="4" s="1"/>
  <c r="AE356" i="4"/>
  <c r="AG356" i="4" s="1"/>
  <c r="O356" i="4" s="1"/>
  <c r="AD404" i="4"/>
  <c r="AF404" i="4" s="1"/>
  <c r="P404" i="4" s="1"/>
  <c r="AE404" i="4"/>
  <c r="AG404" i="4" s="1"/>
  <c r="O404" i="4" s="1"/>
  <c r="AE353" i="4"/>
  <c r="AG353" i="4" s="1"/>
  <c r="O353" i="4" s="1"/>
  <c r="AD353" i="4"/>
  <c r="AF353" i="4" s="1"/>
  <c r="P353" i="4" s="1"/>
  <c r="AE347" i="4"/>
  <c r="AG347" i="4" s="1"/>
  <c r="O347" i="4" s="1"/>
  <c r="AD347" i="4"/>
  <c r="AF347" i="4" s="1"/>
  <c r="P347" i="4" s="1"/>
  <c r="AD468" i="4"/>
  <c r="AF468" i="4" s="1"/>
  <c r="P468" i="4" s="1"/>
  <c r="AE468" i="4"/>
  <c r="AG468" i="4" s="1"/>
  <c r="O468" i="4" s="1"/>
  <c r="AE57" i="4"/>
  <c r="AG57" i="4" s="1"/>
  <c r="O57" i="4" s="1"/>
  <c r="AD57" i="4"/>
  <c r="AF57" i="4" s="1"/>
  <c r="P57" i="4" s="1"/>
  <c r="AD212" i="4"/>
  <c r="AF212" i="4" s="1"/>
  <c r="P212" i="4" s="1"/>
  <c r="AE212" i="4"/>
  <c r="AG212" i="4" s="1"/>
  <c r="O212" i="4" s="1"/>
  <c r="AE38" i="4"/>
  <c r="AG38" i="4" s="1"/>
  <c r="O38" i="4" s="1"/>
  <c r="AD38" i="4"/>
  <c r="AF38" i="4" s="1"/>
  <c r="P38" i="4" s="1"/>
  <c r="AE252" i="4"/>
  <c r="AG252" i="4" s="1"/>
  <c r="O252" i="4" s="1"/>
  <c r="AD252" i="4"/>
  <c r="AF252" i="4" s="1"/>
  <c r="P252" i="4" s="1"/>
  <c r="AD265" i="4"/>
  <c r="AF265" i="4" s="1"/>
  <c r="P265" i="4" s="1"/>
  <c r="AE265" i="4"/>
  <c r="AG265" i="4" s="1"/>
  <c r="O265" i="4" s="1"/>
  <c r="AD22" i="4"/>
  <c r="AF22" i="4" s="1"/>
  <c r="P22" i="4" s="1"/>
  <c r="AE22" i="4"/>
  <c r="AG22" i="4" s="1"/>
  <c r="O22" i="4" s="1"/>
  <c r="AE66" i="4"/>
  <c r="AG66" i="4" s="1"/>
  <c r="O66" i="4" s="1"/>
  <c r="AD66" i="4"/>
  <c r="AF66" i="4" s="1"/>
  <c r="P66" i="4" s="1"/>
  <c r="AE497" i="4"/>
  <c r="AG497" i="4" s="1"/>
  <c r="O497" i="4" s="1"/>
  <c r="AD497" i="4"/>
  <c r="AF497" i="4" s="1"/>
  <c r="P497" i="4" s="1"/>
  <c r="AE286" i="4"/>
  <c r="AG286" i="4" s="1"/>
  <c r="O286" i="4" s="1"/>
  <c r="AD286" i="4"/>
  <c r="AF286" i="4" s="1"/>
  <c r="P286" i="4" s="1"/>
  <c r="AD417" i="4"/>
  <c r="AF417" i="4" s="1"/>
  <c r="P417" i="4" s="1"/>
  <c r="AE417" i="4"/>
  <c r="AG417" i="4" s="1"/>
  <c r="O417" i="4" s="1"/>
  <c r="AD463" i="4"/>
  <c r="AF463" i="4" s="1"/>
  <c r="P463" i="4" s="1"/>
  <c r="AE463" i="4"/>
  <c r="AG463" i="4" s="1"/>
  <c r="O463" i="4" s="1"/>
  <c r="AE329" i="4"/>
  <c r="AG329" i="4" s="1"/>
  <c r="O329" i="4" s="1"/>
  <c r="AD329" i="4"/>
  <c r="AF329" i="4" s="1"/>
  <c r="P329" i="4" s="1"/>
  <c r="AD74" i="4"/>
  <c r="AF74" i="4" s="1"/>
  <c r="P74" i="4" s="1"/>
  <c r="AE74" i="4"/>
  <c r="AG74" i="4" s="1"/>
  <c r="O74" i="4" s="1"/>
  <c r="AD28" i="4"/>
  <c r="AF28" i="4" s="1"/>
  <c r="P28" i="4" s="1"/>
  <c r="AE28" i="4"/>
  <c r="AG28" i="4" s="1"/>
  <c r="O28" i="4" s="1"/>
  <c r="AD280" i="4"/>
  <c r="AF280" i="4" s="1"/>
  <c r="P280" i="4" s="1"/>
  <c r="AE280" i="4"/>
  <c r="AG280" i="4" s="1"/>
  <c r="O280" i="4" s="1"/>
  <c r="AD156" i="4"/>
  <c r="AF156" i="4" s="1"/>
  <c r="P156" i="4" s="1"/>
  <c r="AE156" i="4"/>
  <c r="AG156" i="4" s="1"/>
  <c r="O156" i="4" s="1"/>
  <c r="AE410" i="4"/>
  <c r="AG410" i="4" s="1"/>
  <c r="O410" i="4" s="1"/>
  <c r="AD410" i="4"/>
  <c r="AF410" i="4" s="1"/>
  <c r="P410" i="4" s="1"/>
  <c r="AE479" i="4"/>
  <c r="AG479" i="4" s="1"/>
  <c r="O479" i="4" s="1"/>
  <c r="AD479" i="4"/>
  <c r="AF479" i="4" s="1"/>
  <c r="P479" i="4" s="1"/>
  <c r="AD42" i="4"/>
  <c r="AF42" i="4" s="1"/>
  <c r="P42" i="4" s="1"/>
  <c r="AE42" i="4"/>
  <c r="AG42" i="4" s="1"/>
  <c r="O42" i="4" s="1"/>
  <c r="AD181" i="4"/>
  <c r="AF181" i="4" s="1"/>
  <c r="P181" i="4" s="1"/>
  <c r="AE181" i="4"/>
  <c r="AG181" i="4" s="1"/>
  <c r="O181" i="4" s="1"/>
  <c r="AE119" i="4"/>
  <c r="AG119" i="4" s="1"/>
  <c r="O119" i="4" s="1"/>
  <c r="AD119" i="4"/>
  <c r="AF119" i="4" s="1"/>
  <c r="P119" i="4" s="1"/>
  <c r="AD153" i="4"/>
  <c r="AF153" i="4" s="1"/>
  <c r="P153" i="4" s="1"/>
  <c r="AE153" i="4"/>
  <c r="AG153" i="4" s="1"/>
  <c r="O153" i="4" s="1"/>
  <c r="AE159" i="4"/>
  <c r="AG159" i="4" s="1"/>
  <c r="O159" i="4" s="1"/>
  <c r="AD159" i="4"/>
  <c r="AF159" i="4" s="1"/>
  <c r="P159" i="4" s="1"/>
  <c r="AD448" i="4"/>
  <c r="AF448" i="4" s="1"/>
  <c r="P448" i="4" s="1"/>
  <c r="AE448" i="4"/>
  <c r="AG448" i="4" s="1"/>
  <c r="O448" i="4" s="1"/>
  <c r="AE120" i="4"/>
  <c r="AG120" i="4" s="1"/>
  <c r="O120" i="4" s="1"/>
  <c r="AD120" i="4"/>
  <c r="AF120" i="4" s="1"/>
  <c r="P120" i="4" s="1"/>
  <c r="AD136" i="4"/>
  <c r="AF136" i="4" s="1"/>
  <c r="P136" i="4" s="1"/>
  <c r="AE136" i="4"/>
  <c r="AG136" i="4" s="1"/>
  <c r="O136" i="4" s="1"/>
  <c r="AE325" i="4"/>
  <c r="AG325" i="4" s="1"/>
  <c r="O325" i="4" s="1"/>
  <c r="AD325" i="4"/>
  <c r="AF325" i="4" s="1"/>
  <c r="P325" i="4" s="1"/>
  <c r="AD77" i="4"/>
  <c r="AF77" i="4" s="1"/>
  <c r="P77" i="4" s="1"/>
  <c r="AE77" i="4"/>
  <c r="AG77" i="4" s="1"/>
  <c r="O77" i="4" s="1"/>
  <c r="AD89" i="4"/>
  <c r="AF89" i="4" s="1"/>
  <c r="P89" i="4" s="1"/>
  <c r="AE89" i="4"/>
  <c r="AG89" i="4" s="1"/>
  <c r="O89" i="4" s="1"/>
  <c r="AD188" i="4"/>
  <c r="AF188" i="4" s="1"/>
  <c r="P188" i="4" s="1"/>
  <c r="AE188" i="4"/>
  <c r="AG188" i="4" s="1"/>
  <c r="O188" i="4" s="1"/>
  <c r="AD242" i="4"/>
  <c r="AF242" i="4" s="1"/>
  <c r="P242" i="4" s="1"/>
  <c r="AE242" i="4"/>
  <c r="AG242" i="4" s="1"/>
  <c r="O242" i="4" s="1"/>
  <c r="AE117" i="4"/>
  <c r="AG117" i="4" s="1"/>
  <c r="O117" i="4" s="1"/>
  <c r="AD117" i="4"/>
  <c r="AF117" i="4" s="1"/>
  <c r="P117" i="4" s="1"/>
  <c r="AE6" i="4"/>
  <c r="AG6" i="4" s="1"/>
  <c r="O6" i="4" s="1"/>
  <c r="AD6" i="4"/>
  <c r="AF6" i="4" s="1"/>
  <c r="P6" i="4" s="1"/>
  <c r="AD331" i="4"/>
  <c r="AF331" i="4" s="1"/>
  <c r="P331" i="4" s="1"/>
  <c r="AE331" i="4"/>
  <c r="AG331" i="4" s="1"/>
  <c r="O331" i="4" s="1"/>
  <c r="AD469" i="4"/>
  <c r="AF469" i="4" s="1"/>
  <c r="P469" i="4" s="1"/>
  <c r="AE469" i="4"/>
  <c r="AG469" i="4" s="1"/>
  <c r="O469" i="4" s="1"/>
  <c r="AD458" i="4"/>
  <c r="AF458" i="4" s="1"/>
  <c r="P458" i="4" s="1"/>
  <c r="AE458" i="4"/>
  <c r="AG458" i="4" s="1"/>
  <c r="O458" i="4" s="1"/>
  <c r="AE370" i="4"/>
  <c r="AG370" i="4" s="1"/>
  <c r="O370" i="4" s="1"/>
  <c r="AD370" i="4"/>
  <c r="AF370" i="4" s="1"/>
  <c r="P370" i="4" s="1"/>
  <c r="AD157" i="4"/>
  <c r="AF157" i="4" s="1"/>
  <c r="P157" i="4" s="1"/>
  <c r="AE157" i="4"/>
  <c r="AG157" i="4" s="1"/>
  <c r="O157" i="4" s="1"/>
  <c r="AD395" i="4"/>
  <c r="AF395" i="4" s="1"/>
  <c r="P395" i="4" s="1"/>
  <c r="AE395" i="4"/>
  <c r="AG395" i="4" s="1"/>
  <c r="O395" i="4" s="1"/>
  <c r="AE17" i="4"/>
  <c r="AG17" i="4" s="1"/>
  <c r="O17" i="4" s="1"/>
  <c r="AD17" i="4"/>
  <c r="AF17" i="4" s="1"/>
  <c r="P17" i="4" s="1"/>
  <c r="AE91" i="4"/>
  <c r="AG91" i="4" s="1"/>
  <c r="O91" i="4" s="1"/>
  <c r="AD91" i="4"/>
  <c r="AF91" i="4" s="1"/>
  <c r="P91" i="4" s="1"/>
  <c r="AE369" i="4"/>
  <c r="AG369" i="4" s="1"/>
  <c r="O369" i="4" s="1"/>
  <c r="AD369" i="4"/>
  <c r="AF369" i="4" s="1"/>
  <c r="P369" i="4" s="1"/>
  <c r="AD27" i="4"/>
  <c r="AF27" i="4" s="1"/>
  <c r="P27" i="4" s="1"/>
  <c r="AE27" i="4"/>
  <c r="AG27" i="4" s="1"/>
  <c r="O27" i="4" s="1"/>
  <c r="AE312" i="4"/>
  <c r="AG312" i="4" s="1"/>
  <c r="O312" i="4" s="1"/>
  <c r="AD312" i="4"/>
  <c r="AF312" i="4" s="1"/>
  <c r="P312" i="4" s="1"/>
  <c r="AE47" i="4"/>
  <c r="AG47" i="4" s="1"/>
  <c r="O47" i="4" s="1"/>
  <c r="AD47" i="4"/>
  <c r="AF47" i="4" s="1"/>
  <c r="P47" i="4" s="1"/>
  <c r="AD504" i="4"/>
  <c r="AF504" i="4" s="1"/>
  <c r="P504" i="4" s="1"/>
  <c r="AE504" i="4"/>
  <c r="AG504" i="4" s="1"/>
  <c r="O504" i="4" s="1"/>
  <c r="AD73" i="4"/>
  <c r="AF73" i="4" s="1"/>
  <c r="P73" i="4" s="1"/>
  <c r="AE73" i="4"/>
  <c r="AG73" i="4" s="1"/>
  <c r="O73" i="4" s="1"/>
  <c r="AD7" i="4"/>
  <c r="AF7" i="4" s="1"/>
  <c r="P7" i="4" s="1"/>
  <c r="AE7" i="4"/>
  <c r="AG7" i="4" s="1"/>
  <c r="O7" i="4" s="1"/>
  <c r="AE214" i="4"/>
  <c r="AG214" i="4" s="1"/>
  <c r="O214" i="4" s="1"/>
  <c r="AD214" i="4"/>
  <c r="AF214" i="4" s="1"/>
  <c r="P214" i="4" s="1"/>
  <c r="AD346" i="4"/>
  <c r="AF346" i="4" s="1"/>
  <c r="P346" i="4" s="1"/>
  <c r="AE346" i="4"/>
  <c r="AG346" i="4" s="1"/>
  <c r="O346" i="4" s="1"/>
  <c r="AD196" i="4"/>
  <c r="AF196" i="4" s="1"/>
  <c r="P196" i="4" s="1"/>
  <c r="AE196" i="4"/>
  <c r="AG196" i="4" s="1"/>
  <c r="O196" i="4" s="1"/>
  <c r="AE48" i="4"/>
  <c r="AG48" i="4" s="1"/>
  <c r="O48" i="4" s="1"/>
  <c r="AD48" i="4"/>
  <c r="AF48" i="4" s="1"/>
  <c r="P48" i="4" s="1"/>
  <c r="AD415" i="4"/>
  <c r="AF415" i="4" s="1"/>
  <c r="P415" i="4" s="1"/>
  <c r="AE415" i="4"/>
  <c r="AG415" i="4" s="1"/>
  <c r="O415" i="4" s="1"/>
  <c r="AE374" i="4"/>
  <c r="AG374" i="4" s="1"/>
  <c r="O374" i="4" s="1"/>
  <c r="AD374" i="4"/>
  <c r="AF374" i="4" s="1"/>
  <c r="P374" i="4" s="1"/>
  <c r="AE21" i="4"/>
  <c r="AG21" i="4" s="1"/>
  <c r="O21" i="4" s="1"/>
  <c r="AD21" i="4"/>
  <c r="AF21" i="4" s="1"/>
  <c r="P21" i="4" s="1"/>
  <c r="AE438" i="4"/>
  <c r="AG438" i="4" s="1"/>
  <c r="O438" i="4" s="1"/>
  <c r="AD438" i="4"/>
  <c r="AF438" i="4" s="1"/>
  <c r="P438" i="4" s="1"/>
  <c r="AD459" i="4"/>
  <c r="AF459" i="4" s="1"/>
  <c r="P459" i="4" s="1"/>
  <c r="AE459" i="4"/>
  <c r="AG459" i="4" s="1"/>
  <c r="O459" i="4" s="1"/>
  <c r="AD149" i="4"/>
  <c r="AF149" i="4" s="1"/>
  <c r="P149" i="4" s="1"/>
  <c r="AE149" i="4"/>
  <c r="AG149" i="4" s="1"/>
  <c r="O149" i="4" s="1"/>
  <c r="AD292" i="4"/>
  <c r="AF292" i="4" s="1"/>
  <c r="P292" i="4" s="1"/>
  <c r="AE292" i="4"/>
  <c r="AG292" i="4" s="1"/>
  <c r="O292" i="4" s="1"/>
  <c r="AD397" i="4"/>
  <c r="AF397" i="4" s="1"/>
  <c r="P397" i="4" s="1"/>
  <c r="AE397" i="4"/>
  <c r="AG397" i="4" s="1"/>
  <c r="O397" i="4" s="1"/>
  <c r="AE293" i="4"/>
  <c r="AG293" i="4" s="1"/>
  <c r="O293" i="4" s="1"/>
  <c r="AD293" i="4"/>
  <c r="AF293" i="4" s="1"/>
  <c r="P293" i="4" s="1"/>
  <c r="AE364" i="4"/>
  <c r="AG364" i="4" s="1"/>
  <c r="O364" i="4" s="1"/>
  <c r="AD364" i="4"/>
  <c r="AF364" i="4" s="1"/>
  <c r="P364" i="4" s="1"/>
  <c r="AE454" i="4"/>
  <c r="AG454" i="4" s="1"/>
  <c r="O454" i="4" s="1"/>
  <c r="AD454" i="4"/>
  <c r="AF454" i="4" s="1"/>
  <c r="P454" i="4" s="1"/>
  <c r="AD351" i="4"/>
  <c r="AF351" i="4" s="1"/>
  <c r="P351" i="4" s="1"/>
  <c r="AE351" i="4"/>
  <c r="AG351" i="4" s="1"/>
  <c r="O351" i="4" s="1"/>
  <c r="AD393" i="4"/>
  <c r="AF393" i="4" s="1"/>
  <c r="P393" i="4" s="1"/>
  <c r="AE393" i="4"/>
  <c r="AG393" i="4" s="1"/>
  <c r="O393" i="4" s="1"/>
  <c r="AD274" i="4"/>
  <c r="AF274" i="4" s="1"/>
  <c r="P274" i="4" s="1"/>
  <c r="AE274" i="4"/>
  <c r="AG274" i="4" s="1"/>
  <c r="O274" i="4" s="1"/>
  <c r="AD381" i="4"/>
  <c r="AF381" i="4" s="1"/>
  <c r="P381" i="4" s="1"/>
  <c r="AE381" i="4"/>
  <c r="AG381" i="4" s="1"/>
  <c r="O381" i="4" s="1"/>
  <c r="AE218" i="4"/>
  <c r="AG218" i="4" s="1"/>
  <c r="O218" i="4" s="1"/>
  <c r="AD218" i="4"/>
  <c r="AF218" i="4" s="1"/>
  <c r="P218" i="4" s="1"/>
  <c r="AD267" i="4"/>
  <c r="AF267" i="4" s="1"/>
  <c r="P267" i="4" s="1"/>
  <c r="AE267" i="4"/>
  <c r="AG267" i="4" s="1"/>
  <c r="O267" i="4" s="1"/>
  <c r="AE129" i="4"/>
  <c r="AG129" i="4" s="1"/>
  <c r="O129" i="4" s="1"/>
  <c r="AD129" i="4"/>
  <c r="AF129" i="4" s="1"/>
  <c r="P129" i="4" s="1"/>
  <c r="AE263" i="4"/>
  <c r="AG263" i="4" s="1"/>
  <c r="O263" i="4" s="1"/>
  <c r="AD263" i="4"/>
  <c r="AF263" i="4" s="1"/>
  <c r="P263" i="4" s="1"/>
  <c r="AD93" i="4"/>
  <c r="AF93" i="4" s="1"/>
  <c r="P93" i="4" s="1"/>
  <c r="AE93" i="4"/>
  <c r="AG93" i="4" s="1"/>
  <c r="O93" i="4" s="1"/>
  <c r="AD142" i="4"/>
  <c r="AF142" i="4" s="1"/>
  <c r="P142" i="4" s="1"/>
  <c r="AE142" i="4"/>
  <c r="AG142" i="4" s="1"/>
  <c r="O142" i="4" s="1"/>
  <c r="AD488" i="4"/>
  <c r="AF488" i="4" s="1"/>
  <c r="P488" i="4" s="1"/>
  <c r="AE488" i="4"/>
  <c r="AG488" i="4" s="1"/>
  <c r="O488" i="4" s="1"/>
  <c r="AE472" i="4"/>
  <c r="AG472" i="4" s="1"/>
  <c r="O472" i="4" s="1"/>
  <c r="AD472" i="4"/>
  <c r="AF472" i="4" s="1"/>
  <c r="P472" i="4" s="1"/>
  <c r="AE361" i="4"/>
  <c r="AG361" i="4" s="1"/>
  <c r="O361" i="4" s="1"/>
  <c r="AD361" i="4"/>
  <c r="AF361" i="4" s="1"/>
  <c r="P361" i="4" s="1"/>
  <c r="AE99" i="4"/>
  <c r="AG99" i="4" s="1"/>
  <c r="O99" i="4" s="1"/>
  <c r="AD99" i="4"/>
  <c r="AF99" i="4" s="1"/>
  <c r="P99" i="4" s="1"/>
  <c r="AD217" i="4"/>
  <c r="AF217" i="4" s="1"/>
  <c r="P217" i="4" s="1"/>
  <c r="AE217" i="4"/>
  <c r="AG217" i="4" s="1"/>
  <c r="O217" i="4" s="1"/>
  <c r="AD126" i="4"/>
  <c r="AF126" i="4" s="1"/>
  <c r="P126" i="4" s="1"/>
  <c r="AE126" i="4"/>
  <c r="AG126" i="4" s="1"/>
  <c r="O126" i="4" s="1"/>
  <c r="F22" i="4" l="1"/>
  <c r="F23" i="4"/>
  <c r="F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Fagnani</author>
  </authors>
  <commentList>
    <comment ref="C20" authorId="0" shapeId="0" xr:uid="{FD6FF304-82E1-456B-96DC-586C962400C6}">
      <text>
        <r>
          <rPr>
            <sz val="9"/>
            <color indexed="81"/>
            <rFont val="Tahoma"/>
            <family val="2"/>
          </rPr>
          <t xml:space="preserve">Reference designators taken from TPS43061EVM-198. Reference designator in parenthesis signifies a difference on TPS43060EVM-199.
</t>
        </r>
      </text>
    </comment>
  </commentList>
</comments>
</file>

<file path=xl/sharedStrings.xml><?xml version="1.0" encoding="utf-8"?>
<sst xmlns="http://schemas.openxmlformats.org/spreadsheetml/2006/main" count="687" uniqueCount="464">
  <si>
    <t>Output Voltage</t>
  </si>
  <si>
    <t>A/V</t>
  </si>
  <si>
    <t>A</t>
  </si>
  <si>
    <t>V</t>
  </si>
  <si>
    <t>Kind</t>
  </si>
  <si>
    <t>Hz</t>
  </si>
  <si>
    <t>H</t>
  </si>
  <si>
    <t>F</t>
  </si>
  <si>
    <t>Units</t>
  </si>
  <si>
    <t>Value</t>
  </si>
  <si>
    <t>Ro</t>
  </si>
  <si>
    <t>dB</t>
  </si>
  <si>
    <t>W</t>
  </si>
  <si>
    <t>Sn</t>
  </si>
  <si>
    <t>Se</t>
  </si>
  <si>
    <t>Frequency</t>
  </si>
  <si>
    <t>Transconductance of error amplifier</t>
  </si>
  <si>
    <t>Output resistance of error amplifier</t>
  </si>
  <si>
    <t>Reference voltage</t>
  </si>
  <si>
    <t>Fco_target</t>
  </si>
  <si>
    <t>frhpz_mod</t>
  </si>
  <si>
    <t>fp_mod</t>
  </si>
  <si>
    <t>PM</t>
  </si>
  <si>
    <t>Vout</t>
  </si>
  <si>
    <t>Power Stage Design</t>
  </si>
  <si>
    <t>ABS(Total Gain)</t>
  </si>
  <si>
    <t>GM</t>
  </si>
  <si>
    <t>DCR</t>
  </si>
  <si>
    <t>Fco</t>
  </si>
  <si>
    <t>Ω</t>
  </si>
  <si>
    <t>Icrit</t>
  </si>
  <si>
    <t>Compensation Design</t>
  </si>
  <si>
    <t>Minimum on time</t>
  </si>
  <si>
    <t>Fm</t>
  </si>
  <si>
    <t>Iout</t>
  </si>
  <si>
    <t>fsw</t>
  </si>
  <si>
    <t>Duty Cycle</t>
  </si>
  <si>
    <t>Power Stage</t>
  </si>
  <si>
    <t>FP</t>
  </si>
  <si>
    <t>FZ</t>
  </si>
  <si>
    <t>FP2</t>
  </si>
  <si>
    <t>Output voltage</t>
  </si>
  <si>
    <t>sec</t>
  </si>
  <si>
    <t>MIN</t>
  </si>
  <si>
    <t>TYP</t>
  </si>
  <si>
    <t>MAX</t>
  </si>
  <si>
    <t>Input voltage</t>
  </si>
  <si>
    <t>Switching frequency</t>
  </si>
  <si>
    <t>Device Constants</t>
  </si>
  <si>
    <t>Cell Color Key</t>
  </si>
  <si>
    <t>Calculated</t>
  </si>
  <si>
    <t>User Input</t>
  </si>
  <si>
    <t>Design Specifications</t>
  </si>
  <si>
    <t>Vin</t>
  </si>
  <si>
    <t>Rea</t>
  </si>
  <si>
    <t>Vref</t>
  </si>
  <si>
    <t>Rdson</t>
  </si>
  <si>
    <t>Feature Components</t>
  </si>
  <si>
    <t>KPS_fco</t>
  </si>
  <si>
    <t>L</t>
  </si>
  <si>
    <t>Vripple</t>
  </si>
  <si>
    <t>dItran</t>
  </si>
  <si>
    <t>dVtran</t>
  </si>
  <si>
    <t>Inductor RMS current (Vin_min)</t>
  </si>
  <si>
    <t>Equivalent output resistance</t>
  </si>
  <si>
    <t>Pole of power stage</t>
  </si>
  <si>
    <t>Right half plane zero (RHPZ) of power stage</t>
  </si>
  <si>
    <t>Irms_cin</t>
  </si>
  <si>
    <t>Irms_cout</t>
  </si>
  <si>
    <t>Target crossover frequency</t>
  </si>
  <si>
    <t>Std. Resistors</t>
  </si>
  <si>
    <t>Capacitors</t>
  </si>
  <si>
    <t>Enter resistor value</t>
  </si>
  <si>
    <t>E6</t>
  </si>
  <si>
    <t>E96</t>
  </si>
  <si>
    <t>Cap value</t>
  </si>
  <si>
    <t>Closest E6 Value</t>
  </si>
  <si>
    <t>Closest E12 Value</t>
  </si>
  <si>
    <t>C values up to 10nF</t>
  </si>
  <si>
    <t>Closest E24 Value</t>
  </si>
  <si>
    <t>Closest E48 Value</t>
  </si>
  <si>
    <t>Closest E96 Value</t>
  </si>
  <si>
    <t>E12</t>
  </si>
  <si>
    <t>C values greater than 10nF</t>
  </si>
  <si>
    <t>E24</t>
  </si>
  <si>
    <t>E48</t>
  </si>
  <si>
    <t>Chosen compensation resistor</t>
  </si>
  <si>
    <t>Calculated and nearest STD value compensation capacitor</t>
  </si>
  <si>
    <t>Chosen compensation capacitor</t>
  </si>
  <si>
    <t>Calculated and nearest STD value high frequency roll off cap based on fco_target</t>
  </si>
  <si>
    <t>Calculated and nearest STD value high frequency roll off cap based on ESR zero of output capacitor</t>
  </si>
  <si>
    <t>Input capacitors must be rated to handle RMS current</t>
  </si>
  <si>
    <t>fzesr_mod</t>
  </si>
  <si>
    <t>This worksheet is designed for use with Microsoft Excel 2002 or later.  It is intended to assist circuit designers in their</t>
  </si>
  <si>
    <t>routine, day-to-day calculations.  Additional worksheets may be added as they are completed.</t>
  </si>
  <si>
    <t>Important:  Analysis Toolpak is needed to run small signal worksheet.   Go to Tools&gt;Add-Ins&gt; select Analysis Toolpak</t>
  </si>
  <si>
    <t>Disclaimer:</t>
  </si>
  <si>
    <t>This product is designed as an aid for customers of Texas Instruments.  No warranties, either express</t>
  </si>
  <si>
    <t>or implied, with respect to this software or its fitness for any particular purpose is made by Texas</t>
  </si>
  <si>
    <t>Instruments or the author.  The software is licensed solely on an "as is" basis.  The entire risk as to its</t>
  </si>
  <si>
    <t>quality and performance is with the user.</t>
  </si>
  <si>
    <t>All worksheets contain yellow user-input cells, blue calculated cells, and grey constants cells.</t>
  </si>
  <si>
    <t>Hide Sheet</t>
  </si>
  <si>
    <t>© 2012</t>
  </si>
  <si>
    <t>Schematic and Final Component List</t>
  </si>
  <si>
    <t>Ref. Des.</t>
  </si>
  <si>
    <t>Chosen top resistor in feedback voltage divider</t>
  </si>
  <si>
    <t>Chosen fsw set resistor</t>
  </si>
  <si>
    <t>Load transient output current change (50% Iout default)</t>
  </si>
  <si>
    <t>Load transient output voltage change (4% Vout default)</t>
  </si>
  <si>
    <t>Inductor current ripple fraction (typical values 0.2 to 0.4)</t>
  </si>
  <si>
    <t>Inductor Selection (L)</t>
  </si>
  <si>
    <t>Input Capacitor (CI)</t>
  </si>
  <si>
    <t>Output Capacitor (CO)</t>
  </si>
  <si>
    <t>RCOMP calc</t>
  </si>
  <si>
    <t>CCOMP calc</t>
  </si>
  <si>
    <t>CHF calc</t>
  </si>
  <si>
    <t>CHF calc ESR</t>
  </si>
  <si>
    <t xml:space="preserve">Inductor ripple with selected inductance (Vin_min, Vin_nom, Vin_max) </t>
  </si>
  <si>
    <t>Peak current and +20% for recommended minimum inductor saturation current rating</t>
  </si>
  <si>
    <t>DS Equation #</t>
  </si>
  <si>
    <t>n/a</t>
  </si>
  <si>
    <t>D</t>
  </si>
  <si>
    <t>Values and Minimum Recommended Ratings</t>
  </si>
  <si>
    <t>Minimum Cout for output voltage ripple specification</t>
  </si>
  <si>
    <t>Minimum Cout for load transient output voltage change specification (uses fco_target from compensation section)</t>
  </si>
  <si>
    <t>Output capacitors must be rated to handle RMS current (Vin_min)</t>
  </si>
  <si>
    <t>Pole from Rea and CCOMP</t>
  </si>
  <si>
    <t>Zero from RCOMP and CCOMP</t>
  </si>
  <si>
    <t>Chosen CHF (1E-12 is open)</t>
  </si>
  <si>
    <t>Values from Calculations</t>
  </si>
  <si>
    <t>Calculations for Plotting</t>
  </si>
  <si>
    <r>
      <t>C</t>
    </r>
    <r>
      <rPr>
        <vertAlign val="subscript"/>
        <sz val="12"/>
        <rFont val="Arial"/>
        <family val="2"/>
      </rPr>
      <t>COMP</t>
    </r>
  </si>
  <si>
    <r>
      <t>C</t>
    </r>
    <r>
      <rPr>
        <vertAlign val="subscript"/>
        <sz val="12"/>
        <rFont val="Arial"/>
        <family val="2"/>
      </rPr>
      <t>HF</t>
    </r>
  </si>
  <si>
    <r>
      <t>R</t>
    </r>
    <r>
      <rPr>
        <vertAlign val="subscript"/>
        <sz val="12"/>
        <rFont val="Arial"/>
        <family val="2"/>
      </rPr>
      <t>SH</t>
    </r>
  </si>
  <si>
    <r>
      <t>R</t>
    </r>
    <r>
      <rPr>
        <vertAlign val="subscript"/>
        <sz val="12"/>
        <rFont val="Arial"/>
        <family val="2"/>
      </rPr>
      <t>SL</t>
    </r>
  </si>
  <si>
    <r>
      <t>R</t>
    </r>
    <r>
      <rPr>
        <vertAlign val="subscript"/>
        <sz val="12"/>
        <rFont val="Arial"/>
        <family val="2"/>
      </rPr>
      <t>COMP</t>
    </r>
  </si>
  <si>
    <t>Co</t>
  </si>
  <si>
    <t>kHz</t>
  </si>
  <si>
    <t>Values for Plotting</t>
  </si>
  <si>
    <t>Radians</t>
  </si>
  <si>
    <t>Ccer</t>
  </si>
  <si>
    <t>Rcer</t>
  </si>
  <si>
    <t>M</t>
  </si>
  <si>
    <t>Gain Gvd CCM</t>
  </si>
  <si>
    <t>Phase Gvd CCM</t>
  </si>
  <si>
    <t>Acs</t>
  </si>
  <si>
    <t>Vsl</t>
  </si>
  <si>
    <t>m</t>
  </si>
  <si>
    <t>q0</t>
  </si>
  <si>
    <t>wn</t>
  </si>
  <si>
    <t>Zon(s)</t>
  </si>
  <si>
    <t>Zc(s)</t>
  </si>
  <si>
    <t>Zoff(s)</t>
  </si>
  <si>
    <t>Gvd_CCM(s)</t>
  </si>
  <si>
    <t>He(s)</t>
  </si>
  <si>
    <t>Ti(s)</t>
  </si>
  <si>
    <t>Gid(s)</t>
  </si>
  <si>
    <t>Gvc(s)</t>
  </si>
  <si>
    <t>Gain Gvc CCM</t>
  </si>
  <si>
    <t>Phase Gvc CCM</t>
  </si>
  <si>
    <t>Gea(s)</t>
  </si>
  <si>
    <t>Gain Gea</t>
  </si>
  <si>
    <t>Phase Gea</t>
  </si>
  <si>
    <t>Total Gain</t>
  </si>
  <si>
    <t>Total Phase</t>
  </si>
  <si>
    <t>ABS(Total Phase)</t>
  </si>
  <si>
    <t>ABS(Gvc Phase)</t>
  </si>
  <si>
    <t>Target PM</t>
  </si>
  <si>
    <t>*Data gathered by the Venable 350 System</t>
  </si>
  <si>
    <t>*Frequency (Hz)</t>
  </si>
  <si>
    <t>Gain (dB)</t>
  </si>
  <si>
    <t>Phase (Deg)</t>
  </si>
  <si>
    <t>Gvc</t>
  </si>
  <si>
    <t>Gea</t>
  </si>
  <si>
    <t>Total</t>
  </si>
  <si>
    <t>Type 3</t>
  </si>
  <si>
    <t>Cff</t>
  </si>
  <si>
    <t>Rff</t>
  </si>
  <si>
    <t>Cff calc</t>
  </si>
  <si>
    <t>Rff Calc</t>
  </si>
  <si>
    <t>aol</t>
  </si>
  <si>
    <t>gbw</t>
  </si>
  <si>
    <t>Risense</t>
  </si>
  <si>
    <r>
      <t>C</t>
    </r>
    <r>
      <rPr>
        <vertAlign val="subscript"/>
        <sz val="12"/>
        <color indexed="8"/>
        <rFont val="Arial"/>
        <family val="2"/>
      </rPr>
      <t>I</t>
    </r>
  </si>
  <si>
    <r>
      <t>C</t>
    </r>
    <r>
      <rPr>
        <vertAlign val="subscript"/>
        <sz val="12"/>
        <color indexed="8"/>
        <rFont val="Arial"/>
        <family val="2"/>
      </rPr>
      <t>O</t>
    </r>
  </si>
  <si>
    <r>
      <t>C</t>
    </r>
    <r>
      <rPr>
        <vertAlign val="subscript"/>
        <sz val="12"/>
        <color indexed="8"/>
        <rFont val="Arial"/>
        <family val="2"/>
      </rPr>
      <t>SS</t>
    </r>
  </si>
  <si>
    <r>
      <t>C</t>
    </r>
    <r>
      <rPr>
        <vertAlign val="subscript"/>
        <sz val="12"/>
        <color indexed="8"/>
        <rFont val="Arial"/>
        <family val="2"/>
      </rPr>
      <t>HF</t>
    </r>
  </si>
  <si>
    <r>
      <t>R</t>
    </r>
    <r>
      <rPr>
        <vertAlign val="subscript"/>
        <sz val="12"/>
        <color indexed="8"/>
        <rFont val="Arial"/>
        <family val="2"/>
      </rPr>
      <t>SH</t>
    </r>
  </si>
  <si>
    <r>
      <t>R</t>
    </r>
    <r>
      <rPr>
        <vertAlign val="subscript"/>
        <sz val="12"/>
        <color indexed="8"/>
        <rFont val="Arial"/>
        <family val="2"/>
      </rPr>
      <t>SL</t>
    </r>
  </si>
  <si>
    <t>Vin nom</t>
  </si>
  <si>
    <t>Vin min</t>
  </si>
  <si>
    <t>Vin max</t>
  </si>
  <si>
    <t>Minimum off time</t>
  </si>
  <si>
    <t>Dnom</t>
  </si>
  <si>
    <t>Duty cycle at nominal input voltage</t>
  </si>
  <si>
    <t>Duty cycle at minimum input voltage</t>
  </si>
  <si>
    <t>Duty cycle at maximum input voltage</t>
  </si>
  <si>
    <t>Dmax off time, Dmin on time</t>
  </si>
  <si>
    <t>Vcs min</t>
  </si>
  <si>
    <t>Rsense max</t>
  </si>
  <si>
    <t>P Rsense</t>
  </si>
  <si>
    <t>Iripple</t>
  </si>
  <si>
    <t>IL rms</t>
  </si>
  <si>
    <t>IL peak, Isat</t>
  </si>
  <si>
    <t>PL cond</t>
  </si>
  <si>
    <t>Minimum power rating for current sense resistor in normal operating conditions</t>
  </si>
  <si>
    <t>Selected sense resistor</t>
  </si>
  <si>
    <t>Cout min ripple</t>
  </si>
  <si>
    <t>Cout min transient</t>
  </si>
  <si>
    <t>Cout ESR max</t>
  </si>
  <si>
    <t>Estimated maximum Cout ESR to meet ripple specification</t>
  </si>
  <si>
    <t>Viripple</t>
  </si>
  <si>
    <t>Rdson hs</t>
  </si>
  <si>
    <t>Qg ls</t>
  </si>
  <si>
    <t>Rdson ls</t>
  </si>
  <si>
    <t>Phs cond</t>
  </si>
  <si>
    <t>Pls sw</t>
  </si>
  <si>
    <t>Pls cond</t>
  </si>
  <si>
    <t>Qg hs</t>
  </si>
  <si>
    <t>C</t>
  </si>
  <si>
    <t>Rg ls</t>
  </si>
  <si>
    <t>Rgd ls</t>
  </si>
  <si>
    <t>Idrive</t>
  </si>
  <si>
    <t>Vfboot</t>
  </si>
  <si>
    <t>Rg hs</t>
  </si>
  <si>
    <t>Forward voltage of internal or external boot diode</t>
  </si>
  <si>
    <t>Minimum Cin for input voltage ripple specification</t>
  </si>
  <si>
    <t>Rgd hs</t>
  </si>
  <si>
    <t>Vcc</t>
  </si>
  <si>
    <t>Vf body</t>
  </si>
  <si>
    <t>Phs dt</t>
  </si>
  <si>
    <t>tonmin</t>
  </si>
  <si>
    <t>toffmin</t>
  </si>
  <si>
    <t>PIC Iq</t>
  </si>
  <si>
    <t>Forward voltage of body diode</t>
  </si>
  <si>
    <t>Ven on</t>
  </si>
  <si>
    <t>Ien pup</t>
  </si>
  <si>
    <t>Ien hys</t>
  </si>
  <si>
    <t>Ven dis</t>
  </si>
  <si>
    <t>Iq</t>
  </si>
  <si>
    <t>DC Gain</t>
  </si>
  <si>
    <t>PIC gate drive</t>
  </si>
  <si>
    <t>tss</t>
  </si>
  <si>
    <t>Soft-start time</t>
  </si>
  <si>
    <t>Iss</t>
  </si>
  <si>
    <t>Current sense threshold max duty cycle</t>
  </si>
  <si>
    <t>Current sense threshold 0% to 40% duty cycle</t>
  </si>
  <si>
    <t>Internal regulator voltage</t>
  </si>
  <si>
    <t>Internal boot diode forward voltage</t>
  </si>
  <si>
    <t>EN rising threshold</t>
  </si>
  <si>
    <t>EN falling threshold</t>
  </si>
  <si>
    <t>EN pull up current source</t>
  </si>
  <si>
    <t>EN hysteresis current source</t>
  </si>
  <si>
    <t>Operationg non switching quiescent current</t>
  </si>
  <si>
    <t>Soft-start current source</t>
  </si>
  <si>
    <t>fco1</t>
  </si>
  <si>
    <t>fco2</t>
  </si>
  <si>
    <t>Modelled power stage gain at targeted fco</t>
  </si>
  <si>
    <t>Input power stage gain at targeted fco to calculate compensation components</t>
  </si>
  <si>
    <t>Pole from RCOMP and CHF</t>
  </si>
  <si>
    <t>Css calc</t>
  </si>
  <si>
    <t>Calculated and nearest standard value soft-start capacitor</t>
  </si>
  <si>
    <t>Chosen soft-start capacitor</t>
  </si>
  <si>
    <t>Calculated and nearest 1% STD value fsw set resistor</t>
  </si>
  <si>
    <t>Calculated and nearest 1% STD value top resistor for feedback voltage divider</t>
  </si>
  <si>
    <t>Bottom resistor for feedback voltage divider</t>
  </si>
  <si>
    <t>Calculated and nearest 1% STD value top resistor for UVLO divider</t>
  </si>
  <si>
    <t>Chosen top UVLO resistor</t>
  </si>
  <si>
    <t>Chosen bottom UVLO resistor</t>
  </si>
  <si>
    <t>Calculated and nearest 1% STD value bottom resistor for UVLO divider</t>
  </si>
  <si>
    <t>Co ESR</t>
  </si>
  <si>
    <t>Loop Response Results</t>
  </si>
  <si>
    <t>LDRV pull-up resistance</t>
  </si>
  <si>
    <t>Rldrv pd</t>
  </si>
  <si>
    <t>Rldrv pu</t>
  </si>
  <si>
    <t>Rhdrv pu</t>
  </si>
  <si>
    <t>Rhdrv pd</t>
  </si>
  <si>
    <t>LDRV pull-down resistance</t>
  </si>
  <si>
    <t>HDRV pull-up resistance</t>
  </si>
  <si>
    <t>HDRV pull-down resistance</t>
  </si>
  <si>
    <t>Recommended maximum target crossover frequency (frhpz)</t>
  </si>
  <si>
    <t>RCOMP</t>
  </si>
  <si>
    <t>CCOMP</t>
  </si>
  <si>
    <t>CHF</t>
  </si>
  <si>
    <t>TPS4306x Boost Equation Set from Datasheet</t>
  </si>
  <si>
    <t>Gate charge of selected FET</t>
  </si>
  <si>
    <t>Rdson of selected FET</t>
  </si>
  <si>
    <t>Gate resistance of selected FET</t>
  </si>
  <si>
    <t>Nominal input voltage</t>
  </si>
  <si>
    <t>Minimum input voltage</t>
  </si>
  <si>
    <t>Maximum input voltage</t>
  </si>
  <si>
    <t>LDRV series resistance</t>
  </si>
  <si>
    <t>HDRV series resistance</t>
  </si>
  <si>
    <t>Quiescent current power loss in IC</t>
  </si>
  <si>
    <t>Calculated turn off voltage with selected resistors</t>
  </si>
  <si>
    <t>Calculated turn on voltage with selected resistors</t>
  </si>
  <si>
    <t>DC gain of power stage</t>
  </si>
  <si>
    <t>ESR zero of output capacitor</t>
  </si>
  <si>
    <t>TPS43060</t>
  </si>
  <si>
    <t>TPS43061</t>
  </si>
  <si>
    <t>Part #</t>
  </si>
  <si>
    <t>Dmax</t>
  </si>
  <si>
    <t>Dmin</t>
  </si>
  <si>
    <t>Cboot</t>
  </si>
  <si>
    <t>Minimum bootstrap capacitor</t>
  </si>
  <si>
    <t>L min1</t>
  </si>
  <si>
    <t>L min2</t>
  </si>
  <si>
    <t>L min3</t>
  </si>
  <si>
    <t>Inductor current ripple target based on Kind and average current with minimum input voltage</t>
  </si>
  <si>
    <t>Vth</t>
  </si>
  <si>
    <t>Threshold Voltage</t>
  </si>
  <si>
    <t>Iripple target</t>
  </si>
  <si>
    <t>See Small Signal sheet for gain and phase graphs</t>
  </si>
  <si>
    <t>TPS4306x Boost Design Calculator</t>
  </si>
  <si>
    <t>Estimated gate drive power loss in IC including gate drive series resistance and gate resistance of FETs</t>
  </si>
  <si>
    <t>Estimated total gate drive power loss (not including gate resistance of FETs or external series gate drive resistance)</t>
  </si>
  <si>
    <t>Iin max</t>
  </si>
  <si>
    <t>trise, tfall</t>
  </si>
  <si>
    <t>Coss</t>
  </si>
  <si>
    <t>Qgd</t>
  </si>
  <si>
    <t>Select Device</t>
  </si>
  <si>
    <t>Time delay between DRV signals</t>
  </si>
  <si>
    <t>tnonoverlap</t>
  </si>
  <si>
    <t>Ilim typ</t>
  </si>
  <si>
    <t>Typical current limit with selected sense resistor</t>
  </si>
  <si>
    <t>Iout max</t>
  </si>
  <si>
    <t>*05:53PM Monday, October 01, 2012</t>
  </si>
  <si>
    <t>Ilim min</t>
  </si>
  <si>
    <t>*Data gathered by the 3120 System</t>
  </si>
  <si>
    <t>*09:58PM Tuesday, October 02, 2012</t>
  </si>
  <si>
    <t>*10:55AM Wednesday, October 03, 2012</t>
  </si>
  <si>
    <t>Minimum current limit with selected sense resistor</t>
  </si>
  <si>
    <t>Estimated Efficiency</t>
  </si>
  <si>
    <t>fsw max</t>
  </si>
  <si>
    <t>Ptot ls</t>
  </si>
  <si>
    <t>Ptot hs</t>
  </si>
  <si>
    <t>Vcs typ</t>
  </si>
  <si>
    <t>Ipsm</t>
  </si>
  <si>
    <t>Recommended maximum target crossover frequency (fsw)</t>
  </si>
  <si>
    <t>The calculator provides the small signal gain and phase for the final design. The small signal model currently supports CCM only.</t>
  </si>
  <si>
    <t>Vcsmax (0% duty cycle)</t>
  </si>
  <si>
    <t>Vcsmax (max duty cycle)</t>
  </si>
  <si>
    <t>Maximum average input current (assumes 100% efficiency)</t>
  </si>
  <si>
    <t>12,13</t>
  </si>
  <si>
    <t>Estimated critical output current to remain in CCM (Vin_min, Vin_nom, Vin_max)</t>
  </si>
  <si>
    <t>Estimated output current when pulse skipping begins (Vin_min, Vin_nom, Vin_max)</t>
  </si>
  <si>
    <t>Full load conduction losses in inductor (Vin_min, Vin_nom, Vin_max)</t>
  </si>
  <si>
    <t>This tool supports the TPS4306x datasheet (SLVSBP4)</t>
  </si>
  <si>
    <t>Typical over-current current sense voltage based on Figure 19 in datasheet</t>
  </si>
  <si>
    <t>Minimum over-current current sense voltage (10 mV below typical)</t>
  </si>
  <si>
    <t>Maximum output current with typical over-current sense voltage</t>
  </si>
  <si>
    <t>Maximum output current using minimum over-current sense voltage</t>
  </si>
  <si>
    <t>Maximum current sense resistor using Vcs min and 20% tolerance to account for efficiency and transients</t>
  </si>
  <si>
    <t>Output Capacitance</t>
  </si>
  <si>
    <t>Gate to dran charge</t>
  </si>
  <si>
    <t>Estimated switching losses</t>
  </si>
  <si>
    <t>Selected bootstrap capacitor</t>
  </si>
  <si>
    <t>Estimated full load conduction losses in FET (Vin_min)</t>
  </si>
  <si>
    <t>Estimated losses in low-side FET (Vin_min)</t>
  </si>
  <si>
    <t>Estimated max load conduction losses in FET (Vin_min)</t>
  </si>
  <si>
    <t>Estimated max load dead time losses in FET (Vin_min)</t>
  </si>
  <si>
    <t>Estimated losses in high-side FET (Vin_min)</t>
  </si>
  <si>
    <t>PIC VCC</t>
  </si>
  <si>
    <t>Estimated power loss in internal VCC regulator</t>
  </si>
  <si>
    <t>Selected FET</t>
  </si>
  <si>
    <t>Selected Dboot</t>
  </si>
  <si>
    <t>RHS calc</t>
  </si>
  <si>
    <t>RHS chosen</t>
  </si>
  <si>
    <t>Vstart</t>
  </si>
  <si>
    <t>Vstop</t>
  </si>
  <si>
    <t>fco_target</t>
  </si>
  <si>
    <t>Calculated and nearest 1% STD value compensation resistor based on estimation in data sheet</t>
  </si>
  <si>
    <t>Calculated and nearest 1% STD value compensation resistor based on small signal model in excel</t>
  </si>
  <si>
    <r>
      <t>R</t>
    </r>
    <r>
      <rPr>
        <vertAlign val="subscript"/>
        <sz val="12"/>
        <color indexed="8"/>
        <rFont val="Arial"/>
        <family val="2"/>
      </rPr>
      <t>T</t>
    </r>
  </si>
  <si>
    <r>
      <t>R</t>
    </r>
    <r>
      <rPr>
        <vertAlign val="subscript"/>
        <sz val="12"/>
        <color indexed="8"/>
        <rFont val="Arial"/>
        <family val="2"/>
      </rPr>
      <t>SENSE</t>
    </r>
  </si>
  <si>
    <r>
      <t>C</t>
    </r>
    <r>
      <rPr>
        <vertAlign val="subscript"/>
        <sz val="12"/>
        <color indexed="8"/>
        <rFont val="Arial"/>
        <family val="2"/>
      </rPr>
      <t>C</t>
    </r>
  </si>
  <si>
    <r>
      <t>R</t>
    </r>
    <r>
      <rPr>
        <vertAlign val="subscript"/>
        <sz val="12"/>
        <color indexed="8"/>
        <rFont val="Arial"/>
        <family val="2"/>
      </rPr>
      <t>C</t>
    </r>
  </si>
  <si>
    <t>3.6V</t>
  </si>
  <si>
    <t>CVcc</t>
  </si>
  <si>
    <r>
      <t>C</t>
    </r>
    <r>
      <rPr>
        <vertAlign val="subscript"/>
        <sz val="12"/>
        <color indexed="8"/>
        <rFont val="Arial"/>
        <family val="2"/>
      </rPr>
      <t>BOOT</t>
    </r>
  </si>
  <si>
    <r>
      <t>C</t>
    </r>
    <r>
      <rPr>
        <vertAlign val="subscript"/>
        <sz val="12"/>
        <color indexed="8"/>
        <rFont val="Arial"/>
        <family val="2"/>
      </rPr>
      <t>VCC</t>
    </r>
  </si>
  <si>
    <r>
      <t>Q</t>
    </r>
    <r>
      <rPr>
        <vertAlign val="subscript"/>
        <sz val="12"/>
        <color indexed="8"/>
        <rFont val="Arial"/>
        <family val="2"/>
      </rPr>
      <t>H</t>
    </r>
  </si>
  <si>
    <r>
      <t>Q</t>
    </r>
    <r>
      <rPr>
        <vertAlign val="subscript"/>
        <sz val="12"/>
        <color indexed="8"/>
        <rFont val="Arial"/>
        <family val="2"/>
      </rPr>
      <t>L</t>
    </r>
  </si>
  <si>
    <r>
      <t>D</t>
    </r>
    <r>
      <rPr>
        <vertAlign val="subscript"/>
        <sz val="12"/>
        <color indexed="8"/>
        <rFont val="Arial"/>
        <family val="2"/>
      </rPr>
      <t>BOOT</t>
    </r>
  </si>
  <si>
    <t>Input part number for selected low-side FET</t>
  </si>
  <si>
    <t>Input part number for selected high-side FET</t>
  </si>
  <si>
    <t>Total required gate drive current (must be less than 50mA Vcc minimum current limit)</t>
  </si>
  <si>
    <t>Input part number for selected external boot diode (TPS43060 only)</t>
  </si>
  <si>
    <t>EVM Ref. Des.</t>
  </si>
  <si>
    <t>C9</t>
  </si>
  <si>
    <t>C7</t>
  </si>
  <si>
    <t>C8</t>
  </si>
  <si>
    <t>C1</t>
  </si>
  <si>
    <t>C6</t>
  </si>
  <si>
    <t>D1</t>
  </si>
  <si>
    <t>L1</t>
  </si>
  <si>
    <t>Q1</t>
  </si>
  <si>
    <t>C13-C15 (C16)</t>
  </si>
  <si>
    <t>C2-C5, C16 (C17)</t>
  </si>
  <si>
    <t>Q1 (Q2)</t>
  </si>
  <si>
    <t>R16-R17 (R18)</t>
  </si>
  <si>
    <t>R7</t>
  </si>
  <si>
    <t>R5</t>
  </si>
  <si>
    <t>R8</t>
  </si>
  <si>
    <t>R9</t>
  </si>
  <si>
    <t>Low-side Boost FET (QL)</t>
  </si>
  <si>
    <t>Sense Resistor (RSENSE)</t>
  </si>
  <si>
    <t>High-side Synchronous FET (QH, CBOOT)</t>
  </si>
  <si>
    <t>IC (CVCC, DBOOT)</t>
  </si>
  <si>
    <t>Output Voltage (RSL, RSH)</t>
  </si>
  <si>
    <t>Soft-start (CSS)</t>
  </si>
  <si>
    <t>Adjustable UVLO (RUVLO_H, RUVLO_L)</t>
  </si>
  <si>
    <t>Compensation (RC, CC, CHF)</t>
  </si>
  <si>
    <r>
      <t>R</t>
    </r>
    <r>
      <rPr>
        <vertAlign val="subscript"/>
        <sz val="12"/>
        <color indexed="8"/>
        <rFont val="Arial"/>
        <family val="2"/>
      </rPr>
      <t>UVLOH</t>
    </r>
  </si>
  <si>
    <r>
      <t>R</t>
    </r>
    <r>
      <rPr>
        <vertAlign val="subscript"/>
        <sz val="12"/>
        <color indexed="8"/>
        <rFont val="Arial"/>
        <family val="2"/>
      </rPr>
      <t>UVLOL</t>
    </r>
  </si>
  <si>
    <t>Ruvloh calc</t>
  </si>
  <si>
    <t>Ruvlol calc</t>
  </si>
  <si>
    <t xml:space="preserve">     Value</t>
  </si>
  <si>
    <t>Devices Supported</t>
  </si>
  <si>
    <t>Constants</t>
  </si>
  <si>
    <t>V p-p</t>
  </si>
  <si>
    <t xml:space="preserve">  Description/Comments</t>
  </si>
  <si>
    <t>Output voltage ripple (1% Vout)</t>
  </si>
  <si>
    <t>Effective Cin min</t>
  </si>
  <si>
    <t>Chosen Cin</t>
  </si>
  <si>
    <t>Maximum Average Output current</t>
  </si>
  <si>
    <t>Optional adjustable UVLO turn on voltage</t>
  </si>
  <si>
    <t>Optional adjustable UVLO turn off voltage</t>
  </si>
  <si>
    <t>Input voltage ripple (1% Vin nom)</t>
  </si>
  <si>
    <t>Output capacitance selected (remember to include derating for ceramics)</t>
  </si>
  <si>
    <t>Input capacitance selected (remember to include derating for ceramics)</t>
  </si>
  <si>
    <t>Estimated duty cycle limits based on minimum on time and off time (assumes 100% efficiency)</t>
  </si>
  <si>
    <t>Minimum and maximum switching frequency based on duty cycle estimations</t>
  </si>
  <si>
    <t>RT calc</t>
  </si>
  <si>
    <t>RT chosen</t>
  </si>
  <si>
    <t>L chosen</t>
  </si>
  <si>
    <t>DC resistance (DCR) of selected inductor</t>
  </si>
  <si>
    <t>Selected inductance</t>
  </si>
  <si>
    <t>Rsense chosen</t>
  </si>
  <si>
    <t>Cout chosen</t>
  </si>
  <si>
    <t>ESR chosen</t>
  </si>
  <si>
    <t>ESR selected (if mixed output capacitors are used, use equivalent ESR of the non ceramic capacitors)</t>
  </si>
  <si>
    <t>Average gate drive current required</t>
  </si>
  <si>
    <t>Input selected VCC capacitor (0.47 µF to 10 µF recommended)</t>
  </si>
  <si>
    <t>RLS chosen</t>
  </si>
  <si>
    <t>Css chosen</t>
  </si>
  <si>
    <t>Ruvloh chosen</t>
  </si>
  <si>
    <t>Ruvlol chosen</t>
  </si>
  <si>
    <t>Power Good Resistor (RPG)</t>
  </si>
  <si>
    <t>RPG chosen</t>
  </si>
  <si>
    <t>Input selected value for optional power good pull up resistor (between 10k and 100k recommended)</t>
  </si>
  <si>
    <r>
      <t>R</t>
    </r>
    <r>
      <rPr>
        <vertAlign val="subscript"/>
        <sz val="12"/>
        <color indexed="8"/>
        <rFont val="Arial"/>
        <family val="2"/>
      </rPr>
      <t>PG</t>
    </r>
  </si>
  <si>
    <t>R1</t>
  </si>
  <si>
    <t xml:space="preserve">Minimum inductance calculated based on Iripple target (Vin_max) </t>
  </si>
  <si>
    <t xml:space="preserve">Minimum inductance calculated based on Iripple target (Vin_min) </t>
  </si>
  <si>
    <t xml:space="preserve">Minimum inductance calculated based on Iripple target (50% duty cycle) </t>
  </si>
  <si>
    <t>The calculator includes boost power stage design in CCM using the TPS43061EVM-198 design requirements as the original input.</t>
  </si>
  <si>
    <t>Leave the password blank to unlock the individual sheets or workbook.</t>
  </si>
  <si>
    <t>TPS4306x Boost Design Calculator Tool - Rev. B</t>
  </si>
  <si>
    <t>Rev. B</t>
  </si>
  <si>
    <t>Revision notes</t>
  </si>
  <si>
    <t>fixed typos in equations on the Boost Calculations tab in row 68, 69 and 74</t>
  </si>
  <si>
    <t>BSC059N04LS6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</si>
</sst>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##0.00E+0"/>
    <numFmt numFmtId="167" formatCode="0.000000"/>
    <numFmt numFmtId="168" formatCode="##0E+0"/>
  </numFmts>
  <fonts count="3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10"/>
      <color indexed="22"/>
      <name val="Arial"/>
      <family val="2"/>
    </font>
    <font>
      <b/>
      <sz val="2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vertAlign val="subscript"/>
      <sz val="12"/>
      <name val="Arial"/>
      <family val="2"/>
    </font>
    <font>
      <vertAlign val="subscript"/>
      <sz val="12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</borders>
  <cellStyleXfs count="9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9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79">
    <xf numFmtId="0" fontId="0" fillId="0" borderId="0" xfId="0"/>
    <xf numFmtId="0" fontId="0" fillId="2" borderId="0" xfId="0" applyFill="1"/>
    <xf numFmtId="0" fontId="6" fillId="2" borderId="0" xfId="3" applyFont="1" applyFill="1" applyProtection="1">
      <protection hidden="1"/>
    </xf>
    <xf numFmtId="0" fontId="1" fillId="2" borderId="0" xfId="3" applyFill="1" applyProtection="1">
      <protection hidden="1"/>
    </xf>
    <xf numFmtId="0" fontId="7" fillId="2" borderId="0" xfId="3" applyFont="1" applyFill="1" applyProtection="1">
      <protection hidden="1"/>
    </xf>
    <xf numFmtId="49" fontId="1" fillId="2" borderId="0" xfId="3" applyNumberFormat="1" applyFill="1" applyProtection="1">
      <protection hidden="1"/>
    </xf>
    <xf numFmtId="0" fontId="1" fillId="2" borderId="1" xfId="3" applyFill="1" applyBorder="1" applyProtection="1">
      <protection hidden="1"/>
    </xf>
    <xf numFmtId="0" fontId="9" fillId="3" borderId="2" xfId="3" applyFont="1" applyFill="1" applyBorder="1" applyProtection="1">
      <protection hidden="1"/>
    </xf>
    <xf numFmtId="1" fontId="8" fillId="2" borderId="0" xfId="3" applyNumberFormat="1" applyFont="1" applyFill="1" applyProtection="1">
      <protection hidden="1"/>
    </xf>
    <xf numFmtId="0" fontId="11" fillId="4" borderId="3" xfId="3" applyFont="1" applyFill="1" applyBorder="1" applyProtection="1">
      <protection hidden="1"/>
    </xf>
    <xf numFmtId="0" fontId="8" fillId="2" borderId="0" xfId="3" applyFont="1" applyFill="1" applyProtection="1">
      <protection hidden="1"/>
    </xf>
    <xf numFmtId="0" fontId="10" fillId="5" borderId="4" xfId="3" applyFont="1" applyFill="1" applyBorder="1" applyAlignment="1">
      <alignment horizontal="center" wrapText="1"/>
    </xf>
    <xf numFmtId="0" fontId="10" fillId="5" borderId="5" xfId="3" applyFont="1" applyFill="1" applyBorder="1" applyAlignment="1">
      <alignment horizontal="center" wrapText="1"/>
    </xf>
    <xf numFmtId="0" fontId="10" fillId="6" borderId="4" xfId="3" applyFont="1" applyFill="1" applyBorder="1" applyAlignment="1">
      <alignment horizontal="center" wrapText="1"/>
    </xf>
    <xf numFmtId="0" fontId="10" fillId="6" borderId="6" xfId="3" applyFont="1" applyFill="1" applyBorder="1" applyAlignment="1">
      <alignment horizontal="center" wrapText="1"/>
    </xf>
    <xf numFmtId="0" fontId="9" fillId="3" borderId="7" xfId="3" applyFont="1" applyFill="1" applyBorder="1" applyProtection="1">
      <protection hidden="1"/>
    </xf>
    <xf numFmtId="0" fontId="1" fillId="2" borderId="8" xfId="3" applyFill="1" applyBorder="1" applyProtection="1">
      <protection hidden="1"/>
    </xf>
    <xf numFmtId="0" fontId="11" fillId="4" borderId="9" xfId="3" applyFont="1" applyFill="1" applyBorder="1" applyProtection="1">
      <protection hidden="1"/>
    </xf>
    <xf numFmtId="1" fontId="12" fillId="2" borderId="0" xfId="3" applyNumberFormat="1" applyFont="1" applyFill="1" applyProtection="1">
      <protection hidden="1"/>
    </xf>
    <xf numFmtId="165" fontId="13" fillId="2" borderId="0" xfId="3" applyNumberFormat="1" applyFont="1" applyFill="1" applyAlignment="1" applyProtection="1">
      <alignment horizontal="center"/>
      <protection hidden="1"/>
    </xf>
    <xf numFmtId="2" fontId="12" fillId="2" borderId="0" xfId="3" applyNumberFormat="1" applyFont="1" applyFill="1" applyAlignment="1" applyProtection="1">
      <alignment horizontal="center"/>
      <protection hidden="1"/>
    </xf>
    <xf numFmtId="0" fontId="1" fillId="2" borderId="10" xfId="3" applyFill="1" applyBorder="1" applyProtection="1">
      <protection hidden="1"/>
    </xf>
    <xf numFmtId="0" fontId="11" fillId="4" borderId="11" xfId="3" applyFont="1" applyFill="1" applyBorder="1" applyProtection="1">
      <protection hidden="1"/>
    </xf>
    <xf numFmtId="0" fontId="14" fillId="2" borderId="0" xfId="3" applyFont="1" applyFill="1" applyProtection="1">
      <protection hidden="1"/>
    </xf>
    <xf numFmtId="0" fontId="15" fillId="2" borderId="0" xfId="3" applyFont="1" applyFill="1" applyAlignment="1" applyProtection="1">
      <alignment horizontal="center" wrapText="1"/>
      <protection hidden="1"/>
    </xf>
    <xf numFmtId="2" fontId="1" fillId="2" borderId="0" xfId="3" applyNumberFormat="1" applyFill="1" applyAlignment="1" applyProtection="1">
      <alignment horizontal="center"/>
      <protection hidden="1"/>
    </xf>
    <xf numFmtId="1" fontId="1" fillId="2" borderId="0" xfId="3" applyNumberFormat="1" applyFill="1"/>
    <xf numFmtId="0" fontId="1" fillId="2" borderId="12" xfId="3" applyFill="1" applyBorder="1" applyProtection="1">
      <protection hidden="1"/>
    </xf>
    <xf numFmtId="0" fontId="11" fillId="4" borderId="13" xfId="3" applyFont="1" applyFill="1" applyBorder="1" applyProtection="1">
      <protection hidden="1"/>
    </xf>
    <xf numFmtId="0" fontId="10" fillId="7" borderId="14" xfId="3" applyFont="1" applyFill="1" applyBorder="1" applyAlignment="1">
      <alignment horizontal="center" wrapText="1"/>
    </xf>
    <xf numFmtId="0" fontId="10" fillId="7" borderId="4" xfId="3" applyFont="1" applyFill="1" applyBorder="1" applyAlignment="1">
      <alignment horizontal="center" wrapText="1"/>
    </xf>
    <xf numFmtId="0" fontId="10" fillId="7" borderId="5" xfId="3" applyFont="1" applyFill="1" applyBorder="1" applyAlignment="1">
      <alignment horizontal="center" wrapText="1"/>
    </xf>
    <xf numFmtId="0" fontId="1" fillId="2" borderId="0" xfId="3" applyFill="1" applyAlignment="1" applyProtection="1">
      <alignment horizontal="center"/>
      <protection hidden="1"/>
    </xf>
    <xf numFmtId="0" fontId="1" fillId="2" borderId="0" xfId="3" applyFill="1" applyAlignment="1">
      <alignment wrapText="1"/>
    </xf>
    <xf numFmtId="0" fontId="1" fillId="2" borderId="0" xfId="3" applyFill="1" applyAlignment="1">
      <alignment horizontal="center"/>
    </xf>
    <xf numFmtId="0" fontId="11" fillId="2" borderId="0" xfId="3" applyFont="1" applyFill="1" applyProtection="1">
      <protection hidden="1"/>
    </xf>
    <xf numFmtId="0" fontId="1" fillId="2" borderId="0" xfId="3" applyFill="1"/>
    <xf numFmtId="49" fontId="16" fillId="4" borderId="4" xfId="3" applyNumberFormat="1" applyFont="1" applyFill="1" applyBorder="1" applyAlignment="1">
      <alignment horizontal="center" wrapText="1"/>
    </xf>
    <xf numFmtId="49" fontId="16" fillId="4" borderId="5" xfId="3" applyNumberFormat="1" applyFont="1" applyFill="1" applyBorder="1" applyAlignment="1">
      <alignment horizontal="center" wrapText="1"/>
    </xf>
    <xf numFmtId="0" fontId="17" fillId="2" borderId="0" xfId="3" applyFont="1" applyFill="1"/>
    <xf numFmtId="49" fontId="1" fillId="2" borderId="0" xfId="3" applyNumberFormat="1" applyFill="1"/>
    <xf numFmtId="49" fontId="16" fillId="4" borderId="6" xfId="3" applyNumberFormat="1" applyFont="1" applyFill="1" applyBorder="1" applyAlignment="1">
      <alignment horizontal="center" wrapText="1"/>
    </xf>
    <xf numFmtId="49" fontId="12" fillId="2" borderId="0" xfId="3" applyNumberFormat="1" applyFont="1" applyFill="1" applyProtection="1">
      <protection hidden="1"/>
    </xf>
    <xf numFmtId="0" fontId="12" fillId="2" borderId="0" xfId="3" applyFont="1" applyFill="1" applyProtection="1">
      <protection hidden="1"/>
    </xf>
    <xf numFmtId="0" fontId="16" fillId="2" borderId="0" xfId="3" applyFont="1" applyFill="1" applyAlignment="1" applyProtection="1">
      <alignment horizontal="center" wrapText="1"/>
      <protection hidden="1"/>
    </xf>
    <xf numFmtId="0" fontId="12" fillId="2" borderId="0" xfId="3" applyFont="1" applyFill="1"/>
    <xf numFmtId="48" fontId="9" fillId="3" borderId="15" xfId="3" applyNumberFormat="1" applyFont="1" applyFill="1" applyBorder="1" applyAlignment="1" applyProtection="1">
      <alignment horizontal="center"/>
      <protection hidden="1"/>
    </xf>
    <xf numFmtId="48" fontId="11" fillId="4" borderId="16" xfId="3" applyNumberFormat="1" applyFont="1" applyFill="1" applyBorder="1" applyAlignment="1" applyProtection="1">
      <alignment horizontal="center"/>
      <protection hidden="1"/>
    </xf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0" xfId="0" applyFill="1"/>
    <xf numFmtId="0" fontId="0" fillId="8" borderId="21" xfId="0" applyFill="1" applyBorder="1"/>
    <xf numFmtId="0" fontId="18" fillId="8" borderId="20" xfId="0" applyFont="1" applyFill="1" applyBorder="1"/>
    <xf numFmtId="0" fontId="18" fillId="8" borderId="0" xfId="0" applyFont="1" applyFill="1"/>
    <xf numFmtId="0" fontId="18" fillId="8" borderId="21" xfId="0" applyFont="1" applyFill="1" applyBorder="1"/>
    <xf numFmtId="0" fontId="19" fillId="8" borderId="20" xfId="0" applyFont="1" applyFill="1" applyBorder="1"/>
    <xf numFmtId="0" fontId="19" fillId="8" borderId="0" xfId="0" applyFont="1" applyFill="1"/>
    <xf numFmtId="0" fontId="19" fillId="8" borderId="21" xfId="0" applyFont="1" applyFill="1" applyBorder="1"/>
    <xf numFmtId="0" fontId="1" fillId="8" borderId="0" xfId="0" applyFont="1" applyFill="1"/>
    <xf numFmtId="0" fontId="0" fillId="9" borderId="0" xfId="0" applyFill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5" fillId="8" borderId="0" xfId="0" applyFont="1" applyFill="1"/>
    <xf numFmtId="0" fontId="0" fillId="8" borderId="26" xfId="0" applyFill="1" applyBorder="1"/>
    <xf numFmtId="0" fontId="0" fillId="8" borderId="15" xfId="0" applyFill="1" applyBorder="1"/>
    <xf numFmtId="0" fontId="0" fillId="8" borderId="27" xfId="0" applyFill="1" applyBorder="1"/>
    <xf numFmtId="0" fontId="0" fillId="8" borderId="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30" fillId="0" borderId="0" xfId="0" applyFont="1"/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49" fontId="30" fillId="0" borderId="0" xfId="0" applyNumberFormat="1" applyFont="1"/>
    <xf numFmtId="0" fontId="30" fillId="0" borderId="0" xfId="0" applyFont="1" applyAlignment="1">
      <alignment horizontal="right"/>
    </xf>
    <xf numFmtId="0" fontId="32" fillId="0" borderId="0" xfId="0" applyFont="1"/>
    <xf numFmtId="166" fontId="30" fillId="10" borderId="31" xfId="0" applyNumberFormat="1" applyFont="1" applyFill="1" applyBorder="1"/>
    <xf numFmtId="166" fontId="30" fillId="11" borderId="31" xfId="0" applyNumberFormat="1" applyFont="1" applyFill="1" applyBorder="1"/>
    <xf numFmtId="48" fontId="30" fillId="11" borderId="31" xfId="0" applyNumberFormat="1" applyFont="1" applyFill="1" applyBorder="1"/>
    <xf numFmtId="165" fontId="30" fillId="11" borderId="31" xfId="0" applyNumberFormat="1" applyFont="1" applyFill="1" applyBorder="1"/>
    <xf numFmtId="0" fontId="30" fillId="10" borderId="31" xfId="0" applyFont="1" applyFill="1" applyBorder="1" applyProtection="1">
      <protection locked="0"/>
    </xf>
    <xf numFmtId="164" fontId="30" fillId="10" borderId="31" xfId="0" applyNumberFormat="1" applyFont="1" applyFill="1" applyBorder="1" applyProtection="1">
      <protection locked="0"/>
    </xf>
    <xf numFmtId="1" fontId="30" fillId="10" borderId="31" xfId="0" applyNumberFormat="1" applyFont="1" applyFill="1" applyBorder="1" applyProtection="1">
      <protection locked="0"/>
    </xf>
    <xf numFmtId="165" fontId="30" fillId="10" borderId="31" xfId="0" applyNumberFormat="1" applyFont="1" applyFill="1" applyBorder="1" applyProtection="1">
      <protection locked="0"/>
    </xf>
    <xf numFmtId="0" fontId="31" fillId="12" borderId="31" xfId="0" applyFont="1" applyFill="1" applyBorder="1"/>
    <xf numFmtId="48" fontId="31" fillId="12" borderId="31" xfId="0" applyNumberFormat="1" applyFont="1" applyFill="1" applyBorder="1"/>
    <xf numFmtId="168" fontId="31" fillId="12" borderId="31" xfId="0" applyNumberFormat="1" applyFont="1" applyFill="1" applyBorder="1"/>
    <xf numFmtId="165" fontId="31" fillId="12" borderId="31" xfId="0" applyNumberFormat="1" applyFont="1" applyFill="1" applyBorder="1"/>
    <xf numFmtId="9" fontId="30" fillId="11" borderId="31" xfId="5" applyFont="1" applyFill="1" applyBorder="1" applyProtection="1"/>
    <xf numFmtId="48" fontId="30" fillId="10" borderId="31" xfId="0" applyNumberFormat="1" applyFont="1" applyFill="1" applyBorder="1" applyProtection="1">
      <protection locked="0"/>
    </xf>
    <xf numFmtId="0" fontId="30" fillId="11" borderId="31" xfId="3" applyFont="1" applyFill="1" applyBorder="1"/>
    <xf numFmtId="48" fontId="30" fillId="11" borderId="31" xfId="0" applyNumberFormat="1" applyFont="1" applyFill="1" applyBorder="1" applyAlignment="1">
      <alignment horizontal="right" readingOrder="1"/>
    </xf>
    <xf numFmtId="2" fontId="31" fillId="12" borderId="31" xfId="0" applyNumberFormat="1" applyFont="1" applyFill="1" applyBorder="1"/>
    <xf numFmtId="48" fontId="30" fillId="11" borderId="31" xfId="3" applyNumberFormat="1" applyFont="1" applyFill="1" applyBorder="1" applyAlignment="1">
      <alignment horizontal="center"/>
    </xf>
    <xf numFmtId="164" fontId="30" fillId="11" borderId="31" xfId="0" applyNumberFormat="1" applyFont="1" applyFill="1" applyBorder="1"/>
    <xf numFmtId="2" fontId="30" fillId="11" borderId="31" xfId="0" applyNumberFormat="1" applyFont="1" applyFill="1" applyBorder="1"/>
    <xf numFmtId="166" fontId="30" fillId="10" borderId="31" xfId="0" applyNumberFormat="1" applyFont="1" applyFill="1" applyBorder="1" applyProtection="1">
      <protection locked="0"/>
    </xf>
    <xf numFmtId="2" fontId="30" fillId="10" borderId="31" xfId="0" applyNumberFormat="1" applyFont="1" applyFill="1" applyBorder="1" applyProtection="1">
      <protection locked="0"/>
    </xf>
    <xf numFmtId="0" fontId="1" fillId="11" borderId="31" xfId="0" applyFont="1" applyFill="1" applyBorder="1" applyProtection="1">
      <protection hidden="1"/>
    </xf>
    <xf numFmtId="48" fontId="1" fillId="11" borderId="31" xfId="0" applyNumberFormat="1" applyFont="1" applyFill="1" applyBorder="1" applyProtection="1">
      <protection hidden="1"/>
    </xf>
    <xf numFmtId="165" fontId="1" fillId="11" borderId="31" xfId="0" applyNumberFormat="1" applyFont="1" applyFill="1" applyBorder="1" applyProtection="1">
      <protection hidden="1"/>
    </xf>
    <xf numFmtId="2" fontId="1" fillId="11" borderId="31" xfId="0" applyNumberFormat="1" applyFont="1" applyFill="1" applyBorder="1" applyProtection="1">
      <protection hidden="1"/>
    </xf>
    <xf numFmtId="164" fontId="31" fillId="12" borderId="31" xfId="0" applyNumberFormat="1" applyFont="1" applyFill="1" applyBorder="1"/>
    <xf numFmtId="0" fontId="1" fillId="0" borderId="0" xfId="2"/>
    <xf numFmtId="0" fontId="1" fillId="0" borderId="0" xfId="2" applyAlignment="1">
      <alignment horizontal="right"/>
    </xf>
    <xf numFmtId="0" fontId="23" fillId="0" borderId="0" xfId="2" applyFont="1" applyAlignment="1">
      <alignment horizontal="left"/>
    </xf>
    <xf numFmtId="0" fontId="1" fillId="0" borderId="0" xfId="2" applyAlignment="1">
      <alignment horizontal="left"/>
    </xf>
    <xf numFmtId="0" fontId="25" fillId="0" borderId="0" xfId="2" applyFont="1" applyAlignment="1">
      <alignment horizontal="center"/>
    </xf>
    <xf numFmtId="165" fontId="25" fillId="0" borderId="0" xfId="2" applyNumberFormat="1" applyFont="1" applyAlignment="1">
      <alignment horizontal="center"/>
    </xf>
    <xf numFmtId="11" fontId="1" fillId="0" borderId="0" xfId="2" applyNumberFormat="1" applyAlignment="1">
      <alignment horizontal="left"/>
    </xf>
    <xf numFmtId="2" fontId="1" fillId="0" borderId="0" xfId="2" applyNumberFormat="1" applyAlignment="1">
      <alignment horizontal="left"/>
    </xf>
    <xf numFmtId="0" fontId="30" fillId="11" borderId="31" xfId="0" applyFont="1" applyFill="1" applyBorder="1"/>
    <xf numFmtId="48" fontId="30" fillId="11" borderId="31" xfId="5" applyNumberFormat="1" applyFont="1" applyFill="1" applyBorder="1" applyProtection="1"/>
    <xf numFmtId="0" fontId="24" fillId="8" borderId="0" xfId="1" applyFill="1" applyAlignment="1" applyProtection="1"/>
    <xf numFmtId="0" fontId="33" fillId="13" borderId="31" xfId="0" applyFont="1" applyFill="1" applyBorder="1" applyAlignment="1">
      <alignment horizontal="center"/>
    </xf>
    <xf numFmtId="0" fontId="33" fillId="13" borderId="32" xfId="0" applyFont="1" applyFill="1" applyBorder="1" applyAlignment="1">
      <alignment horizontal="center"/>
    </xf>
    <xf numFmtId="9" fontId="30" fillId="10" borderId="31" xfId="5" applyFont="1" applyFill="1" applyBorder="1" applyProtection="1">
      <protection locked="0"/>
    </xf>
    <xf numFmtId="48" fontId="30" fillId="10" borderId="31" xfId="0" applyNumberFormat="1" applyFont="1" applyFill="1" applyBorder="1" applyAlignment="1" applyProtection="1">
      <alignment horizontal="right"/>
      <protection locked="0"/>
    </xf>
    <xf numFmtId="48" fontId="30" fillId="11" borderId="31" xfId="0" applyNumberFormat="1" applyFont="1" applyFill="1" applyBorder="1" applyAlignment="1">
      <alignment horizontal="right"/>
    </xf>
    <xf numFmtId="0" fontId="30" fillId="11" borderId="31" xfId="0" applyFont="1" applyFill="1" applyBorder="1" applyAlignment="1">
      <alignment horizontal="right"/>
    </xf>
    <xf numFmtId="165" fontId="30" fillId="11" borderId="31" xfId="0" applyNumberFormat="1" applyFont="1" applyFill="1" applyBorder="1" applyAlignment="1">
      <alignment horizontal="right"/>
    </xf>
    <xf numFmtId="0" fontId="33" fillId="13" borderId="33" xfId="0" applyFont="1" applyFill="1" applyBorder="1"/>
    <xf numFmtId="11" fontId="33" fillId="13" borderId="33" xfId="0" applyNumberFormat="1" applyFont="1" applyFill="1" applyBorder="1" applyAlignment="1">
      <alignment horizontal="left"/>
    </xf>
    <xf numFmtId="0" fontId="31" fillId="10" borderId="31" xfId="0" applyFont="1" applyFill="1" applyBorder="1" applyAlignment="1">
      <alignment horizontal="center"/>
    </xf>
    <xf numFmtId="0" fontId="31" fillId="12" borderId="31" xfId="0" applyFont="1" applyFill="1" applyBorder="1" applyAlignment="1">
      <alignment horizontal="center"/>
    </xf>
    <xf numFmtId="0" fontId="31" fillId="11" borderId="31" xfId="0" applyFont="1" applyFill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0" fillId="0" borderId="31" xfId="0" applyFont="1" applyBorder="1" applyAlignment="1">
      <alignment horizontal="right"/>
    </xf>
    <xf numFmtId="48" fontId="30" fillId="0" borderId="31" xfId="0" applyNumberFormat="1" applyFont="1" applyBorder="1" applyAlignment="1">
      <alignment horizontal="right" readingOrder="1"/>
    </xf>
    <xf numFmtId="0" fontId="30" fillId="0" borderId="31" xfId="0" applyFont="1" applyBorder="1"/>
    <xf numFmtId="166" fontId="30" fillId="0" borderId="31" xfId="0" applyNumberFormat="1" applyFont="1" applyBorder="1"/>
    <xf numFmtId="165" fontId="30" fillId="0" borderId="31" xfId="0" applyNumberFormat="1" applyFont="1" applyBorder="1"/>
    <xf numFmtId="48" fontId="30" fillId="0" borderId="31" xfId="0" applyNumberFormat="1" applyFont="1" applyBorder="1"/>
    <xf numFmtId="2" fontId="30" fillId="0" borderId="31" xfId="0" applyNumberFormat="1" applyFont="1" applyBorder="1"/>
    <xf numFmtId="0" fontId="31" fillId="0" borderId="31" xfId="0" applyFont="1" applyBorder="1"/>
    <xf numFmtId="48" fontId="31" fillId="0" borderId="31" xfId="0" applyNumberFormat="1" applyFont="1" applyBorder="1"/>
    <xf numFmtId="0" fontId="34" fillId="14" borderId="0" xfId="0" applyFont="1" applyFill="1"/>
    <xf numFmtId="0" fontId="30" fillId="14" borderId="0" xfId="0" applyFont="1" applyFill="1"/>
    <xf numFmtId="0" fontId="33" fillId="14" borderId="0" xfId="0" applyFont="1" applyFill="1"/>
    <xf numFmtId="0" fontId="32" fillId="14" borderId="0" xfId="0" applyFont="1" applyFill="1" applyAlignment="1">
      <alignment horizontal="right"/>
    </xf>
    <xf numFmtId="0" fontId="33" fillId="14" borderId="0" xfId="0" applyFont="1" applyFill="1" applyAlignment="1">
      <alignment horizontal="right"/>
    </xf>
    <xf numFmtId="0" fontId="30" fillId="14" borderId="0" xfId="0" applyFont="1" applyFill="1" applyAlignment="1">
      <alignment horizontal="center"/>
    </xf>
    <xf numFmtId="49" fontId="30" fillId="14" borderId="0" xfId="0" applyNumberFormat="1" applyFont="1" applyFill="1"/>
    <xf numFmtId="11" fontId="30" fillId="14" borderId="0" xfId="0" applyNumberFormat="1" applyFont="1" applyFill="1"/>
    <xf numFmtId="0" fontId="31" fillId="14" borderId="0" xfId="0" applyFont="1" applyFill="1" applyAlignment="1">
      <alignment horizontal="right"/>
    </xf>
    <xf numFmtId="0" fontId="30" fillId="14" borderId="0" xfId="0" applyFont="1" applyFill="1" applyAlignment="1">
      <alignment horizontal="right"/>
    </xf>
    <xf numFmtId="0" fontId="32" fillId="14" borderId="0" xfId="0" applyFont="1" applyFill="1"/>
    <xf numFmtId="49" fontId="32" fillId="14" borderId="0" xfId="0" applyNumberFormat="1" applyFont="1" applyFill="1"/>
    <xf numFmtId="0" fontId="35" fillId="14" borderId="34" xfId="0" applyFont="1" applyFill="1" applyBorder="1" applyAlignment="1">
      <alignment horizontal="right"/>
    </xf>
    <xf numFmtId="0" fontId="30" fillId="14" borderId="31" xfId="0" applyFont="1" applyFill="1" applyBorder="1" applyAlignment="1">
      <alignment horizontal="right"/>
    </xf>
    <xf numFmtId="165" fontId="30" fillId="14" borderId="0" xfId="0" applyNumberFormat="1" applyFont="1" applyFill="1" applyAlignment="1">
      <alignment horizontal="right"/>
    </xf>
    <xf numFmtId="11" fontId="31" fillId="14" borderId="0" xfId="0" applyNumberFormat="1" applyFont="1" applyFill="1"/>
    <xf numFmtId="0" fontId="31" fillId="14" borderId="0" xfId="0" applyFont="1" applyFill="1" applyAlignment="1">
      <alignment horizontal="center"/>
    </xf>
    <xf numFmtId="0" fontId="31" fillId="14" borderId="0" xfId="0" applyFont="1" applyFill="1"/>
    <xf numFmtId="0" fontId="31" fillId="14" borderId="34" xfId="0" applyFont="1" applyFill="1" applyBorder="1"/>
    <xf numFmtId="0" fontId="30" fillId="14" borderId="34" xfId="0" applyFont="1" applyFill="1" applyBorder="1"/>
    <xf numFmtId="0" fontId="31" fillId="14" borderId="34" xfId="0" applyFont="1" applyFill="1" applyBorder="1" applyAlignment="1">
      <alignment horizontal="center"/>
    </xf>
    <xf numFmtId="11" fontId="31" fillId="14" borderId="34" xfId="0" applyNumberFormat="1" applyFont="1" applyFill="1" applyBorder="1"/>
    <xf numFmtId="165" fontId="30" fillId="14" borderId="0" xfId="0" applyNumberFormat="1" applyFont="1" applyFill="1"/>
    <xf numFmtId="48" fontId="30" fillId="14" borderId="0" xfId="0" applyNumberFormat="1" applyFont="1" applyFill="1"/>
    <xf numFmtId="0" fontId="30" fillId="14" borderId="34" xfId="0" applyFont="1" applyFill="1" applyBorder="1" applyAlignment="1">
      <alignment horizontal="center"/>
    </xf>
    <xf numFmtId="167" fontId="30" fillId="14" borderId="0" xfId="0" applyNumberFormat="1" applyFont="1" applyFill="1"/>
    <xf numFmtId="11" fontId="30" fillId="14" borderId="34" xfId="0" applyNumberFormat="1" applyFont="1" applyFill="1" applyBorder="1"/>
    <xf numFmtId="48" fontId="30" fillId="14" borderId="34" xfId="0" applyNumberFormat="1" applyFont="1" applyFill="1" applyBorder="1"/>
    <xf numFmtId="49" fontId="31" fillId="14" borderId="0" xfId="0" applyNumberFormat="1" applyFont="1" applyFill="1"/>
    <xf numFmtId="0" fontId="33" fillId="14" borderId="0" xfId="0" applyFont="1" applyFill="1" applyAlignment="1">
      <alignment horizontal="left"/>
    </xf>
    <xf numFmtId="0" fontId="33" fillId="14" borderId="0" xfId="0" applyFont="1" applyFill="1" applyAlignment="1">
      <alignment horizontal="center"/>
    </xf>
    <xf numFmtId="0" fontId="33" fillId="14" borderId="35" xfId="0" applyFont="1" applyFill="1" applyBorder="1"/>
    <xf numFmtId="0" fontId="33" fillId="14" borderId="36" xfId="0" applyFont="1" applyFill="1" applyBorder="1" applyAlignment="1">
      <alignment horizontal="center"/>
    </xf>
    <xf numFmtId="11" fontId="33" fillId="14" borderId="0" xfId="0" applyNumberFormat="1" applyFont="1" applyFill="1"/>
    <xf numFmtId="0" fontId="30" fillId="14" borderId="31" xfId="0" applyFont="1" applyFill="1" applyBorder="1" applyAlignment="1">
      <alignment horizontal="center"/>
    </xf>
    <xf numFmtId="0" fontId="35" fillId="0" borderId="31" xfId="0" applyFont="1" applyBorder="1" applyAlignment="1">
      <alignment horizontal="center"/>
    </xf>
    <xf numFmtId="11" fontId="30" fillId="0" borderId="31" xfId="0" applyNumberFormat="1" applyFont="1" applyBorder="1"/>
    <xf numFmtId="0" fontId="31" fillId="0" borderId="31" xfId="0" applyFont="1" applyBorder="1" applyAlignment="1">
      <alignment horizontal="right"/>
    </xf>
    <xf numFmtId="0" fontId="30" fillId="0" borderId="31" xfId="0" applyFont="1" applyBorder="1" applyAlignment="1">
      <alignment horizontal="center"/>
    </xf>
    <xf numFmtId="0" fontId="30" fillId="0" borderId="31" xfId="2" applyFont="1" applyBorder="1" applyAlignment="1">
      <alignment horizontal="right"/>
    </xf>
    <xf numFmtId="166" fontId="31" fillId="0" borderId="31" xfId="0" applyNumberFormat="1" applyFont="1" applyBorder="1"/>
    <xf numFmtId="0" fontId="30" fillId="0" borderId="31" xfId="2" applyFont="1" applyBorder="1"/>
    <xf numFmtId="166" fontId="30" fillId="0" borderId="31" xfId="0" applyNumberFormat="1" applyFont="1" applyBorder="1" applyAlignment="1">
      <alignment horizontal="center"/>
    </xf>
    <xf numFmtId="0" fontId="30" fillId="0" borderId="31" xfId="0" applyFont="1" applyBorder="1" applyAlignment="1">
      <alignment wrapText="1"/>
    </xf>
    <xf numFmtId="0" fontId="33" fillId="12" borderId="37" xfId="0" applyFont="1" applyFill="1" applyBorder="1" applyAlignment="1">
      <alignment horizontal="center"/>
    </xf>
    <xf numFmtId="0" fontId="33" fillId="12" borderId="38" xfId="0" applyFont="1" applyFill="1" applyBorder="1" applyAlignment="1">
      <alignment horizontal="center"/>
    </xf>
    <xf numFmtId="0" fontId="33" fillId="12" borderId="39" xfId="0" applyFont="1" applyFill="1" applyBorder="1" applyAlignment="1">
      <alignment horizontal="center"/>
    </xf>
    <xf numFmtId="0" fontId="31" fillId="12" borderId="31" xfId="0" applyFont="1" applyFill="1" applyBorder="1" applyAlignment="1">
      <alignment horizontal="right"/>
    </xf>
    <xf numFmtId="0" fontId="30" fillId="12" borderId="31" xfId="0" applyFont="1" applyFill="1" applyBorder="1"/>
    <xf numFmtId="0" fontId="30" fillId="15" borderId="39" xfId="0" applyFont="1" applyFill="1" applyBorder="1"/>
    <xf numFmtId="0" fontId="31" fillId="15" borderId="40" xfId="0" applyFont="1" applyFill="1" applyBorder="1" applyAlignment="1">
      <alignment horizontal="center"/>
    </xf>
    <xf numFmtId="0" fontId="30" fillId="15" borderId="40" xfId="0" applyFont="1" applyFill="1" applyBorder="1"/>
    <xf numFmtId="0" fontId="30" fillId="15" borderId="40" xfId="0" applyFont="1" applyFill="1" applyBorder="1" applyAlignment="1">
      <alignment horizontal="center"/>
    </xf>
    <xf numFmtId="0" fontId="30" fillId="15" borderId="41" xfId="0" applyFont="1" applyFill="1" applyBorder="1"/>
    <xf numFmtId="49" fontId="30" fillId="15" borderId="37" xfId="0" applyNumberFormat="1" applyFont="1" applyFill="1" applyBorder="1"/>
    <xf numFmtId="0" fontId="30" fillId="15" borderId="42" xfId="0" applyFont="1" applyFill="1" applyBorder="1"/>
    <xf numFmtId="0" fontId="32" fillId="15" borderId="36" xfId="0" applyFont="1" applyFill="1" applyBorder="1"/>
    <xf numFmtId="0" fontId="32" fillId="15" borderId="42" xfId="0" applyFont="1" applyFill="1" applyBorder="1"/>
    <xf numFmtId="0" fontId="30" fillId="15" borderId="36" xfId="0" applyFont="1" applyFill="1" applyBorder="1"/>
    <xf numFmtId="0" fontId="31" fillId="15" borderId="41" xfId="0" applyFont="1" applyFill="1" applyBorder="1" applyAlignment="1">
      <alignment horizontal="center"/>
    </xf>
    <xf numFmtId="0" fontId="30" fillId="15" borderId="41" xfId="0" applyFont="1" applyFill="1" applyBorder="1" applyAlignment="1">
      <alignment horizontal="center"/>
    </xf>
    <xf numFmtId="0" fontId="30" fillId="15" borderId="0" xfId="0" applyFont="1" applyFill="1"/>
    <xf numFmtId="49" fontId="30" fillId="15" borderId="35" xfId="0" applyNumberFormat="1" applyFont="1" applyFill="1" applyBorder="1"/>
    <xf numFmtId="0" fontId="31" fillId="15" borderId="34" xfId="0" applyFont="1" applyFill="1" applyBorder="1" applyAlignment="1">
      <alignment horizontal="center"/>
    </xf>
    <xf numFmtId="0" fontId="30" fillId="15" borderId="34" xfId="0" applyFont="1" applyFill="1" applyBorder="1"/>
    <xf numFmtId="0" fontId="30" fillId="15" borderId="34" xfId="0" applyFont="1" applyFill="1" applyBorder="1" applyAlignment="1">
      <alignment horizontal="center"/>
    </xf>
    <xf numFmtId="49" fontId="33" fillId="15" borderId="0" xfId="0" applyNumberFormat="1" applyFont="1" applyFill="1"/>
    <xf numFmtId="49" fontId="32" fillId="15" borderId="35" xfId="0" applyNumberFormat="1" applyFont="1" applyFill="1" applyBorder="1"/>
    <xf numFmtId="49" fontId="30" fillId="15" borderId="36" xfId="0" applyNumberFormat="1" applyFont="1" applyFill="1" applyBorder="1"/>
    <xf numFmtId="0" fontId="30" fillId="15" borderId="35" xfId="0" applyFont="1" applyFill="1" applyBorder="1"/>
    <xf numFmtId="11" fontId="31" fillId="15" borderId="0" xfId="0" applyNumberFormat="1" applyFont="1" applyFill="1"/>
    <xf numFmtId="11" fontId="31" fillId="15" borderId="36" xfId="0" applyNumberFormat="1" applyFont="1" applyFill="1" applyBorder="1"/>
    <xf numFmtId="0" fontId="31" fillId="15" borderId="36" xfId="0" applyFont="1" applyFill="1" applyBorder="1"/>
    <xf numFmtId="49" fontId="31" fillId="15" borderId="35" xfId="0" applyNumberFormat="1" applyFont="1" applyFill="1" applyBorder="1"/>
    <xf numFmtId="11" fontId="30" fillId="15" borderId="36" xfId="0" applyNumberFormat="1" applyFont="1" applyFill="1" applyBorder="1"/>
    <xf numFmtId="165" fontId="30" fillId="15" borderId="36" xfId="0" applyNumberFormat="1" applyFont="1" applyFill="1" applyBorder="1"/>
    <xf numFmtId="0" fontId="31" fillId="15" borderId="0" xfId="0" applyFont="1" applyFill="1"/>
    <xf numFmtId="0" fontId="33" fillId="15" borderId="0" xfId="0" applyFont="1" applyFill="1"/>
    <xf numFmtId="0" fontId="33" fillId="15" borderId="36" xfId="0" applyFont="1" applyFill="1" applyBorder="1"/>
    <xf numFmtId="9" fontId="30" fillId="0" borderId="31" xfId="5" applyFont="1" applyFill="1" applyBorder="1" applyAlignment="1" applyProtection="1">
      <alignment horizontal="right" readingOrder="1"/>
    </xf>
    <xf numFmtId="0" fontId="1" fillId="14" borderId="0" xfId="0" applyFont="1" applyFill="1" applyProtection="1">
      <protection hidden="1"/>
    </xf>
    <xf numFmtId="0" fontId="1" fillId="14" borderId="0" xfId="0" applyFont="1" applyFill="1" applyAlignment="1" applyProtection="1">
      <alignment horizontal="right"/>
      <protection hidden="1"/>
    </xf>
    <xf numFmtId="48" fontId="1" fillId="14" borderId="0" xfId="0" applyNumberFormat="1" applyFont="1" applyFill="1" applyProtection="1">
      <protection hidden="1"/>
    </xf>
    <xf numFmtId="0" fontId="1" fillId="14" borderId="0" xfId="0" applyFont="1" applyFill="1" applyAlignment="1">
      <alignment horizontal="right"/>
    </xf>
    <xf numFmtId="0" fontId="4" fillId="14" borderId="0" xfId="0" applyFont="1" applyFill="1" applyAlignment="1" applyProtection="1">
      <alignment horizontal="center"/>
      <protection hidden="1"/>
    </xf>
    <xf numFmtId="165" fontId="1" fillId="14" borderId="0" xfId="0" applyNumberFormat="1" applyFont="1" applyFill="1" applyProtection="1">
      <protection hidden="1"/>
    </xf>
    <xf numFmtId="11" fontId="1" fillId="11" borderId="31" xfId="0" applyNumberFormat="1" applyFont="1" applyFill="1" applyBorder="1" applyProtection="1">
      <protection hidden="1"/>
    </xf>
    <xf numFmtId="0" fontId="36" fillId="14" borderId="0" xfId="0" applyFont="1" applyFill="1" applyProtection="1">
      <protection hidden="1"/>
    </xf>
    <xf numFmtId="0" fontId="37" fillId="14" borderId="0" xfId="0" applyFont="1" applyFill="1" applyProtection="1">
      <protection hidden="1"/>
    </xf>
    <xf numFmtId="48" fontId="36" fillId="14" borderId="0" xfId="0" applyNumberFormat="1" applyFont="1" applyFill="1" applyProtection="1">
      <protection hidden="1"/>
    </xf>
    <xf numFmtId="166" fontId="36" fillId="14" borderId="0" xfId="0" applyNumberFormat="1" applyFont="1" applyFill="1" applyProtection="1">
      <protection hidden="1"/>
    </xf>
    <xf numFmtId="0" fontId="36" fillId="14" borderId="0" xfId="0" quotePrefix="1" applyFont="1" applyFill="1" applyProtection="1">
      <protection hidden="1"/>
    </xf>
    <xf numFmtId="0" fontId="38" fillId="14" borderId="0" xfId="4" applyFont="1" applyFill="1" applyProtection="1">
      <protection hidden="1"/>
    </xf>
    <xf numFmtId="11" fontId="36" fillId="14" borderId="0" xfId="0" applyNumberFormat="1" applyFont="1" applyFill="1" applyProtection="1">
      <protection hidden="1"/>
    </xf>
    <xf numFmtId="11" fontId="38" fillId="14" borderId="0" xfId="4" applyNumberFormat="1" applyFont="1" applyFill="1" applyProtection="1">
      <protection hidden="1"/>
    </xf>
    <xf numFmtId="0" fontId="36" fillId="14" borderId="0" xfId="0" applyFont="1" applyFill="1" applyAlignment="1" applyProtection="1">
      <alignment horizontal="right"/>
      <protection hidden="1"/>
    </xf>
    <xf numFmtId="1" fontId="36" fillId="14" borderId="0" xfId="0" applyNumberFormat="1" applyFont="1" applyFill="1" applyProtection="1">
      <protection hidden="1"/>
    </xf>
    <xf numFmtId="48" fontId="36" fillId="14" borderId="0" xfId="3" applyNumberFormat="1" applyFont="1" applyFill="1" applyAlignment="1">
      <alignment horizontal="center"/>
    </xf>
    <xf numFmtId="0" fontId="36" fillId="14" borderId="0" xfId="3" applyFont="1" applyFill="1"/>
    <xf numFmtId="165" fontId="36" fillId="14" borderId="0" xfId="0" applyNumberFormat="1" applyFont="1" applyFill="1" applyProtection="1">
      <protection hidden="1"/>
    </xf>
    <xf numFmtId="0" fontId="36" fillId="14" borderId="0" xfId="0" applyFont="1" applyFill="1" applyAlignment="1">
      <alignment horizontal="right"/>
    </xf>
    <xf numFmtId="1" fontId="36" fillId="14" borderId="0" xfId="0" applyNumberFormat="1" applyFont="1" applyFill="1"/>
    <xf numFmtId="166" fontId="36" fillId="14" borderId="0" xfId="0" applyNumberFormat="1" applyFont="1" applyFill="1"/>
    <xf numFmtId="0" fontId="27" fillId="2" borderId="0" xfId="0" applyFont="1" applyFill="1"/>
    <xf numFmtId="0" fontId="1" fillId="2" borderId="0" xfId="0" applyFont="1" applyFill="1"/>
    <xf numFmtId="0" fontId="28" fillId="2" borderId="0" xfId="0" applyFont="1" applyFill="1"/>
    <xf numFmtId="0" fontId="31" fillId="10" borderId="31" xfId="0" applyFont="1" applyFill="1" applyBorder="1" applyAlignment="1" applyProtection="1">
      <alignment horizontal="center"/>
      <protection locked="0"/>
    </xf>
    <xf numFmtId="0" fontId="1" fillId="10" borderId="31" xfId="0" applyFont="1" applyFill="1" applyBorder="1" applyProtection="1">
      <protection locked="0"/>
    </xf>
    <xf numFmtId="11" fontId="1" fillId="10" borderId="31" xfId="0" applyNumberFormat="1" applyFont="1" applyFill="1" applyBorder="1" applyProtection="1">
      <protection locked="0"/>
    </xf>
    <xf numFmtId="48" fontId="1" fillId="10" borderId="31" xfId="0" applyNumberFormat="1" applyFont="1" applyFill="1" applyBorder="1" applyProtection="1">
      <protection locked="0"/>
    </xf>
    <xf numFmtId="165" fontId="1" fillId="10" borderId="31" xfId="0" applyNumberFormat="1" applyFont="1" applyFill="1" applyBorder="1" applyProtection="1">
      <protection locked="0"/>
    </xf>
    <xf numFmtId="166" fontId="1" fillId="11" borderId="31" xfId="0" applyNumberFormat="1" applyFont="1" applyFill="1" applyBorder="1" applyProtection="1">
      <protection hidden="1"/>
    </xf>
    <xf numFmtId="164" fontId="1" fillId="11" borderId="31" xfId="0" applyNumberFormat="1" applyFont="1" applyFill="1" applyBorder="1" applyProtection="1">
      <protection hidden="1"/>
    </xf>
    <xf numFmtId="48" fontId="1" fillId="11" borderId="38" xfId="0" applyNumberFormat="1" applyFont="1" applyFill="1" applyBorder="1" applyProtection="1">
      <protection hidden="1"/>
    </xf>
    <xf numFmtId="48" fontId="0" fillId="10" borderId="31" xfId="0" applyNumberFormat="1" applyFill="1" applyBorder="1" applyAlignment="1" applyProtection="1">
      <alignment horizontal="right"/>
      <protection locked="0"/>
    </xf>
    <xf numFmtId="11" fontId="33" fillId="13" borderId="33" xfId="0" applyNumberFormat="1" applyFont="1" applyFill="1" applyBorder="1" applyAlignment="1">
      <alignment horizontal="left"/>
    </xf>
    <xf numFmtId="11" fontId="33" fillId="13" borderId="40" xfId="0" applyNumberFormat="1" applyFont="1" applyFill="1" applyBorder="1" applyAlignment="1">
      <alignment horizontal="left"/>
    </xf>
    <xf numFmtId="0" fontId="35" fillId="14" borderId="34" xfId="0" applyFont="1" applyFill="1" applyBorder="1" applyAlignment="1">
      <alignment horizontal="center"/>
    </xf>
    <xf numFmtId="0" fontId="30" fillId="14" borderId="33" xfId="0" applyFont="1" applyFill="1" applyBorder="1" applyAlignment="1">
      <alignment horizontal="left"/>
    </xf>
    <xf numFmtId="0" fontId="30" fillId="14" borderId="40" xfId="0" applyFont="1" applyFill="1" applyBorder="1" applyAlignment="1">
      <alignment horizontal="left"/>
    </xf>
    <xf numFmtId="0" fontId="30" fillId="14" borderId="32" xfId="0" applyFont="1" applyFill="1" applyBorder="1" applyAlignment="1">
      <alignment horizontal="left"/>
    </xf>
    <xf numFmtId="0" fontId="33" fillId="13" borderId="33" xfId="0" applyFont="1" applyFill="1" applyBorder="1" applyAlignment="1">
      <alignment horizontal="center"/>
    </xf>
    <xf numFmtId="0" fontId="33" fillId="13" borderId="40" xfId="0" applyFont="1" applyFill="1" applyBorder="1" applyAlignment="1">
      <alignment horizontal="center"/>
    </xf>
    <xf numFmtId="0" fontId="33" fillId="13" borderId="32" xfId="0" applyFont="1" applyFill="1" applyBorder="1" applyAlignment="1">
      <alignment horizontal="center"/>
    </xf>
    <xf numFmtId="0" fontId="33" fillId="13" borderId="40" xfId="0" applyFont="1" applyFill="1" applyBorder="1" applyAlignment="1">
      <alignment horizontal="left"/>
    </xf>
    <xf numFmtId="0" fontId="35" fillId="14" borderId="41" xfId="0" applyFont="1" applyFill="1" applyBorder="1" applyAlignment="1">
      <alignment horizontal="left"/>
    </xf>
    <xf numFmtId="0" fontId="35" fillId="14" borderId="37" xfId="0" applyFont="1" applyFill="1" applyBorder="1" applyAlignment="1">
      <alignment horizontal="left"/>
    </xf>
    <xf numFmtId="0" fontId="4" fillId="14" borderId="0" xfId="0" applyFont="1" applyFill="1" applyAlignment="1" applyProtection="1">
      <alignment horizontal="left"/>
      <protection hidden="1"/>
    </xf>
    <xf numFmtId="0" fontId="4" fillId="14" borderId="0" xfId="0" applyFont="1" applyFill="1" applyAlignment="1" applyProtection="1">
      <alignment horizontal="center" wrapText="1"/>
      <protection hidden="1"/>
    </xf>
    <xf numFmtId="0" fontId="4" fillId="14" borderId="0" xfId="0" applyFont="1" applyFill="1" applyAlignment="1" applyProtection="1">
      <alignment horizontal="center"/>
      <protection hidden="1"/>
    </xf>
    <xf numFmtId="0" fontId="16" fillId="2" borderId="0" xfId="3" applyFont="1" applyFill="1" applyAlignment="1" applyProtection="1">
      <alignment horizontal="center" wrapText="1"/>
      <protection hidden="1"/>
    </xf>
    <xf numFmtId="0" fontId="10" fillId="5" borderId="43" xfId="3" applyFont="1" applyFill="1" applyBorder="1" applyAlignment="1">
      <alignment horizontal="center" wrapText="1"/>
    </xf>
    <xf numFmtId="0" fontId="10" fillId="5" borderId="14" xfId="3" applyFont="1" applyFill="1" applyBorder="1" applyAlignment="1">
      <alignment horizontal="center" wrapText="1"/>
    </xf>
    <xf numFmtId="0" fontId="10" fillId="6" borderId="44" xfId="3" applyFont="1" applyFill="1" applyBorder="1" applyAlignment="1">
      <alignment horizontal="center" wrapText="1"/>
    </xf>
    <xf numFmtId="0" fontId="10" fillId="6" borderId="45" xfId="3" applyFont="1" applyFill="1" applyBorder="1" applyAlignment="1">
      <alignment horizontal="center" wrapText="1"/>
    </xf>
    <xf numFmtId="0" fontId="10" fillId="7" borderId="43" xfId="3" applyFont="1" applyFill="1" applyBorder="1" applyAlignment="1">
      <alignment horizontal="center" wrapText="1"/>
    </xf>
    <xf numFmtId="0" fontId="10" fillId="7" borderId="14" xfId="3" applyFont="1" applyFill="1" applyBorder="1" applyAlignment="1">
      <alignment horizontal="center" wrapText="1"/>
    </xf>
    <xf numFmtId="49" fontId="16" fillId="4" borderId="43" xfId="3" applyNumberFormat="1" applyFont="1" applyFill="1" applyBorder="1" applyAlignment="1">
      <alignment horizontal="center" wrapText="1"/>
    </xf>
    <xf numFmtId="49" fontId="16" fillId="4" borderId="0" xfId="3" applyNumberFormat="1" applyFont="1" applyFill="1" applyAlignment="1">
      <alignment horizontal="center" wrapText="1"/>
    </xf>
  </cellXfs>
  <cellStyles count="9">
    <cellStyle name="Hyperlink" xfId="1" builtinId="8"/>
    <cellStyle name="Normal" xfId="0" builtinId="0"/>
    <cellStyle name="Normal 2" xfId="2" xr:uid="{D200BB36-5171-46C9-B4B7-82691AD91247}"/>
    <cellStyle name="Normal 3" xfId="3" xr:uid="{A233A991-EB55-4A28-875E-F46ED4381263}"/>
    <cellStyle name="Normal 4" xfId="4" xr:uid="{8666F8F2-8FCB-41CC-AA8C-C8F96EF5C951}"/>
    <cellStyle name="Percent" xfId="5" builtinId="5"/>
    <cellStyle name="Percent 2" xfId="6" xr:uid="{FB8BB9EA-9DC2-40A9-9C3E-17DC19BA32C1}"/>
    <cellStyle name="Percent 3" xfId="7" xr:uid="{7107731C-9CCA-4A0F-97CC-B58794DDCE00}"/>
    <cellStyle name="Percent 4" xfId="8" xr:uid="{65A707E2-B8F1-4D74-8B21-AA86610B6A86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CCM 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25.384472450917521</c:v>
                </c:pt>
                <c:pt idx="1">
                  <c:v>25.384094168409057</c:v>
                </c:pt>
                <c:pt idx="2">
                  <c:v>25.383698548809377</c:v>
                </c:pt>
                <c:pt idx="3">
                  <c:v>25.383284799230935</c:v>
                </c:pt>
                <c:pt idx="4">
                  <c:v>25.38285209068324</c:v>
                </c:pt>
                <c:pt idx="5">
                  <c:v>25.382399556443342</c:v>
                </c:pt>
                <c:pt idx="6">
                  <c:v>25.381926290354958</c:v>
                </c:pt>
                <c:pt idx="7">
                  <c:v>25.381431345052015</c:v>
                </c:pt>
                <c:pt idx="8">
                  <c:v>25.380913730104005</c:v>
                </c:pt>
                <c:pt idx="9">
                  <c:v>25.380372410079445</c:v>
                </c:pt>
                <c:pt idx="10">
                  <c:v>25.379806302524468</c:v>
                </c:pt>
                <c:pt idx="11">
                  <c:v>25.379214275853052</c:v>
                </c:pt>
                <c:pt idx="12">
                  <c:v>25.378595147144182</c:v>
                </c:pt>
                <c:pt idx="13">
                  <c:v>25.377947679843889</c:v>
                </c:pt>
                <c:pt idx="14">
                  <c:v>25.37727058136587</c:v>
                </c:pt>
                <c:pt idx="15">
                  <c:v>25.376562500589593</c:v>
                </c:pt>
                <c:pt idx="16">
                  <c:v>25.375822025248564</c:v>
                </c:pt>
                <c:pt idx="17">
                  <c:v>25.375047679206677</c:v>
                </c:pt>
                <c:pt idx="18">
                  <c:v>25.374237919617144</c:v>
                </c:pt>
                <c:pt idx="19">
                  <c:v>25.373391133958769</c:v>
                </c:pt>
                <c:pt idx="20">
                  <c:v>25.37250563694673</c:v>
                </c:pt>
                <c:pt idx="21">
                  <c:v>25.3715796673103</c:v>
                </c:pt>
                <c:pt idx="22">
                  <c:v>25.370611384434994</c:v>
                </c:pt>
                <c:pt idx="23">
                  <c:v>25.36959886486089</c:v>
                </c:pt>
                <c:pt idx="24">
                  <c:v>25.368540098635599</c:v>
                </c:pt>
                <c:pt idx="25">
                  <c:v>25.367432985512032</c:v>
                </c:pt>
                <c:pt idx="26">
                  <c:v>25.366275330988582</c:v>
                </c:pt>
                <c:pt idx="27">
                  <c:v>25.365064842184548</c:v>
                </c:pt>
                <c:pt idx="28">
                  <c:v>25.363799123543988</c:v>
                </c:pt>
                <c:pt idx="29">
                  <c:v>25.362475672363949</c:v>
                </c:pt>
                <c:pt idx="30">
                  <c:v>25.361091874138985</c:v>
                </c:pt>
                <c:pt idx="31">
                  <c:v>25.359644997715964</c:v>
                </c:pt>
                <c:pt idx="32">
                  <c:v>25.358132190253599</c:v>
                </c:pt>
                <c:pt idx="33">
                  <c:v>25.356550471978913</c:v>
                </c:pt>
                <c:pt idx="34">
                  <c:v>25.354896730734513</c:v>
                </c:pt>
                <c:pt idx="35">
                  <c:v>25.353167716310139</c:v>
                </c:pt>
                <c:pt idx="36">
                  <c:v>25.351360034551096</c:v>
                </c:pt>
                <c:pt idx="37">
                  <c:v>25.349470141236946</c:v>
                </c:pt>
                <c:pt idx="38">
                  <c:v>25.347494335723646</c:v>
                </c:pt>
                <c:pt idx="39">
                  <c:v>25.345428754342386</c:v>
                </c:pt>
                <c:pt idx="40">
                  <c:v>25.343269363547787</c:v>
                </c:pt>
                <c:pt idx="41">
                  <c:v>25.341011952808795</c:v>
                </c:pt>
                <c:pt idx="42">
                  <c:v>25.338652127235971</c:v>
                </c:pt>
                <c:pt idx="43">
                  <c:v>25.336185299938482</c:v>
                </c:pt>
                <c:pt idx="44">
                  <c:v>25.333606684103209</c:v>
                </c:pt>
                <c:pt idx="45">
                  <c:v>25.330911284791817</c:v>
                </c:pt>
                <c:pt idx="46">
                  <c:v>25.32809389044813</c:v>
                </c:pt>
                <c:pt idx="47">
                  <c:v>25.325149064111095</c:v>
                </c:pt>
                <c:pt idx="48">
                  <c:v>25.322071134327434</c:v>
                </c:pt>
                <c:pt idx="49">
                  <c:v>25.318854185759513</c:v>
                </c:pt>
                <c:pt idx="50">
                  <c:v>25.315492049485108</c:v>
                </c:pt>
                <c:pt idx="51">
                  <c:v>25.311978292982985</c:v>
                </c:pt>
                <c:pt idx="52">
                  <c:v>25.308306209803206</c:v>
                </c:pt>
                <c:pt idx="53">
                  <c:v>25.304468808920667</c:v>
                </c:pt>
                <c:pt idx="54">
                  <c:v>25.300458803767061</c:v>
                </c:pt>
                <c:pt idx="55">
                  <c:v>25.296268600945329</c:v>
                </c:pt>
                <c:pt idx="56">
                  <c:v>25.291890288623339</c:v>
                </c:pt>
                <c:pt idx="57">
                  <c:v>25.287315624611875</c:v>
                </c:pt>
                <c:pt idx="58">
                  <c:v>25.282536024128252</c:v>
                </c:pt>
                <c:pt idx="59">
                  <c:v>25.277542547251251</c:v>
                </c:pt>
                <c:pt idx="60">
                  <c:v>25.272325886074377</c:v>
                </c:pt>
                <c:pt idx="61">
                  <c:v>25.266876351563845</c:v>
                </c:pt>
                <c:pt idx="62">
                  <c:v>25.261183860134739</c:v>
                </c:pt>
                <c:pt idx="63">
                  <c:v>25.255237919955253</c:v>
                </c:pt>
                <c:pt idx="64">
                  <c:v>25.249027616994844</c:v>
                </c:pt>
                <c:pt idx="65">
                  <c:v>25.242541600835274</c:v>
                </c:pt>
                <c:pt idx="66">
                  <c:v>25.235768070262033</c:v>
                </c:pt>
                <c:pt idx="67">
                  <c:v>25.228694758663423</c:v>
                </c:pt>
                <c:pt idx="68">
                  <c:v>25.22130891926038</c:v>
                </c:pt>
                <c:pt idx="69">
                  <c:v>25.21359731020015</c:v>
                </c:pt>
                <c:pt idx="70">
                  <c:v>25.205546179546264</c:v>
                </c:pt>
                <c:pt idx="71">
                  <c:v>25.19714125020468</c:v>
                </c:pt>
                <c:pt idx="72">
                  <c:v>25.188367704826227</c:v>
                </c:pt>
                <c:pt idx="73">
                  <c:v>25.179210170735612</c:v>
                </c:pt>
                <c:pt idx="74">
                  <c:v>25.169652704935732</c:v>
                </c:pt>
                <c:pt idx="75">
                  <c:v>25.159678779247368</c:v>
                </c:pt>
                <c:pt idx="76">
                  <c:v>25.14927126564492</c:v>
                </c:pt>
                <c:pt idx="77">
                  <c:v>25.138412421856962</c:v>
                </c:pt>
                <c:pt idx="78">
                  <c:v>25.127083877306625</c:v>
                </c:pt>
                <c:pt idx="79">
                  <c:v>25.115266619470468</c:v>
                </c:pt>
                <c:pt idx="80">
                  <c:v>25.102940980744041</c:v>
                </c:pt>
                <c:pt idx="81">
                  <c:v>25.090086625906668</c:v>
                </c:pt>
                <c:pt idx="82">
                  <c:v>25.076682540285145</c:v>
                </c:pt>
                <c:pt idx="83">
                  <c:v>25.062707018723529</c:v>
                </c:pt>
                <c:pt idx="84">
                  <c:v>25.048137655472825</c:v>
                </c:pt>
                <c:pt idx="85">
                  <c:v>25.032951335120245</c:v>
                </c:pt>
                <c:pt idx="86">
                  <c:v>25.017124224685602</c:v>
                </c:pt>
                <c:pt idx="87">
                  <c:v>25.000631767020671</c:v>
                </c:pt>
                <c:pt idx="88">
                  <c:v>24.983448675648404</c:v>
                </c:pt>
                <c:pt idx="89">
                  <c:v>24.965548931193638</c:v>
                </c:pt>
                <c:pt idx="90">
                  <c:v>24.946905779553759</c:v>
                </c:pt>
                <c:pt idx="91">
                  <c:v>24.927491731970434</c:v>
                </c:pt>
                <c:pt idx="92">
                  <c:v>24.907278567164106</c:v>
                </c:pt>
                <c:pt idx="93">
                  <c:v>24.886237335698276</c:v>
                </c:pt>
                <c:pt idx="94">
                  <c:v>24.864338366744061</c:v>
                </c:pt>
                <c:pt idx="95">
                  <c:v>24.841551277417679</c:v>
                </c:pt>
                <c:pt idx="96">
                  <c:v>24.817844984863008</c:v>
                </c:pt>
                <c:pt idx="97">
                  <c:v>24.79318772125383</c:v>
                </c:pt>
                <c:pt idx="98">
                  <c:v>24.767547051885444</c:v>
                </c:pt>
                <c:pt idx="99">
                  <c:v>24.740889896523989</c:v>
                </c:pt>
                <c:pt idx="100">
                  <c:v>24.713182554175795</c:v>
                </c:pt>
                <c:pt idx="101">
                  <c:v>24.684390731431975</c:v>
                </c:pt>
                <c:pt idx="102">
                  <c:v>24.6544795745328</c:v>
                </c:pt>
                <c:pt idx="103">
                  <c:v>24.623413705286726</c:v>
                </c:pt>
                <c:pt idx="104">
                  <c:v>24.591157260963556</c:v>
                </c:pt>
                <c:pt idx="105">
                  <c:v>24.557673938263878</c:v>
                </c:pt>
                <c:pt idx="106">
                  <c:v>24.522927041448806</c:v>
                </c:pt>
                <c:pt idx="107">
                  <c:v>24.486879534691898</c:v>
                </c:pt>
                <c:pt idx="108">
                  <c:v>24.449494098689463</c:v>
                </c:pt>
                <c:pt idx="109">
                  <c:v>24.410733191537926</c:v>
                </c:pt>
                <c:pt idx="110">
                  <c:v>24.370559113858615</c:v>
                </c:pt>
                <c:pt idx="111">
                  <c:v>24.32893407811455</c:v>
                </c:pt>
                <c:pt idx="112">
                  <c:v>24.285820282032265</c:v>
                </c:pt>
                <c:pt idx="113">
                  <c:v>24.241179985999679</c:v>
                </c:pt>
                <c:pt idx="114">
                  <c:v>24.194975594277377</c:v>
                </c:pt>
                <c:pt idx="115">
                  <c:v>24.147169739813378</c:v>
                </c:pt>
                <c:pt idx="116">
                  <c:v>24.097725372415052</c:v>
                </c:pt>
                <c:pt idx="117">
                  <c:v>24.046605849984502</c:v>
                </c:pt>
                <c:pt idx="118">
                  <c:v>23.99377503248239</c:v>
                </c:pt>
                <c:pt idx="119">
                  <c:v>23.93919737824227</c:v>
                </c:pt>
                <c:pt idx="120">
                  <c:v>23.882838042214047</c:v>
                </c:pt>
                <c:pt idx="121">
                  <c:v>23.824662975675185</c:v>
                </c:pt>
                <c:pt idx="122">
                  <c:v>23.764639026910295</c:v>
                </c:pt>
                <c:pt idx="123">
                  <c:v>23.702734042323431</c:v>
                </c:pt>
                <c:pt idx="124">
                  <c:v>23.638916967414346</c:v>
                </c:pt>
                <c:pt idx="125">
                  <c:v>23.573157947026509</c:v>
                </c:pt>
                <c:pt idx="126">
                  <c:v>23.505428424244911</c:v>
                </c:pt>
                <c:pt idx="127">
                  <c:v>23.435701237312415</c:v>
                </c:pt>
                <c:pt idx="128">
                  <c:v>23.363950713915965</c:v>
                </c:pt>
                <c:pt idx="129">
                  <c:v>23.29015276219376</c:v>
                </c:pt>
                <c:pt idx="130">
                  <c:v>23.214284957815678</c:v>
                </c:pt>
                <c:pt idx="131">
                  <c:v>23.136326626499365</c:v>
                </c:pt>
                <c:pt idx="132">
                  <c:v>23.056258921343762</c:v>
                </c:pt>
                <c:pt idx="133">
                  <c:v>22.974064894384171</c:v>
                </c:pt>
                <c:pt idx="134">
                  <c:v>22.889729561810434</c:v>
                </c:pt>
                <c:pt idx="135">
                  <c:v>22.803239962326252</c:v>
                </c:pt>
                <c:pt idx="136">
                  <c:v>22.71458520817653</c:v>
                </c:pt>
                <c:pt idx="137">
                  <c:v>22.623756528424614</c:v>
                </c:pt>
                <c:pt idx="138">
                  <c:v>22.530747304119124</c:v>
                </c:pt>
                <c:pt idx="139">
                  <c:v>22.435553095056214</c:v>
                </c:pt>
                <c:pt idx="140">
                  <c:v>22.33817165791136</c:v>
                </c:pt>
                <c:pt idx="141">
                  <c:v>22.238602955587623</c:v>
                </c:pt>
                <c:pt idx="142">
                  <c:v>22.136849157701892</c:v>
                </c:pt>
                <c:pt idx="143">
                  <c:v>22.032914632205774</c:v>
                </c:pt>
                <c:pt idx="144">
                  <c:v>21.926805928214211</c:v>
                </c:pt>
                <c:pt idx="145">
                  <c:v>21.818531750189099</c:v>
                </c:pt>
                <c:pt idx="146">
                  <c:v>21.708102923698021</c:v>
                </c:pt>
                <c:pt idx="147">
                  <c:v>21.595532353037648</c:v>
                </c:pt>
                <c:pt idx="148">
                  <c:v>21.480834971076057</c:v>
                </c:pt>
                <c:pt idx="149">
                  <c:v>21.364027681729581</c:v>
                </c:pt>
                <c:pt idx="150">
                  <c:v>21.245129295541929</c:v>
                </c:pt>
                <c:pt idx="151">
                  <c:v>21.12416045888455</c:v>
                </c:pt>
                <c:pt idx="152">
                  <c:v>21.00114357733521</c:v>
                </c:pt>
                <c:pt idx="153">
                  <c:v>20.876102733826958</c:v>
                </c:pt>
                <c:pt idx="154">
                  <c:v>20.749063602185998</c:v>
                </c:pt>
                <c:pt idx="155">
                  <c:v>20.620053356693777</c:v>
                </c:pt>
                <c:pt idx="156">
                  <c:v>20.489100578322304</c:v>
                </c:pt>
                <c:pt idx="157">
                  <c:v>20.356235158291767</c:v>
                </c:pt>
                <c:pt idx="158">
                  <c:v>20.221488199599428</c:v>
                </c:pt>
                <c:pt idx="159">
                  <c:v>20.0848919171546</c:v>
                </c:pt>
                <c:pt idx="160">
                  <c:v>19.946479537141968</c:v>
                </c:pt>
                <c:pt idx="161">
                  <c:v>19.806285196209359</c:v>
                </c:pt>
                <c:pt idx="162">
                  <c:v>19.664343841051924</c:v>
                </c:pt>
                <c:pt idx="163">
                  <c:v>19.520691128930711</c:v>
                </c:pt>
                <c:pt idx="164">
                  <c:v>19.37536332963041</c:v>
                </c:pt>
                <c:pt idx="165">
                  <c:v>19.228397229320368</c:v>
                </c:pt>
                <c:pt idx="166">
                  <c:v>19.079830036745097</c:v>
                </c:pt>
                <c:pt idx="167">
                  <c:v>18.929699292126049</c:v>
                </c:pt>
                <c:pt idx="168">
                  <c:v>18.778042779114934</c:v>
                </c:pt>
                <c:pt idx="169">
                  <c:v>18.624898440095489</c:v>
                </c:pt>
                <c:pt idx="170">
                  <c:v>18.470304295086191</c:v>
                </c:pt>
                <c:pt idx="171">
                  <c:v>18.314298364455524</c:v>
                </c:pt>
                <c:pt idx="172">
                  <c:v>18.156918595620088</c:v>
                </c:pt>
                <c:pt idx="173">
                  <c:v>17.998202793855437</c:v>
                </c:pt>
                <c:pt idx="174">
                  <c:v>17.838188557313529</c:v>
                </c:pt>
                <c:pt idx="175">
                  <c:v>17.676913216302754</c:v>
                </c:pt>
                <c:pt idx="176">
                  <c:v>17.51441377685758</c:v>
                </c:pt>
                <c:pt idx="177">
                  <c:v>17.350726868590403</c:v>
                </c:pt>
                <c:pt idx="178">
                  <c:v>17.185888696792084</c:v>
                </c:pt>
                <c:pt idx="179">
                  <c:v>17.019934998724558</c:v>
                </c:pt>
                <c:pt idx="180">
                  <c:v>16.85290100402306</c:v>
                </c:pt>
                <c:pt idx="181">
                  <c:v>16.684821399109161</c:v>
                </c:pt>
                <c:pt idx="182">
                  <c:v>16.51573029549651</c:v>
                </c:pt>
                <c:pt idx="183">
                  <c:v>16.345661201859141</c:v>
                </c:pt>
                <c:pt idx="184">
                  <c:v>16.174646999718142</c:v>
                </c:pt>
                <c:pt idx="185">
                  <c:v>16.002719922594387</c:v>
                </c:pt>
                <c:pt idx="186">
                  <c:v>15.829911538466643</c:v>
                </c:pt>
                <c:pt idx="187">
                  <c:v>15.656252735370304</c:v>
                </c:pt>
                <c:pt idx="188">
                  <c:v>15.481773709966202</c:v>
                </c:pt>
                <c:pt idx="189">
                  <c:v>15.30650395890939</c:v>
                </c:pt>
                <c:pt idx="190">
                  <c:v>15.130472272845783</c:v>
                </c:pt>
                <c:pt idx="191">
                  <c:v>14.953706732866788</c:v>
                </c:pt>
                <c:pt idx="192">
                  <c:v>14.776234709252003</c:v>
                </c:pt>
                <c:pt idx="193">
                  <c:v>14.598082862336689</c:v>
                </c:pt>
                <c:pt idx="194">
                  <c:v>14.419277145341487</c:v>
                </c:pt>
                <c:pt idx="195">
                  <c:v>14.239842809007669</c:v>
                </c:pt>
                <c:pt idx="196">
                  <c:v>14.05980440788916</c:v>
                </c:pt>
                <c:pt idx="197">
                  <c:v>13.879185808152769</c:v>
                </c:pt>
                <c:pt idx="198">
                  <c:v>13.698010196751955</c:v>
                </c:pt>
                <c:pt idx="199">
                  <c:v>13.516300091838788</c:v>
                </c:pt>
                <c:pt idx="200">
                  <c:v>13.334077354291171</c:v>
                </c:pt>
                <c:pt idx="201">
                  <c:v>13.151363200235116</c:v>
                </c:pt>
                <c:pt idx="202">
                  <c:v>12.96817821445314</c:v>
                </c:pt>
                <c:pt idx="203">
                  <c:v>12.784542364572227</c:v>
                </c:pt>
                <c:pt idx="204">
                  <c:v>12.600475015935764</c:v>
                </c:pt>
                <c:pt idx="205">
                  <c:v>12.415994947068491</c:v>
                </c:pt>
                <c:pt idx="206">
                  <c:v>12.231120365650177</c:v>
                </c:pt>
                <c:pt idx="207">
                  <c:v>12.045868924921724</c:v>
                </c:pt>
                <c:pt idx="208">
                  <c:v>11.860257740452273</c:v>
                </c:pt>
                <c:pt idx="209">
                  <c:v>11.674303407202489</c:v>
                </c:pt>
                <c:pt idx="210">
                  <c:v>11.488022016825372</c:v>
                </c:pt>
                <c:pt idx="211">
                  <c:v>11.301429175150568</c:v>
                </c:pt>
                <c:pt idx="212">
                  <c:v>11.114540019804977</c:v>
                </c:pt>
                <c:pt idx="213">
                  <c:v>10.927369237926243</c:v>
                </c:pt>
                <c:pt idx="214">
                  <c:v>10.739931083930561</c:v>
                </c:pt>
                <c:pt idx="215">
                  <c:v>10.552239397301978</c:v>
                </c:pt>
                <c:pt idx="216">
                  <c:v>10.364307620373312</c:v>
                </c:pt>
                <c:pt idx="217">
                  <c:v>10.17614881607286</c:v>
                </c:pt>
                <c:pt idx="218">
                  <c:v>9.9877756856176205</c:v>
                </c:pt>
                <c:pt idx="219">
                  <c:v>9.7992005861305778</c:v>
                </c:pt>
                <c:pt idx="220">
                  <c:v>9.6104355481722958</c:v>
                </c:pt>
                <c:pt idx="221">
                  <c:v>9.4214922931717027</c:v>
                </c:pt>
                <c:pt idx="222">
                  <c:v>9.2323822507480617</c:v>
                </c:pt>
                <c:pt idx="223">
                  <c:v>9.0431165759189689</c:v>
                </c:pt>
                <c:pt idx="224">
                  <c:v>8.8537061661889229</c:v>
                </c:pt>
                <c:pt idx="225">
                  <c:v>8.6641616785182336</c:v>
                </c:pt>
                <c:pt idx="226">
                  <c:v>8.4744935461721163</c:v>
                </c:pt>
                <c:pt idx="227">
                  <c:v>8.2847119954533213</c:v>
                </c:pt>
                <c:pt idx="228">
                  <c:v>8.0948270623211087</c:v>
                </c:pt>
                <c:pt idx="229">
                  <c:v>7.9048486089040351</c:v>
                </c:pt>
                <c:pt idx="230">
                  <c:v>7.7147863399131635</c:v>
                </c:pt>
                <c:pt idx="231">
                  <c:v>7.5246498189641446</c:v>
                </c:pt>
                <c:pt idx="232">
                  <c:v>7.3344484848185365</c:v>
                </c:pt>
                <c:pt idx="233">
                  <c:v>7.1441916675556563</c:v>
                </c:pt>
                <c:pt idx="234">
                  <c:v>6.9538886046861803</c:v>
                </c:pt>
                <c:pt idx="235">
                  <c:v>6.7635484572220461</c:v>
                </c:pt>
                <c:pt idx="236">
                  <c:v>6.5731803257141808</c:v>
                </c:pt>
                <c:pt idx="237">
                  <c:v>6.3827932662749784</c:v>
                </c:pt>
                <c:pt idx="238">
                  <c:v>6.1923963065992389</c:v>
                </c:pt>
                <c:pt idx="239">
                  <c:v>6.0019984619999338</c:v>
                </c:pt>
                <c:pt idx="240">
                  <c:v>5.8116087514754184</c:v>
                </c:pt>
                <c:pt idx="241">
                  <c:v>5.621236213823062</c:v>
                </c:pt>
                <c:pt idx="242">
                  <c:v>5.4308899238192403</c:v>
                </c:pt>
                <c:pt idx="243">
                  <c:v>5.2405790084807453</c:v>
                </c:pt>
                <c:pt idx="244">
                  <c:v>5.050312663425613</c:v>
                </c:pt>
                <c:pt idx="245">
                  <c:v>4.8601001693518011</c:v>
                </c:pt>
                <c:pt idx="246">
                  <c:v>4.6699509086515638</c:v>
                </c:pt>
                <c:pt idx="247">
                  <c:v>4.4798743821778251</c:v>
                </c:pt>
                <c:pt idx="248">
                  <c:v>4.2898802261825777</c:v>
                </c:pt>
                <c:pt idx="249">
                  <c:v>4.0999782294431899</c:v>
                </c:pt>
                <c:pt idx="250">
                  <c:v>3.9101783505952841</c:v>
                </c:pt>
                <c:pt idx="251">
                  <c:v>3.7204907356885459</c:v>
                </c:pt>
                <c:pt idx="252">
                  <c:v>3.5309257359826796</c:v>
                </c:pt>
                <c:pt idx="253">
                  <c:v>3.3414939260003598</c:v>
                </c:pt>
                <c:pt idx="254">
                  <c:v>3.1522061218523154</c:v>
                </c:pt>
                <c:pt idx="255">
                  <c:v>2.9630733998506562</c:v>
                </c:pt>
                <c:pt idx="256">
                  <c:v>2.7741071154242776</c:v>
                </c:pt>
                <c:pt idx="257">
                  <c:v>2.5853189223503792</c:v>
                </c:pt>
                <c:pt idx="258">
                  <c:v>2.3967207923151017</c:v>
                </c:pt>
                <c:pt idx="259">
                  <c:v>2.2083250348152288</c:v>
                </c:pt>
                <c:pt idx="260">
                  <c:v>2.0201443174103324</c:v>
                </c:pt>
                <c:pt idx="261">
                  <c:v>1.8321916863363477</c:v>
                </c:pt>
                <c:pt idx="262">
                  <c:v>1.644480587485653</c:v>
                </c:pt>
                <c:pt idx="263">
                  <c:v>1.4570248877638656</c:v>
                </c:pt>
                <c:pt idx="264">
                  <c:v>1.269838896821355</c:v>
                </c:pt>
                <c:pt idx="265">
                  <c:v>1.0829373891688683</c:v>
                </c:pt>
                <c:pt idx="266">
                  <c:v>0.89633562667042965</c:v>
                </c:pt>
                <c:pt idx="267">
                  <c:v>0.71004938141581375</c:v>
                </c:pt>
                <c:pt idx="268">
                  <c:v>0.52409495896492198</c:v>
                </c:pt>
                <c:pt idx="269">
                  <c:v>0.33848922195617559</c:v>
                </c:pt>
                <c:pt idx="270">
                  <c:v>0.1532496140687199</c:v>
                </c:pt>
                <c:pt idx="271">
                  <c:v>-3.160581567739873E-2</c:v>
                </c:pt>
                <c:pt idx="272">
                  <c:v>-0.21605838830090554</c:v>
                </c:pt>
                <c:pt idx="273">
                  <c:v>-0.4000887699417488</c:v>
                </c:pt>
                <c:pt idx="274">
                  <c:v>-0.58367694667185099</c:v>
                </c:pt>
                <c:pt idx="275">
                  <c:v>-0.76680219906681457</c:v>
                </c:pt>
                <c:pt idx="276">
                  <c:v>-0.94944307657430238</c:v>
                </c:pt>
                <c:pt idx="277">
                  <c:v>-1.1315773717191364</c:v>
                </c:pt>
                <c:pt idx="278">
                  <c:v>-1.3131820941942505</c:v>
                </c:pt>
                <c:pt idx="279">
                  <c:v>-1.4942334448891086</c:v>
                </c:pt>
                <c:pt idx="280">
                  <c:v>-1.6747067899139374</c:v>
                </c:pt>
                <c:pt idx="281">
                  <c:v>-1.8545766346869894</c:v>
                </c:pt>
                <c:pt idx="282">
                  <c:v>-2.0338165981555423</c:v>
                </c:pt>
                <c:pt idx="283">
                  <c:v>-2.2123993872317476</c:v>
                </c:pt>
                <c:pt idx="284">
                  <c:v>-2.3902967715289023</c:v>
                </c:pt>
                <c:pt idx="285">
                  <c:v>-2.5674795584936887</c:v>
                </c:pt>
                <c:pt idx="286">
                  <c:v>-2.7439175690366775</c:v>
                </c:pt>
                <c:pt idx="287">
                  <c:v>-2.9195796137721661</c:v>
                </c:pt>
                <c:pt idx="288">
                  <c:v>-3.094433469986166</c:v>
                </c:pt>
                <c:pt idx="289">
                  <c:v>-3.2684458594602983</c:v>
                </c:pt>
                <c:pt idx="290">
                  <c:v>-3.441582427287269</c:v>
                </c:pt>
                <c:pt idx="291">
                  <c:v>-3.6138077218223961</c:v>
                </c:pt>
                <c:pt idx="292">
                  <c:v>-3.7850851759250101</c:v>
                </c:pt>
                <c:pt idx="293">
                  <c:v>-3.9553770896491609</c:v>
                </c:pt>
                <c:pt idx="294">
                  <c:v>-4.1246446145533273</c:v>
                </c:pt>
                <c:pt idx="295">
                  <c:v>-4.2928477398065086</c:v>
                </c:pt>
                <c:pt idx="296">
                  <c:v>-4.4599452802728781</c:v>
                </c:pt>
                <c:pt idx="297">
                  <c:v>-4.6258948667653881</c:v>
                </c:pt>
                <c:pt idx="298">
                  <c:v>-4.7906529386652155</c:v>
                </c:pt>
                <c:pt idx="299">
                  <c:v>-4.9541747391059374</c:v>
                </c:pt>
                <c:pt idx="300">
                  <c:v>-5.1164143129276995</c:v>
                </c:pt>
                <c:pt idx="301">
                  <c:v>-5.2773245076077222</c:v>
                </c:pt>
                <c:pt idx="302">
                  <c:v>-5.4368569773768662</c:v>
                </c:pt>
                <c:pt idx="303">
                  <c:v>-5.5949621907267657</c:v>
                </c:pt>
                <c:pt idx="304">
                  <c:v>-5.7515894415172495</c:v>
                </c:pt>
                <c:pt idx="305">
                  <c:v>-5.9066868638828165</c:v>
                </c:pt>
                <c:pt idx="306">
                  <c:v>-6.0602014511360123</c:v>
                </c:pt>
                <c:pt idx="307">
                  <c:v>-6.2120790788556519</c:v>
                </c:pt>
                <c:pt idx="308">
                  <c:v>-6.3622645323369023</c:v>
                </c:pt>
                <c:pt idx="309">
                  <c:v>-6.5107015385700908</c:v>
                </c:pt>
                <c:pt idx="310">
                  <c:v>-6.6573328028970398</c:v>
                </c:pt>
                <c:pt idx="311">
                  <c:v>-6.8021000504776143</c:v>
                </c:pt>
                <c:pt idx="312">
                  <c:v>-6.9449440726795997</c:v>
                </c:pt>
                <c:pt idx="313">
                  <c:v>-7.0858047784806555</c:v>
                </c:pt>
                <c:pt idx="314">
                  <c:v>-7.2246212509467842</c:v>
                </c:pt>
                <c:pt idx="315">
                  <c:v>-7.3613318088233983</c:v>
                </c:pt>
                <c:pt idx="316">
                  <c:v>-7.4958740732451359</c:v>
                </c:pt>
                <c:pt idx="317">
                  <c:v>-7.6281850395393311</c:v>
                </c:pt>
                <c:pt idx="318">
                  <c:v>-7.7582011540609139</c:v>
                </c:pt>
                <c:pt idx="319">
                  <c:v>-7.8858583959652941</c:v>
                </c:pt>
                <c:pt idx="320">
                  <c:v>-8.0110923637831881</c:v>
                </c:pt>
                <c:pt idx="321">
                  <c:v>-8.1338383666289911</c:v>
                </c:pt>
                <c:pt idx="322">
                  <c:v>-8.2540315198306864</c:v>
                </c:pt>
                <c:pt idx="323">
                  <c:v>-8.3716068447350445</c:v>
                </c:pt>
                <c:pt idx="324">
                  <c:v>-8.486499372401008</c:v>
                </c:pt>
                <c:pt idx="325">
                  <c:v>-8.5986442508568022</c:v>
                </c:pt>
                <c:pt idx="326">
                  <c:v>-8.7079768555652937</c:v>
                </c:pt>
                <c:pt idx="327">
                  <c:v>-8.8144329027029276</c:v>
                </c:pt>
                <c:pt idx="328">
                  <c:v>-8.9179485648301497</c:v>
                </c:pt>
                <c:pt idx="329">
                  <c:v>-9.0184605885042899</c:v>
                </c:pt>
                <c:pt idx="330">
                  <c:v>-9.1159064133591219</c:v>
                </c:pt>
                <c:pt idx="331">
                  <c:v>-9.2102242921585891</c:v>
                </c:pt>
                <c:pt idx="332">
                  <c:v>-9.3013534113150076</c:v>
                </c:pt>
                <c:pt idx="333">
                  <c:v>-9.3892340113501103</c:v>
                </c:pt>
                <c:pt idx="334">
                  <c:v>-9.4738075067764207</c:v>
                </c:pt>
                <c:pt idx="335">
                  <c:v>-9.5550166048685128</c:v>
                </c:pt>
                <c:pt idx="336">
                  <c:v>-9.6328054228051467</c:v>
                </c:pt>
                <c:pt idx="337">
                  <c:v>-9.7071196026658964</c:v>
                </c:pt>
                <c:pt idx="338">
                  <c:v>-9.7779064237853657</c:v>
                </c:pt>
                <c:pt idx="339">
                  <c:v>-9.8451149119817902</c:v>
                </c:pt>
                <c:pt idx="340">
                  <c:v>-9.9086959452010266</c:v>
                </c:pt>
                <c:pt idx="341">
                  <c:v>-9.9686023551428455</c:v>
                </c:pt>
                <c:pt idx="342">
                  <c:v>-10.024789024462777</c:v>
                </c:pt>
                <c:pt idx="343">
                  <c:v>-10.077212979174186</c:v>
                </c:pt>
                <c:pt idx="344">
                  <c:v>-10.125833475908586</c:v>
                </c:pt>
                <c:pt idx="345">
                  <c:v>-10.170612083721981</c:v>
                </c:pt>
                <c:pt idx="346">
                  <c:v>-10.211512760170651</c:v>
                </c:pt>
                <c:pt idx="347">
                  <c:v>-10.248501921409805</c:v>
                </c:pt>
                <c:pt idx="348">
                  <c:v>-10.28154850610181</c:v>
                </c:pt>
                <c:pt idx="349">
                  <c:v>-10.310624032947677</c:v>
                </c:pt>
                <c:pt idx="350">
                  <c:v>-10.335702651685283</c:v>
                </c:pt>
                <c:pt idx="351">
                  <c:v>-10.356761187419215</c:v>
                </c:pt>
                <c:pt idx="352">
                  <c:v>-10.373779178172926</c:v>
                </c:pt>
                <c:pt idx="353">
                  <c:v>-10.386738905569491</c:v>
                </c:pt>
                <c:pt idx="354">
                  <c:v>-10.395625418565402</c:v>
                </c:pt>
                <c:pt idx="355">
                  <c:v>-10.400426550175402</c:v>
                </c:pt>
                <c:pt idx="356">
                  <c:v>-10.401132927136462</c:v>
                </c:pt>
                <c:pt idx="357">
                  <c:v>-10.397737972469386</c:v>
                </c:pt>
                <c:pt idx="358">
                  <c:v>-10.390237900903278</c:v>
                </c:pt>
                <c:pt idx="359">
                  <c:v>-10.378631707134867</c:v>
                </c:pt>
                <c:pt idx="360">
                  <c:v>-10.3629211469007</c:v>
                </c:pt>
                <c:pt idx="361">
                  <c:v>-10.343110710846268</c:v>
                </c:pt>
                <c:pt idx="362">
                  <c:v>-10.319207591183046</c:v>
                </c:pt>
                <c:pt idx="363">
                  <c:v>-10.291221641132291</c:v>
                </c:pt>
                <c:pt idx="364">
                  <c:v>-10.259165327162696</c:v>
                </c:pt>
                <c:pt idx="365">
                  <c:v>-10.223053674044898</c:v>
                </c:pt>
                <c:pt idx="366">
                  <c:v>-10.182904202752738</c:v>
                </c:pt>
                <c:pt idx="367">
                  <c:v>-10.138736861266647</c:v>
                </c:pt>
                <c:pt idx="368">
                  <c:v>-10.090573948346233</c:v>
                </c:pt>
                <c:pt idx="369">
                  <c:v>-10.038440030364402</c:v>
                </c:pt>
                <c:pt idx="370">
                  <c:v>-9.9823618513218975</c:v>
                </c:pt>
                <c:pt idx="371">
                  <c:v>-9.9223682361818692</c:v>
                </c:pt>
                <c:pt idx="372">
                  <c:v>-9.8584899876987677</c:v>
                </c:pt>
                <c:pt idx="373">
                  <c:v>-9.7907597769388239</c:v>
                </c:pt>
                <c:pt idx="374">
                  <c:v>-9.7192120277262433</c:v>
                </c:pt>
                <c:pt idx="375">
                  <c:v>-9.6438827952718089</c:v>
                </c:pt>
                <c:pt idx="376">
                  <c:v>-9.5648096392762909</c:v>
                </c:pt>
                <c:pt idx="377">
                  <c:v>-9.4820314918230526</c:v>
                </c:pt>
                <c:pt idx="378">
                  <c:v>-9.395588520404635</c:v>
                </c:pt>
                <c:pt idx="379">
                  <c:v>-9.3055219864465233</c:v>
                </c:pt>
                <c:pt idx="380">
                  <c:v>-9.2118740997125279</c:v>
                </c:pt>
                <c:pt idx="381">
                  <c:v>-9.11468786898965</c:v>
                </c:pt>
                <c:pt idx="382">
                  <c:v>-9.0140069494623685</c:v>
                </c:pt>
                <c:pt idx="383">
                  <c:v>-8.9098754871896961</c:v>
                </c:pt>
                <c:pt idx="384">
                  <c:v>-8.8023379610970736</c:v>
                </c:pt>
                <c:pt idx="385">
                  <c:v>-8.6914390228945404</c:v>
                </c:pt>
                <c:pt idx="386">
                  <c:v>-8.5772233353147271</c:v>
                </c:pt>
                <c:pt idx="387">
                  <c:v>-8.4597354090513512</c:v>
                </c:pt>
                <c:pt idx="388">
                  <c:v>-8.3390194387552157</c:v>
                </c:pt>
                <c:pt idx="389">
                  <c:v>-8.2151191384180464</c:v>
                </c:pt>
                <c:pt idx="390">
                  <c:v>-8.088077576437497</c:v>
                </c:pt>
                <c:pt idx="391">
                  <c:v>-7.9579370106250424</c:v>
                </c:pt>
                <c:pt idx="392">
                  <c:v>-7.8247387233704675</c:v>
                </c:pt>
                <c:pt idx="393">
                  <c:v>-7.6885228571348598</c:v>
                </c:pt>
                <c:pt idx="394">
                  <c:v>-7.5493282503905723</c:v>
                </c:pt>
                <c:pt idx="395">
                  <c:v>-7.4071922740780796</c:v>
                </c:pt>
                <c:pt idx="396">
                  <c:v>-7.2621506685891335</c:v>
                </c:pt>
                <c:pt idx="397">
                  <c:v>-7.1142373812324369</c:v>
                </c:pt>
                <c:pt idx="398">
                  <c:v>-6.9634844040744968</c:v>
                </c:pt>
                <c:pt idx="399">
                  <c:v>-6.8099216119895942</c:v>
                </c:pt>
                <c:pt idx="400">
                  <c:v>-6.6535766006887691</c:v>
                </c:pt>
                <c:pt idx="401">
                  <c:v>-6.4944745244333237</c:v>
                </c:pt>
                <c:pt idx="402">
                  <c:v>-6.3326379330756488</c:v>
                </c:pt>
                <c:pt idx="403">
                  <c:v>-6.1680866080023931</c:v>
                </c:pt>
                <c:pt idx="404">
                  <c:v>-6.0008373964889632</c:v>
                </c:pt>
                <c:pt idx="405">
                  <c:v>-5.8309040439085456</c:v>
                </c:pt>
                <c:pt idx="406">
                  <c:v>-5.6582970231683181</c:v>
                </c:pt>
                <c:pt idx="407">
                  <c:v>-5.4830233606781489</c:v>
                </c:pt>
                <c:pt idx="408">
                  <c:v>-5.3050864580845563</c:v>
                </c:pt>
                <c:pt idx="409">
                  <c:v>-5.1244859089317849</c:v>
                </c:pt>
                <c:pt idx="410">
                  <c:v>-4.9412173093370546</c:v>
                </c:pt>
                <c:pt idx="411">
                  <c:v>-4.7552720616921391</c:v>
                </c:pt>
                <c:pt idx="412">
                  <c:v>-4.5666371703214859</c:v>
                </c:pt>
                <c:pt idx="413">
                  <c:v>-4.3752950279511928</c:v>
                </c:pt>
                <c:pt idx="414">
                  <c:v>-4.1812231917530438</c:v>
                </c:pt>
                <c:pt idx="415">
                  <c:v>-3.9843941476470772</c:v>
                </c:pt>
                <c:pt idx="416">
                  <c:v>-3.7847750614516737</c:v>
                </c:pt>
                <c:pt idx="417">
                  <c:v>-3.5823275153801504</c:v>
                </c:pt>
                <c:pt idx="418">
                  <c:v>-3.3770072282905099</c:v>
                </c:pt>
                <c:pt idx="419">
                  <c:v>-3.1687637579984291</c:v>
                </c:pt>
                <c:pt idx="420">
                  <c:v>-2.9575401838723678</c:v>
                </c:pt>
                <c:pt idx="421">
                  <c:v>-2.743272767839569</c:v>
                </c:pt>
                <c:pt idx="422">
                  <c:v>-2.5258905918524714</c:v>
                </c:pt>
                <c:pt idx="423">
                  <c:v>-2.3053151697942704</c:v>
                </c:pt>
                <c:pt idx="424">
                  <c:v>-2.0814600317588288</c:v>
                </c:pt>
                <c:pt idx="425">
                  <c:v>-1.8542302786182139</c:v>
                </c:pt>
                <c:pt idx="426">
                  <c:v>-1.6235221048244577</c:v>
                </c:pt>
                <c:pt idx="427">
                  <c:v>-1.3892222874791018</c:v>
                </c:pt>
                <c:pt idx="428">
                  <c:v>-1.1512076398855884</c:v>
                </c:pt>
                <c:pt idx="429">
                  <c:v>-0.90934442810128435</c:v>
                </c:pt>
                <c:pt idx="430">
                  <c:v>-0.66348774947560918</c:v>
                </c:pt>
                <c:pt idx="431">
                  <c:v>-0.41348087285938745</c:v>
                </c:pt>
                <c:pt idx="432">
                  <c:v>-0.15915454118294733</c:v>
                </c:pt>
                <c:pt idx="433">
                  <c:v>9.9673761469196556E-2</c:v>
                </c:pt>
                <c:pt idx="434">
                  <c:v>0.36320057415561796</c:v>
                </c:pt>
                <c:pt idx="435">
                  <c:v>0.6316372478423794</c:v>
                </c:pt>
                <c:pt idx="436">
                  <c:v>0.90521074791967493</c:v>
                </c:pt>
                <c:pt idx="437">
                  <c:v>1.1841644545359191</c:v>
                </c:pt>
                <c:pt idx="438">
                  <c:v>1.4687589377063468</c:v>
                </c:pt>
                <c:pt idx="439">
                  <c:v>1.7592726744730824</c:v>
                </c:pt>
                <c:pt idx="440">
                  <c:v>2.0560026622422005</c:v>
                </c:pt>
                <c:pt idx="441">
                  <c:v>2.3592648645718213</c:v>
                </c:pt>
                <c:pt idx="442">
                  <c:v>2.6693944014273563</c:v>
                </c:pt>
                <c:pt idx="443">
                  <c:v>2.9867453629862428</c:v>
                </c:pt>
                <c:pt idx="444">
                  <c:v>3.3116900813090515</c:v>
                </c:pt>
                <c:pt idx="445">
                  <c:v>3.6446176333278855</c:v>
                </c:pt>
                <c:pt idx="446">
                  <c:v>3.9859312658111019</c:v>
                </c:pt>
                <c:pt idx="447">
                  <c:v>4.3360443203559429</c:v>
                </c:pt>
                <c:pt idx="448">
                  <c:v>4.6953740833981286</c:v>
                </c:pt>
                <c:pt idx="449">
                  <c:v>5.0643327785431316</c:v>
                </c:pt>
                <c:pt idx="450">
                  <c:v>5.4433146376972754</c:v>
                </c:pt>
                <c:pt idx="451">
                  <c:v>5.8326776099130306</c:v>
                </c:pt>
                <c:pt idx="452">
                  <c:v>6.2327177639887701</c:v>
                </c:pt>
                <c:pt idx="453">
                  <c:v>6.6436337809659927</c:v>
                </c:pt>
                <c:pt idx="454">
                  <c:v>7.0654780868385245</c:v>
                </c:pt>
                <c:pt idx="455">
                  <c:v>7.4980901324194633</c:v>
                </c:pt>
                <c:pt idx="456">
                  <c:v>7.9410061227998883</c:v>
                </c:pt>
                <c:pt idx="457">
                  <c:v>8.3933382781096295</c:v>
                </c:pt>
                <c:pt idx="458">
                  <c:v>8.8536158345150859</c:v>
                </c:pt>
                <c:pt idx="459">
                  <c:v>9.319580239325914</c:v>
                </c:pt>
                <c:pt idx="460">
                  <c:v>9.7879298098157683</c:v>
                </c:pt>
                <c:pt idx="461">
                  <c:v>10.254016974871739</c:v>
                </c:pt>
                <c:pt idx="462">
                  <c:v>10.711517731027362</c:v>
                </c:pt>
                <c:pt idx="463">
                  <c:v>11.152122290901188</c:v>
                </c:pt>
                <c:pt idx="464">
                  <c:v>11.565340165671838</c:v>
                </c:pt>
                <c:pt idx="465">
                  <c:v>11.938565906521216</c:v>
                </c:pt>
                <c:pt idx="466">
                  <c:v>12.257589362019326</c:v>
                </c:pt>
                <c:pt idx="467">
                  <c:v>12.507708559569522</c:v>
                </c:pt>
                <c:pt idx="468">
                  <c:v>12.675457736953074</c:v>
                </c:pt>
                <c:pt idx="469">
                  <c:v>12.750687965425797</c:v>
                </c:pt>
                <c:pt idx="470">
                  <c:v>12.72844151603918</c:v>
                </c:pt>
                <c:pt idx="471">
                  <c:v>12.609960911327928</c:v>
                </c:pt>
                <c:pt idx="472">
                  <c:v>12.40242883057066</c:v>
                </c:pt>
                <c:pt idx="473">
                  <c:v>12.117545945225721</c:v>
                </c:pt>
                <c:pt idx="474">
                  <c:v>11.769494620666357</c:v>
                </c:pt>
                <c:pt idx="475">
                  <c:v>11.37294565860434</c:v>
                </c:pt>
                <c:pt idx="476">
                  <c:v>10.941559847863084</c:v>
                </c:pt>
                <c:pt idx="477">
                  <c:v>10.487126280722967</c:v>
                </c:pt>
                <c:pt idx="478">
                  <c:v>10.019250404372055</c:v>
                </c:pt>
                <c:pt idx="479">
                  <c:v>9.5454120705465897</c:v>
                </c:pt>
                <c:pt idx="480">
                  <c:v>9.0712202215047881</c:v>
                </c:pt>
                <c:pt idx="481">
                  <c:v>8.6007389713082052</c:v>
                </c:pt>
                <c:pt idx="482">
                  <c:v>8.1368110277821142</c:v>
                </c:pt>
                <c:pt idx="483">
                  <c:v>7.681342854581934</c:v>
                </c:pt>
                <c:pt idx="484">
                  <c:v>7.2355397827755672</c:v>
                </c:pt>
                <c:pt idx="485">
                  <c:v>6.8000918677597983</c:v>
                </c:pt>
                <c:pt idx="486">
                  <c:v>6.3753167747295079</c:v>
                </c:pt>
                <c:pt idx="487">
                  <c:v>5.9612675431954365</c:v>
                </c:pt>
                <c:pt idx="488">
                  <c:v>5.5578127552464913</c:v>
                </c:pt>
                <c:pt idx="489">
                  <c:v>5.1646955575474802</c:v>
                </c:pt>
                <c:pt idx="490">
                  <c:v>4.7815767446472472</c:v>
                </c:pt>
                <c:pt idx="491">
                  <c:v>4.4080659609427633</c:v>
                </c:pt>
                <c:pt idx="492">
                  <c:v>4.0437441127108293</c:v>
                </c:pt>
                <c:pt idx="493">
                  <c:v>3.6881793121745239</c:v>
                </c:pt>
                <c:pt idx="494">
                  <c:v>3.3409380816162102</c:v>
                </c:pt>
                <c:pt idx="495">
                  <c:v>3.0015930959554868</c:v>
                </c:pt>
                <c:pt idx="496">
                  <c:v>2.6697284060738897</c:v>
                </c:pt>
                <c:pt idx="497">
                  <c:v>2.3449428358143161</c:v>
                </c:pt>
                <c:pt idx="498">
                  <c:v>2.0268520614692638</c:v>
                </c:pt>
                <c:pt idx="499">
                  <c:v>1.7150897469965813</c:v>
                </c:pt>
                <c:pt idx="500">
                  <c:v>1.395954993860079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2-463D-81A0-68F554CF810C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64.279744907659207</c:v>
                </c:pt>
                <c:pt idx="1">
                  <c:v>64.089117815883611</c:v>
                </c:pt>
                <c:pt idx="2">
                  <c:v>63.898273063899452</c:v>
                </c:pt>
                <c:pt idx="3">
                  <c:v>63.70721841815201</c:v>
                </c:pt>
                <c:pt idx="4">
                  <c:v>63.515961274186736</c:v>
                </c:pt>
                <c:pt idx="5">
                  <c:v>63.324508667336374</c:v>
                </c:pt>
                <c:pt idx="6">
                  <c:v>63.132867283029711</c:v>
                </c:pt>
                <c:pt idx="7">
                  <c:v>62.941043466715428</c:v>
                </c:pt>
                <c:pt idx="8">
                  <c:v>62.749043233397316</c:v>
                </c:pt>
                <c:pt idx="9">
                  <c:v>62.5568722767769</c:v>
                </c:pt>
                <c:pt idx="10">
                  <c:v>62.364535978002181</c:v>
                </c:pt>
                <c:pt idx="11">
                  <c:v>62.172039414020318</c:v>
                </c:pt>
                <c:pt idx="12">
                  <c:v>61.979387365533292</c:v>
                </c:pt>
                <c:pt idx="13">
                  <c:v>61.786584324557623</c:v>
                </c:pt>
                <c:pt idx="14">
                  <c:v>61.593634501586656</c:v>
                </c:pt>
                <c:pt idx="15">
                  <c:v>61.400541832358961</c:v>
                </c:pt>
                <c:pt idx="16">
                  <c:v>61.207309984231458</c:v>
                </c:pt>
                <c:pt idx="17">
                  <c:v>61.013942362160662</c:v>
                </c:pt>
                <c:pt idx="18">
                  <c:v>60.820442114293293</c:v>
                </c:pt>
                <c:pt idx="19">
                  <c:v>60.626812137167498</c:v>
                </c:pt>
                <c:pt idx="20">
                  <c:v>60.43305508052876</c:v>
                </c:pt>
                <c:pt idx="21">
                  <c:v>60.239173351760307</c:v>
                </c:pt>
                <c:pt idx="22">
                  <c:v>60.045169119932417</c:v>
                </c:pt>
                <c:pt idx="23">
                  <c:v>59.851044319470702</c:v>
                </c:pt>
                <c:pt idx="24">
                  <c:v>59.656800653448535</c:v>
                </c:pt>
                <c:pt idx="25">
                  <c:v>59.46243959650166</c:v>
                </c:pt>
                <c:pt idx="26">
                  <c:v>59.267962397371264</c:v>
                </c:pt>
                <c:pt idx="27">
                  <c:v>59.073370081074984</c:v>
                </c:pt>
                <c:pt idx="28">
                  <c:v>58.878663450707052</c:v>
                </c:pt>
                <c:pt idx="29">
                  <c:v>58.683843088872059</c:v>
                </c:pt>
                <c:pt idx="30">
                  <c:v>58.488909358751066</c:v>
                </c:pt>
                <c:pt idx="31">
                  <c:v>58.293862404802425</c:v>
                </c:pt>
                <c:pt idx="32">
                  <c:v>58.098702153099246</c:v>
                </c:pt>
                <c:pt idx="33">
                  <c:v>57.903428311302861</c:v>
                </c:pt>
                <c:pt idx="34">
                  <c:v>57.708040368274894</c:v>
                </c:pt>
                <c:pt idx="35">
                  <c:v>57.51253759332738</c:v>
                </c:pt>
                <c:pt idx="36">
                  <c:v>57.316919035112107</c:v>
                </c:pt>
                <c:pt idx="37">
                  <c:v>57.121183520149245</c:v>
                </c:pt>
                <c:pt idx="38">
                  <c:v>56.92532965099646</c:v>
                </c:pt>
                <c:pt idx="39">
                  <c:v>56.729355804057207</c:v>
                </c:pt>
                <c:pt idx="40">
                  <c:v>56.533260127030744</c:v>
                </c:pt>
                <c:pt idx="41">
                  <c:v>56.337040536000728</c:v>
                </c:pt>
                <c:pt idx="42">
                  <c:v>56.14069471216618</c:v>
                </c:pt>
                <c:pt idx="43">
                  <c:v>55.94422009821308</c:v>
                </c:pt>
                <c:pt idx="44">
                  <c:v>55.74761389432625</c:v>
                </c:pt>
                <c:pt idx="45">
                  <c:v>55.550873053843929</c:v>
                </c:pt>
                <c:pt idx="46">
                  <c:v>55.353994278554531</c:v>
                </c:pt>
                <c:pt idx="47">
                  <c:v>55.15697401363655</c:v>
                </c:pt>
                <c:pt idx="48">
                  <c:v>54.959808442242888</c:v>
                </c:pt>
                <c:pt idx="49">
                  <c:v>54.76249347973139</c:v>
                </c:pt>
                <c:pt idx="50">
                  <c:v>54.565024767544266</c:v>
                </c:pt>
                <c:pt idx="51">
                  <c:v>54.367397666737247</c:v>
                </c:pt>
                <c:pt idx="52">
                  <c:v>54.16960725116332</c:v>
                </c:pt>
                <c:pt idx="53">
                  <c:v>53.971648300315898</c:v>
                </c:pt>
                <c:pt idx="54">
                  <c:v>53.773515291832638</c:v>
                </c:pt>
                <c:pt idx="55">
                  <c:v>53.575202393670892</c:v>
                </c:pt>
                <c:pt idx="56">
                  <c:v>53.376703455956857</c:v>
                </c:pt>
                <c:pt idx="57">
                  <c:v>53.178012002520106</c:v>
                </c:pt>
                <c:pt idx="58">
                  <c:v>52.97912122212135</c:v>
                </c:pt>
                <c:pt idx="59">
                  <c:v>52.780023959384749</c:v>
                </c:pt>
                <c:pt idx="60">
                  <c:v>52.580712705448441</c:v>
                </c:pt>
                <c:pt idx="61">
                  <c:v>52.381179588345574</c:v>
                </c:pt>
                <c:pt idx="62">
                  <c:v>52.181416363136073</c:v>
                </c:pt>
                <c:pt idx="63">
                  <c:v>51.981414401804685</c:v>
                </c:pt>
                <c:pt idx="64">
                  <c:v>51.781164682948258</c:v>
                </c:pt>
                <c:pt idx="65">
                  <c:v>51.580657781277019</c:v>
                </c:pt>
                <c:pt idx="66">
                  <c:v>51.379883856953725</c:v>
                </c:pt>
                <c:pt idx="67">
                  <c:v>51.178832644805482</c:v>
                </c:pt>
                <c:pt idx="68">
                  <c:v>50.977493443436174</c:v>
                </c:pt>
                <c:pt idx="69">
                  <c:v>50.775855104281035</c:v>
                </c:pt>
                <c:pt idx="70">
                  <c:v>50.573906020641104</c:v>
                </c:pt>
                <c:pt idx="71">
                  <c:v>50.371634116745355</c:v>
                </c:pt>
                <c:pt idx="72">
                  <c:v>50.169026836886111</c:v>
                </c:pt>
                <c:pt idx="73">
                  <c:v>49.966071134686629</c:v>
                </c:pt>
                <c:pt idx="74">
                  <c:v>49.762753462555068</c:v>
                </c:pt>
                <c:pt idx="75">
                  <c:v>49.559059761393016</c:v>
                </c:pt>
                <c:pt idx="76">
                  <c:v>49.354975450625886</c:v>
                </c:pt>
                <c:pt idx="77">
                  <c:v>49.150485418631547</c:v>
                </c:pt>
                <c:pt idx="78">
                  <c:v>48.945574013649534</c:v>
                </c:pt>
                <c:pt idx="79">
                  <c:v>48.740225035256174</c:v>
                </c:pt>
                <c:pt idx="80">
                  <c:v>48.534421726503041</c:v>
                </c:pt>
                <c:pt idx="81">
                  <c:v>48.32814676681658</c:v>
                </c:pt>
                <c:pt idx="82">
                  <c:v>48.121382265768531</c:v>
                </c:pt>
                <c:pt idx="83">
                  <c:v>47.91410975782982</c:v>
                </c:pt>
                <c:pt idx="84">
                  <c:v>47.706310198231535</c:v>
                </c:pt>
                <c:pt idx="85">
                  <c:v>47.497963960058613</c:v>
                </c:pt>
                <c:pt idx="86">
                  <c:v>47.289050832713073</c:v>
                </c:pt>
                <c:pt idx="87">
                  <c:v>47.079550021889389</c:v>
                </c:pt>
                <c:pt idx="88">
                  <c:v>46.869440151207073</c:v>
                </c:pt>
                <c:pt idx="89">
                  <c:v>46.658699265659727</c:v>
                </c:pt>
                <c:pt idx="90">
                  <c:v>46.447304837037194</c:v>
                </c:pt>
                <c:pt idx="91">
                  <c:v>46.235233771488225</c:v>
                </c:pt>
                <c:pt idx="92">
                  <c:v>46.022462419394806</c:v>
                </c:pt>
                <c:pt idx="93">
                  <c:v>45.80896658773009</c:v>
                </c:pt>
                <c:pt idx="94">
                  <c:v>45.594721555079474</c:v>
                </c:pt>
                <c:pt idx="95">
                  <c:v>45.37970208950351</c:v>
                </c:pt>
                <c:pt idx="96">
                  <c:v>45.163882469421196</c:v>
                </c:pt>
                <c:pt idx="97">
                  <c:v>44.947236507694683</c:v>
                </c:pt>
                <c:pt idx="98">
                  <c:v>44.729737579091108</c:v>
                </c:pt>
                <c:pt idx="99">
                  <c:v>44.511358651294834</c:v>
                </c:pt>
                <c:pt idx="100">
                  <c:v>44.292072319637285</c:v>
                </c:pt>
                <c:pt idx="101">
                  <c:v>44.071850845703992</c:v>
                </c:pt>
                <c:pt idx="102">
                  <c:v>43.850666199966639</c:v>
                </c:pt>
                <c:pt idx="103">
                  <c:v>43.62849010857758</c:v>
                </c:pt>
                <c:pt idx="104">
                  <c:v>43.405294104448309</c:v>
                </c:pt>
                <c:pt idx="105">
                  <c:v>43.181049582714415</c:v>
                </c:pt>
                <c:pt idx="106">
                  <c:v>42.955727860671047</c:v>
                </c:pt>
                <c:pt idx="107">
                  <c:v>42.729300242238892</c:v>
                </c:pt>
                <c:pt idx="108">
                  <c:v>42.501738086993655</c:v>
                </c:pt>
                <c:pt idx="109">
                  <c:v>42.273012883763798</c:v>
                </c:pt>
                <c:pt idx="110">
                  <c:v>42.043096328769735</c:v>
                </c:pt>
                <c:pt idx="111">
                  <c:v>41.811960408241724</c:v>
                </c:pt>
                <c:pt idx="112">
                  <c:v>41.579577485418916</c:v>
                </c:pt>
                <c:pt idx="113">
                  <c:v>41.34592039178807</c:v>
                </c:pt>
                <c:pt idx="114">
                  <c:v>41.110962522385044</c:v>
                </c:pt>
                <c:pt idx="115">
                  <c:v>40.874677934930936</c:v>
                </c:pt>
                <c:pt idx="116">
                  <c:v>40.637041452536842</c:v>
                </c:pt>
                <c:pt idx="117">
                  <c:v>40.398028769659959</c:v>
                </c:pt>
                <c:pt idx="118">
                  <c:v>40.157616560949037</c:v>
                </c:pt>
                <c:pt idx="119">
                  <c:v>39.915782592571617</c:v>
                </c:pt>
                <c:pt idx="120">
                  <c:v>39.672505835566774</c:v>
                </c:pt>
                <c:pt idx="121">
                  <c:v>39.427766580724487</c:v>
                </c:pt>
                <c:pt idx="122">
                  <c:v>39.181546554449483</c:v>
                </c:pt>
                <c:pt idx="123">
                  <c:v>38.933829035026505</c:v>
                </c:pt>
                <c:pt idx="124">
                  <c:v>38.684598968666826</c:v>
                </c:pt>
                <c:pt idx="125">
                  <c:v>38.43384308468562</c:v>
                </c:pt>
                <c:pt idx="126">
                  <c:v>38.181550009127008</c:v>
                </c:pt>
                <c:pt idx="127">
                  <c:v>37.927710376135664</c:v>
                </c:pt>
                <c:pt idx="128">
                  <c:v>37.672316936352935</c:v>
                </c:pt>
                <c:pt idx="129">
                  <c:v>37.415364661608876</c:v>
                </c:pt>
                <c:pt idx="130">
                  <c:v>37.156850845173203</c:v>
                </c:pt>
                <c:pt idx="131">
                  <c:v>36.89677519683751</c:v>
                </c:pt>
                <c:pt idx="132">
                  <c:v>36.635139932108231</c:v>
                </c:pt>
                <c:pt idx="133">
                  <c:v>36.371949854807688</c:v>
                </c:pt>
                <c:pt idx="134">
                  <c:v>36.107212432412496</c:v>
                </c:pt>
                <c:pt idx="135">
                  <c:v>35.840937863485038</c:v>
                </c:pt>
                <c:pt idx="136">
                  <c:v>35.573139136598741</c:v>
                </c:pt>
                <c:pt idx="137">
                  <c:v>35.303832080203222</c:v>
                </c:pt>
                <c:pt idx="138">
                  <c:v>35.033035402930153</c:v>
                </c:pt>
                <c:pt idx="139">
                  <c:v>34.760770723896357</c:v>
                </c:pt>
                <c:pt idx="140">
                  <c:v>34.487062592628121</c:v>
                </c:pt>
                <c:pt idx="141">
                  <c:v>34.211938498291744</c:v>
                </c:pt>
                <c:pt idx="142">
                  <c:v>33.935428867992677</c:v>
                </c:pt>
                <c:pt idx="143">
                  <c:v>33.657567053969494</c:v>
                </c:pt>
                <c:pt idx="144">
                  <c:v>33.378389309588115</c:v>
                </c:pt>
                <c:pt idx="145">
                  <c:v>33.097934754108827</c:v>
                </c:pt>
                <c:pt idx="146">
                  <c:v>32.816245326275379</c:v>
                </c:pt>
                <c:pt idx="147">
                  <c:v>32.533365726840728</c:v>
                </c:pt>
                <c:pt idx="148">
                  <c:v>32.249343350213451</c:v>
                </c:pt>
                <c:pt idx="149">
                  <c:v>31.964228205473752</c:v>
                </c:pt>
                <c:pt idx="150">
                  <c:v>31.678072827063097</c:v>
                </c:pt>
                <c:pt idx="151">
                  <c:v>31.390932175513267</c:v>
                </c:pt>
                <c:pt idx="152">
                  <c:v>31.102863528625505</c:v>
                </c:pt>
                <c:pt idx="153">
                  <c:v>30.813926363559546</c:v>
                </c:pt>
                <c:pt idx="154">
                  <c:v>30.524182230331366</c:v>
                </c:pt>
                <c:pt idx="155">
                  <c:v>30.233694617252876</c:v>
                </c:pt>
                <c:pt idx="156">
                  <c:v>29.9425288088797</c:v>
                </c:pt>
                <c:pt idx="157">
                  <c:v>29.6507517370557</c:v>
                </c:pt>
                <c:pt idx="158">
                  <c:v>29.358431825667228</c:v>
                </c:pt>
                <c:pt idx="159">
                  <c:v>29.065638829733881</c:v>
                </c:pt>
                <c:pt idx="160">
                  <c:v>28.772443669479564</c:v>
                </c:pt>
                <c:pt idx="161">
                  <c:v>28.478918260036224</c:v>
                </c:pt>
                <c:pt idx="162">
                  <c:v>28.185135337440656</c:v>
                </c:pt>
                <c:pt idx="163">
                  <c:v>27.891168281591803</c:v>
                </c:pt>
                <c:pt idx="164">
                  <c:v>27.597090936839123</c:v>
                </c:pt>
                <c:pt idx="165">
                  <c:v>27.30297743087484</c:v>
                </c:pt>
                <c:pt idx="166">
                  <c:v>27.008901992607218</c:v>
                </c:pt>
                <c:pt idx="167">
                  <c:v>26.714938769689169</c:v>
                </c:pt>
                <c:pt idx="168">
                  <c:v>26.421161646380149</c:v>
                </c:pt>
                <c:pt idx="169">
                  <c:v>26.127644062418106</c:v>
                </c:pt>
                <c:pt idx="170">
                  <c:v>25.834458833575212</c:v>
                </c:pt>
                <c:pt idx="171">
                  <c:v>25.541677974573432</c:v>
                </c:pt>
                <c:pt idx="172">
                  <c:v>25.249372525029344</c:v>
                </c:pt>
                <c:pt idx="173">
                  <c:v>24.957612379096307</c:v>
                </c:pt>
                <c:pt idx="174">
                  <c:v>24.666466119465369</c:v>
                </c:pt>
                <c:pt idx="175">
                  <c:v>24.376000856377665</c:v>
                </c:pt>
                <c:pt idx="176">
                  <c:v>24.086282072292661</c:v>
                </c:pt>
                <c:pt idx="177">
                  <c:v>23.797373472841841</c:v>
                </c:pt>
                <c:pt idx="178">
                  <c:v>23.509336844679083</c:v>
                </c:pt>
                <c:pt idx="179">
                  <c:v>23.222231920822004</c:v>
                </c:pt>
                <c:pt idx="180">
                  <c:v>22.936116254048578</c:v>
                </c:pt>
                <c:pt idx="181">
                  <c:v>22.65104509888695</c:v>
                </c:pt>
                <c:pt idx="182">
                  <c:v>22.367071302698392</c:v>
                </c:pt>
                <c:pt idx="183">
                  <c:v>22.084245206316197</c:v>
                </c:pt>
                <c:pt idx="184">
                  <c:v>21.802614554656088</c:v>
                </c:pt>
                <c:pt idx="185">
                  <c:v>21.522224417663018</c:v>
                </c:pt>
                <c:pt idx="186">
                  <c:v>21.243117121906888</c:v>
                </c:pt>
                <c:pt idx="187">
                  <c:v>20.965332193077227</c:v>
                </c:pt>
                <c:pt idx="188">
                  <c:v>20.688906309564977</c:v>
                </c:pt>
                <c:pt idx="189">
                  <c:v>20.413873267252036</c:v>
                </c:pt>
                <c:pt idx="190">
                  <c:v>20.140263955560204</c:v>
                </c:pt>
                <c:pt idx="191">
                  <c:v>19.868106344738987</c:v>
                </c:pt>
                <c:pt idx="192">
                  <c:v>19.597425484299428</c:v>
                </c:pt>
                <c:pt idx="193">
                  <c:v>19.32824351242915</c:v>
                </c:pt>
                <c:pt idx="194">
                  <c:v>19.06057967615158</c:v>
                </c:pt>
                <c:pt idx="195">
                  <c:v>18.794450361921655</c:v>
                </c:pt>
                <c:pt idx="196">
                  <c:v>18.529869136286166</c:v>
                </c:pt>
                <c:pt idx="197">
                  <c:v>18.266846796168679</c:v>
                </c:pt>
                <c:pt idx="198">
                  <c:v>18.005391428286792</c:v>
                </c:pt>
                <c:pt idx="199">
                  <c:v>17.745508477148739</c:v>
                </c:pt>
                <c:pt idx="200">
                  <c:v>17.487200821036154</c:v>
                </c:pt>
                <c:pt idx="201">
                  <c:v>17.230468855332177</c:v>
                </c:pt>
                <c:pt idx="202">
                  <c:v>16.975310582527353</c:v>
                </c:pt>
                <c:pt idx="203">
                  <c:v>16.721721708202615</c:v>
                </c:pt>
                <c:pt idx="204">
                  <c:v>16.469695742274599</c:v>
                </c:pt>
                <c:pt idx="205">
                  <c:v>16.219224104775108</c:v>
                </c:pt>
                <c:pt idx="206">
                  <c:v>15.970296235432059</c:v>
                </c:pt>
                <c:pt idx="207">
                  <c:v>15.722899706324775</c:v>
                </c:pt>
                <c:pt idx="208">
                  <c:v>15.477020336893933</c:v>
                </c:pt>
                <c:pt idx="209">
                  <c:v>15.232642310605296</c:v>
                </c:pt>
                <c:pt idx="210">
                  <c:v>14.989748292588022</c:v>
                </c:pt>
                <c:pt idx="211">
                  <c:v>14.748319547595933</c:v>
                </c:pt>
                <c:pt idx="212">
                  <c:v>14.508336057674855</c:v>
                </c:pt>
                <c:pt idx="213">
                  <c:v>14.269776638953189</c:v>
                </c:pt>
                <c:pt idx="214">
                  <c:v>14.032619057015051</c:v>
                </c:pt>
                <c:pt idx="215">
                  <c:v>13.796840140357846</c:v>
                </c:pt>
                <c:pt idx="216">
                  <c:v>13.562415891480729</c:v>
                </c:pt>
                <c:pt idx="217">
                  <c:v>13.329321595195188</c:v>
                </c:pt>
                <c:pt idx="218">
                  <c:v>13.097531923800602</c:v>
                </c:pt>
                <c:pt idx="219">
                  <c:v>12.867021038805339</c:v>
                </c:pt>
                <c:pt idx="220">
                  <c:v>12.637762688931666</c:v>
                </c:pt>
                <c:pt idx="221">
                  <c:v>12.409730304178881</c:v>
                </c:pt>
                <c:pt idx="222">
                  <c:v>12.182897085766227</c:v>
                </c:pt>
                <c:pt idx="223">
                  <c:v>11.95723609182124</c:v>
                </c:pt>
                <c:pt idx="224">
                  <c:v>11.732720318715083</c:v>
                </c:pt>
                <c:pt idx="225">
                  <c:v>11.5093227779874</c:v>
                </c:pt>
                <c:pt idx="226">
                  <c:v>11.287016568834552</c:v>
                </c:pt>
                <c:pt idx="227">
                  <c:v>11.065774946172805</c:v>
                </c:pt>
                <c:pt idx="228">
                  <c:v>10.845571384309123</c:v>
                </c:pt>
                <c:pt idx="229">
                  <c:v>10.626379636287934</c:v>
                </c:pt>
                <c:pt idx="230">
                  <c:v>10.408173788998708</c:v>
                </c:pt>
                <c:pt idx="231">
                  <c:v>10.190928314152446</c:v>
                </c:pt>
                <c:pt idx="232">
                  <c:v>9.9746181152548576</c:v>
                </c:pt>
                <c:pt idx="233">
                  <c:v>9.7592185707161878</c:v>
                </c:pt>
                <c:pt idx="234">
                  <c:v>9.544705573251985</c:v>
                </c:pt>
                <c:pt idx="235">
                  <c:v>9.3310555657413037</c:v>
                </c:pt>
                <c:pt idx="236">
                  <c:v>9.1182455737118051</c:v>
                </c:pt>
                <c:pt idx="237">
                  <c:v>8.9062532346338514</c:v>
                </c:pt>
                <c:pt idx="238">
                  <c:v>8.6950568242040056</c:v>
                </c:pt>
                <c:pt idx="239">
                  <c:v>8.4846352798045448</c:v>
                </c:pt>
                <c:pt idx="240">
                  <c:v>8.274968221325409</c:v>
                </c:pt>
                <c:pt idx="241">
                  <c:v>8.0660359695311641</c:v>
                </c:pt>
                <c:pt idx="242">
                  <c:v>7.8578195621606701</c:v>
                </c:pt>
                <c:pt idx="243">
                  <c:v>7.6503007679373907</c:v>
                </c:pt>
                <c:pt idx="244">
                  <c:v>7.4434620986667905</c:v>
                </c:pt>
                <c:pt idx="245">
                  <c:v>7.237286819593554</c:v>
                </c:pt>
                <c:pt idx="246">
                  <c:v>7.0317589581864759</c:v>
                </c:pt>
                <c:pt idx="247">
                  <c:v>6.8268633115073269</c:v>
                </c:pt>
                <c:pt idx="248">
                  <c:v>6.6225854523234728</c:v>
                </c:pt>
                <c:pt idx="249">
                  <c:v>6.4189117341054063</c:v>
                </c:pt>
                <c:pt idx="250">
                  <c:v>6.2158292950556149</c:v>
                </c:pt>
                <c:pt idx="251">
                  <c:v>6.0133260612953077</c:v>
                </c:pt>
                <c:pt idx="252">
                  <c:v>5.8113907493404513</c:v>
                </c:pt>
                <c:pt idx="253">
                  <c:v>5.610012867980319</c:v>
                </c:pt>
                <c:pt idx="254">
                  <c:v>5.4091827196726205</c:v>
                </c:pt>
                <c:pt idx="255">
                  <c:v>5.208891401556528</c:v>
                </c:pt>
                <c:pt idx="256">
                  <c:v>5.0091308061795647</c:v>
                </c:pt>
                <c:pt idx="257">
                  <c:v>4.8098936220265074</c:v>
                </c:pt>
                <c:pt idx="258">
                  <c:v>4.6111733339320393</c:v>
                </c:pt>
                <c:pt idx="259">
                  <c:v>4.4129642234513984</c:v>
                </c:pt>
                <c:pt idx="260">
                  <c:v>4.2152613692540584</c:v>
                </c:pt>
                <c:pt idx="261">
                  <c:v>4.0180606476030931</c:v>
                </c:pt>
                <c:pt idx="262">
                  <c:v>3.8213587329714391</c:v>
                </c:pt>
                <c:pt idx="263">
                  <c:v>3.6251530988438718</c:v>
                </c:pt>
                <c:pt idx="264">
                  <c:v>3.4294420187412866</c:v>
                </c:pt>
                <c:pt idx="265">
                  <c:v>3.2342245675065371</c:v>
                </c:pt>
                <c:pt idx="266">
                  <c:v>3.0395006228725823</c:v>
                </c:pt>
                <c:pt idx="267">
                  <c:v>2.8452708673401008</c:v>
                </c:pt>
                <c:pt idx="268">
                  <c:v>2.6515367903755336</c:v>
                </c:pt>
                <c:pt idx="269">
                  <c:v>2.4583006909386973</c:v>
                </c:pt>
                <c:pt idx="270">
                  <c:v>2.2655656803447597</c:v>
                </c:pt>
                <c:pt idx="271">
                  <c:v>2.0733356854542109</c:v>
                </c:pt>
                <c:pt idx="272">
                  <c:v>1.8816154521822841</c:v>
                </c:pt>
                <c:pt idx="273">
                  <c:v>1.6904105493112951</c:v>
                </c:pt>
                <c:pt idx="274">
                  <c:v>1.4997273725844795</c:v>
                </c:pt>
                <c:pt idx="275">
                  <c:v>1.3095731490509872</c:v>
                </c:pt>
                <c:pt idx="276">
                  <c:v>1.1199559416277141</c:v>
                </c:pt>
                <c:pt idx="277">
                  <c:v>0.93088465383758834</c:v>
                </c:pt>
                <c:pt idx="278">
                  <c:v>0.7423690346734273</c:v>
                </c:pt>
                <c:pt idx="279">
                  <c:v>0.55441968353410065</c:v>
                </c:pt>
                <c:pt idx="280">
                  <c:v>0.36704805517153583</c:v>
                </c:pt>
                <c:pt idx="281">
                  <c:v>0.18026646457771633</c:v>
                </c:pt>
                <c:pt idx="282">
                  <c:v>-5.9119082615572971E-3</c:v>
                </c:pt>
                <c:pt idx="283">
                  <c:v>-0.19147301383192961</c:v>
                </c:pt>
                <c:pt idx="284">
                  <c:v>-0.3764019288622471</c:v>
                </c:pt>
                <c:pt idx="285">
                  <c:v>-0.56068285250265415</c:v>
                </c:pt>
                <c:pt idx="286">
                  <c:v>-0.74429910301226454</c:v>
                </c:pt>
                <c:pt idx="287">
                  <c:v>-0.92723311506939532</c:v>
                </c:pt>
                <c:pt idx="288">
                  <c:v>-1.1094664378232557</c:v>
                </c:pt>
                <c:pt idx="289">
                  <c:v>-1.2909797338141462</c:v>
                </c:pt>
                <c:pt idx="290">
                  <c:v>-1.4717527788943396</c:v>
                </c:pt>
                <c:pt idx="291">
                  <c:v>-1.6517644632906747</c:v>
                </c:pt>
                <c:pt idx="292">
                  <c:v>-1.8309927939558199</c:v>
                </c:pt>
                <c:pt idx="293">
                  <c:v>-2.0094148983592852</c:v>
                </c:pt>
                <c:pt idx="294">
                  <c:v>-2.1870070298763715</c:v>
                </c:pt>
                <c:pt idx="295">
                  <c:v>-2.3637445749385213</c:v>
                </c:pt>
                <c:pt idx="296">
                  <c:v>-2.5396020621113657</c:v>
                </c:pt>
                <c:pt idx="297">
                  <c:v>-2.714553173268595</c:v>
                </c:pt>
                <c:pt idx="298">
                  <c:v>-2.8885707570373658</c:v>
                </c:pt>
                <c:pt idx="299">
                  <c:v>-3.0616268446838406</c:v>
                </c:pt>
                <c:pt idx="300">
                  <c:v>-3.2336926686142897</c:v>
                </c:pt>
                <c:pt idx="301">
                  <c:v>-3.4047386836615563</c:v>
                </c:pt>
                <c:pt idx="302">
                  <c:v>-3.5747345913245714</c:v>
                </c:pt>
                <c:pt idx="303">
                  <c:v>-3.7436493671212947</c:v>
                </c:pt>
                <c:pt idx="304">
                  <c:v>-3.9114512912120927</c:v>
                </c:pt>
                <c:pt idx="305">
                  <c:v>-4.0781079824367961</c:v>
                </c:pt>
                <c:pt idx="306">
                  <c:v>-4.2435864359001449</c:v>
                </c:pt>
                <c:pt idx="307">
                  <c:v>-4.407853064225292</c:v>
                </c:pt>
                <c:pt idx="308">
                  <c:v>-4.5708737425770209</c:v>
                </c:pt>
                <c:pt idx="309">
                  <c:v>-4.7326138575411703</c:v>
                </c:pt>
                <c:pt idx="310">
                  <c:v>-4.8930383599195277</c:v>
                </c:pt>
                <c:pt idx="311">
                  <c:v>-5.0521118214795671</c:v>
                </c:pt>
                <c:pt idx="312">
                  <c:v>-5.2097984956690091</c:v>
                </c:pt>
                <c:pt idx="313">
                  <c:v>-5.3660623822753912</c:v>
                </c:pt>
                <c:pt idx="314">
                  <c:v>-5.5208672959789595</c:v>
                </c:pt>
                <c:pt idx="315">
                  <c:v>-5.6741769387128276</c:v>
                </c:pt>
                <c:pt idx="316">
                  <c:v>-5.8259549757052298</c:v>
                </c:pt>
                <c:pt idx="317">
                  <c:v>-5.9761651150433241</c:v>
                </c:pt>
                <c:pt idx="318">
                  <c:v>-6.1247711905532176</c:v>
                </c:pt>
                <c:pt idx="319">
                  <c:v>-6.2717372477533564</c:v>
                </c:pt>
                <c:pt idx="320">
                  <c:v>-6.4170276325916999</c:v>
                </c:pt>
                <c:pt idx="321">
                  <c:v>-6.5606070826382643</c:v>
                </c:pt>
                <c:pt idx="322">
                  <c:v>-6.7024408203578911</c:v>
                </c:pt>
                <c:pt idx="323">
                  <c:v>-6.842494648051149</c:v>
                </c:pt>
                <c:pt idx="324">
                  <c:v>-6.9807350440056801</c:v>
                </c:pt>
                <c:pt idx="325">
                  <c:v>-7.1171292593661732</c:v>
                </c:pt>
                <c:pt idx="326">
                  <c:v>-7.2516454151963927</c:v>
                </c:pt>
                <c:pt idx="327">
                  <c:v>-7.3842525991706651</c:v>
                </c:pt>
                <c:pt idx="328">
                  <c:v>-7.5149209613110397</c:v>
                </c:pt>
                <c:pt idx="329">
                  <c:v>-7.6436218081599137</c:v>
                </c:pt>
                <c:pt idx="330">
                  <c:v>-7.7703276947619919</c:v>
                </c:pt>
                <c:pt idx="331">
                  <c:v>-7.8950125138224818</c:v>
                </c:pt>
                <c:pt idx="332">
                  <c:v>-8.0176515814005871</c:v>
                </c:pt>
                <c:pt idx="333">
                  <c:v>-8.1382217185006578</c:v>
                </c:pt>
                <c:pt idx="334">
                  <c:v>-8.2567013279429968</c:v>
                </c:pt>
                <c:pt idx="335">
                  <c:v>-8.3730704658999215</c:v>
                </c:pt>
                <c:pt idx="336">
                  <c:v>-8.4873109075256501</c:v>
                </c:pt>
                <c:pt idx="337">
                  <c:v>-8.5994062061291263</c:v>
                </c:pt>
                <c:pt idx="338">
                  <c:v>-8.7093417453887536</c:v>
                </c:pt>
                <c:pt idx="339">
                  <c:v>-8.8171047841528196</c:v>
                </c:pt>
                <c:pt idx="340">
                  <c:v>-8.922684493424331</c:v>
                </c:pt>
                <c:pt idx="341">
                  <c:v>-9.0260719851926403</c:v>
                </c:pt>
                <c:pt idx="342">
                  <c:v>-9.1272603328362898</c:v>
                </c:pt>
                <c:pt idx="343">
                  <c:v>-9.2262445828924129</c:v>
                </c:pt>
                <c:pt idx="344">
                  <c:v>-9.323021758064435</c:v>
                </c:pt>
                <c:pt idx="345">
                  <c:v>-9.4175908514091482</c:v>
                </c:pt>
                <c:pt idx="346">
                  <c:v>-9.5099528117250092</c:v>
                </c:pt>
                <c:pt idx="347">
                  <c:v>-9.6001105202353312</c:v>
                </c:pt>
                <c:pt idx="348">
                  <c:v>-9.6880687587382717</c:v>
                </c:pt>
                <c:pt idx="349">
                  <c:v>-9.773834169460919</c:v>
                </c:pt>
                <c:pt idx="350">
                  <c:v>-9.8574152069307264</c:v>
                </c:pt>
                <c:pt idx="351">
                  <c:v>-9.938822082229569</c:v>
                </c:pt>
                <c:pt idx="352">
                  <c:v>-10.018066700065859</c:v>
                </c:pt>
                <c:pt idx="353">
                  <c:v>-10.095162589137889</c:v>
                </c:pt>
                <c:pt idx="354">
                  <c:v>-10.170124826314993</c:v>
                </c:pt>
                <c:pt idx="355">
                  <c:v>-10.242969955193065</c:v>
                </c:pt>
                <c:pt idx="356">
                  <c:v>-10.313715899611784</c:v>
                </c:pt>
                <c:pt idx="357">
                  <c:v>-10.382381872738414</c:v>
                </c:pt>
                <c:pt idx="358">
                  <c:v>-10.448988282335916</c:v>
                </c:pt>
                <c:pt idx="359">
                  <c:v>-10.513556632833797</c:v>
                </c:pt>
                <c:pt idx="360">
                  <c:v>-10.576109424818155</c:v>
                </c:pt>
                <c:pt idx="361">
                  <c:v>-10.636670052541904</c:v>
                </c:pt>
                <c:pt idx="362">
                  <c:v>-10.69526270003937</c:v>
                </c:pt>
                <c:pt idx="363">
                  <c:v>-10.751912236401248</c:v>
                </c:pt>
                <c:pt idx="364">
                  <c:v>-10.806644110735487</c:v>
                </c:pt>
                <c:pt idx="365">
                  <c:v>-10.859484247305652</c:v>
                </c:pt>
                <c:pt idx="366">
                  <c:v>-10.910458941291429</c:v>
                </c:pt>
                <c:pt idx="367">
                  <c:v>-10.959594755581449</c:v>
                </c:pt>
                <c:pt idx="368">
                  <c:v>-11.006918418954537</c:v>
                </c:pt>
                <c:pt idx="369">
                  <c:v>-11.052456725961504</c:v>
                </c:pt>
                <c:pt idx="370">
                  <c:v>-11.096236438774191</c:v>
                </c:pt>
                <c:pt idx="371">
                  <c:v>-11.138284191212923</c:v>
                </c:pt>
                <c:pt idx="372">
                  <c:v>-11.178626395124327</c:v>
                </c:pt>
                <c:pt idx="373">
                  <c:v>-11.217289149227238</c:v>
                </c:pt>
                <c:pt idx="374">
                  <c:v>-11.254298150507932</c:v>
                </c:pt>
                <c:pt idx="375">
                  <c:v>-11.289678608194677</c:v>
                </c:pt>
                <c:pt idx="376">
                  <c:v>-11.323455160309846</c:v>
                </c:pt>
                <c:pt idx="377">
                  <c:v>-11.35565179275434</c:v>
                </c:pt>
                <c:pt idx="378">
                  <c:v>-11.386291760849073</c:v>
                </c:pt>
                <c:pt idx="379">
                  <c:v>-11.415397513224281</c:v>
                </c:pt>
                <c:pt idx="380">
                  <c:v>-11.4429906179202</c:v>
                </c:pt>
                <c:pt idx="381">
                  <c:v>-11.469091690535741</c:v>
                </c:pt>
                <c:pt idx="382">
                  <c:v>-11.493720324242053</c:v>
                </c:pt>
                <c:pt idx="383">
                  <c:v>-11.516895021454028</c:v>
                </c:pt>
                <c:pt idx="384">
                  <c:v>-11.538633126935402</c:v>
                </c:pt>
                <c:pt idx="385">
                  <c:v>-11.558950762101325</c:v>
                </c:pt>
                <c:pt idx="386">
                  <c:v>-11.577862760261569</c:v>
                </c:pt>
                <c:pt idx="387">
                  <c:v>-11.595382602539971</c:v>
                </c:pt>
                <c:pt idx="388">
                  <c:v>-11.611522354191607</c:v>
                </c:pt>
                <c:pt idx="389">
                  <c:v>-11.62629260103051</c:v>
                </c:pt>
                <c:pt idx="390">
                  <c:v>-11.639702385666981</c:v>
                </c:pt>
                <c:pt idx="391">
                  <c:v>-11.651759143248045</c:v>
                </c:pt>
                <c:pt idx="392">
                  <c:v>-11.662468636380552</c:v>
                </c:pt>
                <c:pt idx="393">
                  <c:v>-11.671834888908474</c:v>
                </c:pt>
                <c:pt idx="394">
                  <c:v>-11.679860118202811</c:v>
                </c:pt>
                <c:pt idx="395">
                  <c:v>-11.686544665612843</c:v>
                </c:pt>
                <c:pt idx="396">
                  <c:v>-11.691886924710065</c:v>
                </c:pt>
                <c:pt idx="397">
                  <c:v>-11.695883266947497</c:v>
                </c:pt>
                <c:pt idx="398">
                  <c:v>-11.698527964332662</c:v>
                </c:pt>
                <c:pt idx="399">
                  <c:v>-11.699813108702738</c:v>
                </c:pt>
                <c:pt idx="400">
                  <c:v>-11.699728527162423</c:v>
                </c:pt>
                <c:pt idx="401">
                  <c:v>-11.698261693227131</c:v>
                </c:pt>
                <c:pt idx="402">
                  <c:v>-11.695397633186317</c:v>
                </c:pt>
                <c:pt idx="403">
                  <c:v>-11.69111882717495</c:v>
                </c:pt>
                <c:pt idx="404">
                  <c:v>-11.685405104407536</c:v>
                </c:pt>
                <c:pt idx="405">
                  <c:v>-11.678233531997334</c:v>
                </c:pt>
                <c:pt idx="406">
                  <c:v>-11.669578296743893</c:v>
                </c:pt>
                <c:pt idx="407">
                  <c:v>-11.659410579229309</c:v>
                </c:pt>
                <c:pt idx="408">
                  <c:v>-11.64769841951982</c:v>
                </c:pt>
                <c:pt idx="409">
                  <c:v>-11.634406573716529</c:v>
                </c:pt>
                <c:pt idx="410">
                  <c:v>-11.619496360545927</c:v>
                </c:pt>
                <c:pt idx="411">
                  <c:v>-11.602925497123177</c:v>
                </c:pt>
                <c:pt idx="412">
                  <c:v>-11.584647922950577</c:v>
                </c:pt>
                <c:pt idx="413">
                  <c:v>-11.564613611152573</c:v>
                </c:pt>
                <c:pt idx="414">
                  <c:v>-11.542768365865689</c:v>
                </c:pt>
                <c:pt idx="415">
                  <c:v>-11.519053604630152</c:v>
                </c:pt>
                <c:pt idx="416">
                  <c:v>-11.49340612453882</c:v>
                </c:pt>
                <c:pt idx="417">
                  <c:v>-11.46575785081475</c:v>
                </c:pt>
                <c:pt idx="418">
                  <c:v>-11.436035566396299</c:v>
                </c:pt>
                <c:pt idx="419">
                  <c:v>-11.404160621013151</c:v>
                </c:pt>
                <c:pt idx="420">
                  <c:v>-11.370048618145411</c:v>
                </c:pt>
                <c:pt idx="421">
                  <c:v>-11.333609078163441</c:v>
                </c:pt>
                <c:pt idx="422">
                  <c:v>-11.294745075866365</c:v>
                </c:pt>
                <c:pt idx="423">
                  <c:v>-11.253352850559217</c:v>
                </c:pt>
                <c:pt idx="424">
                  <c:v>-11.209321386764222</c:v>
                </c:pt>
                <c:pt idx="425">
                  <c:v>-11.162531963630164</c:v>
                </c:pt>
                <c:pt idx="426">
                  <c:v>-11.112857671135234</c:v>
                </c:pt>
                <c:pt idx="427">
                  <c:v>-11.060162891255816</c:v>
                </c:pt>
                <c:pt idx="428">
                  <c:v>-11.004302742451202</c:v>
                </c:pt>
                <c:pt idx="429">
                  <c:v>-10.945122486109199</c:v>
                </c:pt>
                <c:pt idx="430">
                  <c:v>-10.882456894057507</c:v>
                </c:pt>
                <c:pt idx="431">
                  <c:v>-10.816129576941361</c:v>
                </c:pt>
                <c:pt idx="432">
                  <c:v>-10.745952274271072</c:v>
                </c:pt>
                <c:pt idx="433">
                  <c:v>-10.671724108367062</c:v>
                </c:pt>
                <c:pt idx="434">
                  <c:v>-10.593230806426387</c:v>
                </c:pt>
                <c:pt idx="435">
                  <c:v>-10.51024389770474</c:v>
                </c:pt>
                <c:pt idx="436">
                  <c:v>-10.422519896605191</c:v>
                </c:pt>
                <c:pt idx="437">
                  <c:v>-10.329799487686419</c:v>
                </c:pt>
                <c:pt idx="438">
                  <c:v>-10.231806735698783</c:v>
                </c:pt>
                <c:pt idx="439">
                  <c:v>-10.128248353435589</c:v>
                </c:pt>
                <c:pt idx="440">
                  <c:v>-10.018813073330335</c:v>
                </c:pt>
                <c:pt idx="441">
                  <c:v>-9.9031711865777812</c:v>
                </c:pt>
                <c:pt idx="442">
                  <c:v>-9.7809743378110827</c:v>
                </c:pt>
                <c:pt idx="443">
                  <c:v>-9.6518556962928859</c:v>
                </c:pt>
                <c:pt idx="444">
                  <c:v>-9.5154306693445285</c:v>
                </c:pt>
                <c:pt idx="445">
                  <c:v>-9.3712983845941586</c:v>
                </c:pt>
                <c:pt idx="446">
                  <c:v>-9.2190442504162888</c:v>
                </c:pt>
                <c:pt idx="447">
                  <c:v>-9.058244016538076</c:v>
                </c:pt>
                <c:pt idx="448">
                  <c:v>-8.8884699098458633</c:v>
                </c:pt>
                <c:pt idx="449">
                  <c:v>-8.7092996281089263</c:v>
                </c:pt>
                <c:pt idx="450">
                  <c:v>-8.5203292551586021</c:v>
                </c:pt>
                <c:pt idx="451">
                  <c:v>-8.3211915386243707</c:v>
                </c:pt>
                <c:pt idx="452">
                  <c:v>-8.1115814741993262</c:v>
                </c:pt>
                <c:pt idx="453">
                  <c:v>-7.8912918003005474</c:v>
                </c:pt>
                <c:pt idx="454">
                  <c:v>-7.6602618528214634</c:v>
                </c:pt>
                <c:pt idx="455">
                  <c:v>-7.4186442730339053</c:v>
                </c:pt>
                <c:pt idx="456">
                  <c:v>-7.1668952662123866</c:v>
                </c:pt>
                <c:pt idx="457">
                  <c:v>-6.905895329273104</c:v>
                </c:pt>
                <c:pt idx="458">
                  <c:v>-6.6371082384948785</c:v>
                </c:pt>
                <c:pt idx="459">
                  <c:v>-6.3627858434504709</c:v>
                </c:pt>
                <c:pt idx="460">
                  <c:v>-6.0862233975436268</c:v>
                </c:pt>
                <c:pt idx="461">
                  <c:v>-5.8120623060346901</c:v>
                </c:pt>
                <c:pt idx="462">
                  <c:v>-5.546620659998899</c:v>
                </c:pt>
                <c:pt idx="463">
                  <c:v>-5.2982025781908053</c:v>
                </c:pt>
                <c:pt idx="464">
                  <c:v>-5.0772931151821972</c:v>
                </c:pt>
                <c:pt idx="465">
                  <c:v>-4.8964925108360795</c:v>
                </c:pt>
                <c:pt idx="466">
                  <c:v>-4.770005924138383</c:v>
                </c:pt>
                <c:pt idx="467">
                  <c:v>-4.7125305432647373</c:v>
                </c:pt>
                <c:pt idx="468">
                  <c:v>-4.7375275458361763</c:v>
                </c:pt>
                <c:pt idx="469">
                  <c:v>-4.8551414679061864</c:v>
                </c:pt>
                <c:pt idx="470">
                  <c:v>-5.0703258299998097</c:v>
                </c:pt>
                <c:pt idx="471">
                  <c:v>-5.3818340780568619</c:v>
                </c:pt>
                <c:pt idx="472">
                  <c:v>-5.7824796710658752</c:v>
                </c:pt>
                <c:pt idx="473">
                  <c:v>-6.2605582387795025</c:v>
                </c:pt>
                <c:pt idx="474">
                  <c:v>-6.8018838733815379</c:v>
                </c:pt>
                <c:pt idx="475">
                  <c:v>-7.3917823807087153</c:v>
                </c:pt>
                <c:pt idx="476">
                  <c:v>-8.0165897233584058</c:v>
                </c:pt>
                <c:pt idx="477">
                  <c:v>-8.6645136984559574</c:v>
                </c:pt>
                <c:pt idx="478">
                  <c:v>-9.3259458805370912</c:v>
                </c:pt>
                <c:pt idx="479">
                  <c:v>-9.9934035664579426</c:v>
                </c:pt>
                <c:pt idx="480">
                  <c:v>-10.661275084180165</c:v>
                </c:pt>
                <c:pt idx="481">
                  <c:v>-11.325493706451487</c:v>
                </c:pt>
                <c:pt idx="482">
                  <c:v>-11.983214224002667</c:v>
                </c:pt>
                <c:pt idx="483">
                  <c:v>-12.632527778827971</c:v>
                </c:pt>
                <c:pt idx="484">
                  <c:v>-13.272226748132756</c:v>
                </c:pt>
                <c:pt idx="485">
                  <c:v>-13.901618883123595</c:v>
                </c:pt>
                <c:pt idx="486">
                  <c:v>-14.52038441941642</c:v>
                </c:pt>
                <c:pt idx="487">
                  <c:v>-15.128468308560322</c:v>
                </c:pt>
                <c:pt idx="488">
                  <c:v>-15.726000045976104</c:v>
                </c:pt>
                <c:pt idx="489">
                  <c:v>-16.31323464531183</c:v>
                </c:pt>
                <c:pt idx="490">
                  <c:v>-16.890509551636061</c:v>
                </c:pt>
                <c:pt idx="491">
                  <c:v>-17.458213436116658</c:v>
                </c:pt>
                <c:pt idx="492">
                  <c:v>-18.016763780769082</c:v>
                </c:pt>
                <c:pt idx="493">
                  <c:v>-18.566590931301629</c:v>
                </c:pt>
                <c:pt idx="494">
                  <c:v>-19.108126890040616</c:v>
                </c:pt>
                <c:pt idx="495">
                  <c:v>-19.641797570512715</c:v>
                </c:pt>
                <c:pt idx="496">
                  <c:v>-20.168017571397716</c:v>
                </c:pt>
                <c:pt idx="497">
                  <c:v>-20.68718677691907</c:v>
                </c:pt>
                <c:pt idx="498">
                  <c:v>-21.19968827485453</c:v>
                </c:pt>
                <c:pt idx="499">
                  <c:v>-21.705887218922665</c:v>
                </c:pt>
                <c:pt idx="500">
                  <c:v>-22.219483376645016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2-463D-81A0-68F554CF810C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38.895272456741687</c:v>
                </c:pt>
                <c:pt idx="1">
                  <c:v>38.705023647474562</c:v>
                </c:pt>
                <c:pt idx="2">
                  <c:v>38.514574515090075</c:v>
                </c:pt>
                <c:pt idx="3">
                  <c:v>38.323933618921075</c:v>
                </c:pt>
                <c:pt idx="4">
                  <c:v>38.133109183503493</c:v>
                </c:pt>
                <c:pt idx="5">
                  <c:v>37.942109110893028</c:v>
                </c:pt>
                <c:pt idx="6">
                  <c:v>37.750940992674749</c:v>
                </c:pt>
                <c:pt idx="7">
                  <c:v>37.559612121663413</c:v>
                </c:pt>
                <c:pt idx="8">
                  <c:v>37.368129503293311</c:v>
                </c:pt>
                <c:pt idx="9">
                  <c:v>37.176499866697455</c:v>
                </c:pt>
                <c:pt idx="10">
                  <c:v>36.984729675477716</c:v>
                </c:pt>
                <c:pt idx="11">
                  <c:v>36.792825138167267</c:v>
                </c:pt>
                <c:pt idx="12">
                  <c:v>36.60079221838911</c:v>
                </c:pt>
                <c:pt idx="13">
                  <c:v>36.408636644713738</c:v>
                </c:pt>
                <c:pt idx="14">
                  <c:v>36.216363920220786</c:v>
                </c:pt>
                <c:pt idx="15">
                  <c:v>36.023979331769368</c:v>
                </c:pt>
                <c:pt idx="16">
                  <c:v>35.831487958982898</c:v>
                </c:pt>
                <c:pt idx="17">
                  <c:v>35.638894682953982</c:v>
                </c:pt>
                <c:pt idx="18">
                  <c:v>35.446204194676149</c:v>
                </c:pt>
                <c:pt idx="19">
                  <c:v>35.253421003208729</c:v>
                </c:pt>
                <c:pt idx="20">
                  <c:v>35.060549443582033</c:v>
                </c:pt>
                <c:pt idx="21">
                  <c:v>34.867593684450007</c:v>
                </c:pt>
                <c:pt idx="22">
                  <c:v>34.674557735497423</c:v>
                </c:pt>
                <c:pt idx="23">
                  <c:v>34.481445454609812</c:v>
                </c:pt>
                <c:pt idx="24">
                  <c:v>34.288260554812936</c:v>
                </c:pt>
                <c:pt idx="25">
                  <c:v>34.095006610989628</c:v>
                </c:pt>
                <c:pt idx="26">
                  <c:v>33.901687066382685</c:v>
                </c:pt>
                <c:pt idx="27">
                  <c:v>33.708305238890439</c:v>
                </c:pt>
                <c:pt idx="28">
                  <c:v>33.51486432716306</c:v>
                </c:pt>
                <c:pt idx="29">
                  <c:v>33.32136741650811</c:v>
                </c:pt>
                <c:pt idx="30">
                  <c:v>33.127817484612081</c:v>
                </c:pt>
                <c:pt idx="31">
                  <c:v>32.934217407086464</c:v>
                </c:pt>
                <c:pt idx="32">
                  <c:v>32.740569962845647</c:v>
                </c:pt>
                <c:pt idx="33">
                  <c:v>32.546877839323948</c:v>
                </c:pt>
                <c:pt idx="34">
                  <c:v>32.353143637540377</c:v>
                </c:pt>
                <c:pt idx="35">
                  <c:v>32.159369877017241</c:v>
                </c:pt>
                <c:pt idx="36">
                  <c:v>31.965559000561015</c:v>
                </c:pt>
                <c:pt idx="37">
                  <c:v>31.771713378912303</c:v>
                </c:pt>
                <c:pt idx="38">
                  <c:v>31.577835315272811</c:v>
                </c:pt>
                <c:pt idx="39">
                  <c:v>31.383927049714821</c:v>
                </c:pt>
                <c:pt idx="40">
                  <c:v>31.18999076348296</c:v>
                </c:pt>
                <c:pt idx="41">
                  <c:v>30.996028583191929</c:v>
                </c:pt>
                <c:pt idx="42">
                  <c:v>30.802042584930213</c:v>
                </c:pt>
                <c:pt idx="43">
                  <c:v>30.608034798274602</c:v>
                </c:pt>
                <c:pt idx="44">
                  <c:v>30.414007210223041</c:v>
                </c:pt>
                <c:pt idx="45">
                  <c:v>30.219961769052116</c:v>
                </c:pt>
                <c:pt idx="46">
                  <c:v>30.0259003881064</c:v>
                </c:pt>
                <c:pt idx="47">
                  <c:v>29.831824949525455</c:v>
                </c:pt>
                <c:pt idx="48">
                  <c:v>29.637737307915451</c:v>
                </c:pt>
                <c:pt idx="49">
                  <c:v>29.443639293971877</c:v>
                </c:pt>
                <c:pt idx="50">
                  <c:v>29.249532718059157</c:v>
                </c:pt>
                <c:pt idx="51">
                  <c:v>29.055419373754262</c:v>
                </c:pt>
                <c:pt idx="52">
                  <c:v>28.861301041360115</c:v>
                </c:pt>
                <c:pt idx="53">
                  <c:v>28.667179491395231</c:v>
                </c:pt>
                <c:pt idx="54">
                  <c:v>28.473056488065573</c:v>
                </c:pt>
                <c:pt idx="55">
                  <c:v>28.27893379272556</c:v>
                </c:pt>
                <c:pt idx="56">
                  <c:v>28.084813167333522</c:v>
                </c:pt>
                <c:pt idx="57">
                  <c:v>27.890696377908235</c:v>
                </c:pt>
                <c:pt idx="58">
                  <c:v>27.696585197993102</c:v>
                </c:pt>
                <c:pt idx="59">
                  <c:v>27.502481412133495</c:v>
                </c:pt>
                <c:pt idx="60">
                  <c:v>27.308386819374064</c:v>
                </c:pt>
                <c:pt idx="61">
                  <c:v>27.11430323678173</c:v>
                </c:pt>
                <c:pt idx="62">
                  <c:v>26.920232503001333</c:v>
                </c:pt>
                <c:pt idx="63">
                  <c:v>26.726176481849432</c:v>
                </c:pt>
                <c:pt idx="64">
                  <c:v>26.53213706595341</c:v>
                </c:pt>
                <c:pt idx="65">
                  <c:v>26.338116180441745</c:v>
                </c:pt>
                <c:pt idx="66">
                  <c:v>26.144115786691696</c:v>
                </c:pt>
                <c:pt idx="67">
                  <c:v>25.950137886142059</c:v>
                </c:pt>
                <c:pt idx="68">
                  <c:v>25.756184524175794</c:v>
                </c:pt>
                <c:pt idx="69">
                  <c:v>25.562257794080882</c:v>
                </c:pt>
                <c:pt idx="70">
                  <c:v>25.36835984109484</c:v>
                </c:pt>
                <c:pt idx="71">
                  <c:v>25.174492866540675</c:v>
                </c:pt>
                <c:pt idx="72">
                  <c:v>24.980659132059884</c:v>
                </c:pt>
                <c:pt idx="73">
                  <c:v>24.786860963951018</c:v>
                </c:pt>
                <c:pt idx="74">
                  <c:v>24.593100757619339</c:v>
                </c:pt>
                <c:pt idx="75">
                  <c:v>24.399380982145651</c:v>
                </c:pt>
                <c:pt idx="76">
                  <c:v>24.205704184980966</c:v>
                </c:pt>
                <c:pt idx="77">
                  <c:v>24.012072996774585</c:v>
                </c:pt>
                <c:pt idx="78">
                  <c:v>23.818490136342913</c:v>
                </c:pt>
                <c:pt idx="79">
                  <c:v>23.624958415785709</c:v>
                </c:pt>
                <c:pt idx="80">
                  <c:v>23.431480745758996</c:v>
                </c:pt>
                <c:pt idx="81">
                  <c:v>23.238060140909912</c:v>
                </c:pt>
                <c:pt idx="82">
                  <c:v>23.044699725483383</c:v>
                </c:pt>
                <c:pt idx="83">
                  <c:v>22.851402739106291</c:v>
                </c:pt>
                <c:pt idx="84">
                  <c:v>22.658172542758713</c:v>
                </c:pt>
                <c:pt idx="85">
                  <c:v>22.465012624938371</c:v>
                </c:pt>
                <c:pt idx="86">
                  <c:v>22.271926608027471</c:v>
                </c:pt>
                <c:pt idx="87">
                  <c:v>22.078918254868722</c:v>
                </c:pt>
                <c:pt idx="88">
                  <c:v>21.885991475558665</c:v>
                </c:pt>
                <c:pt idx="89">
                  <c:v>21.69315033446609</c:v>
                </c:pt>
                <c:pt idx="90">
                  <c:v>21.500399057483435</c:v>
                </c:pt>
                <c:pt idx="91">
                  <c:v>21.307742039517791</c:v>
                </c:pt>
                <c:pt idx="92">
                  <c:v>21.1151838522307</c:v>
                </c:pt>
                <c:pt idx="93">
                  <c:v>20.922729252031814</c:v>
                </c:pt>
                <c:pt idx="94">
                  <c:v>20.730383188335416</c:v>
                </c:pt>
                <c:pt idx="95">
                  <c:v>20.538150812085828</c:v>
                </c:pt>
                <c:pt idx="96">
                  <c:v>20.346037484558185</c:v>
                </c:pt>
                <c:pt idx="97">
                  <c:v>20.154048786440853</c:v>
                </c:pt>
                <c:pt idx="98">
                  <c:v>19.962190527205664</c:v>
                </c:pt>
                <c:pt idx="99">
                  <c:v>19.770468754770846</c:v>
                </c:pt>
                <c:pt idx="100">
                  <c:v>19.57888976546149</c:v>
                </c:pt>
                <c:pt idx="101">
                  <c:v>19.38746011427202</c:v>
                </c:pt>
                <c:pt idx="102">
                  <c:v>19.196186625433842</c:v>
                </c:pt>
                <c:pt idx="103">
                  <c:v>19.005076403290857</c:v>
                </c:pt>
                <c:pt idx="104">
                  <c:v>18.814136843484754</c:v>
                </c:pt>
                <c:pt idx="105">
                  <c:v>18.623375644450537</c:v>
                </c:pt>
                <c:pt idx="106">
                  <c:v>18.432800819222244</c:v>
                </c:pt>
                <c:pt idx="107">
                  <c:v>18.242420707546991</c:v>
                </c:pt>
                <c:pt idx="108">
                  <c:v>18.052243988304191</c:v>
                </c:pt>
                <c:pt idx="109">
                  <c:v>17.862279692225872</c:v>
                </c:pt>
                <c:pt idx="110">
                  <c:v>17.672537214911124</c:v>
                </c:pt>
                <c:pt idx="111">
                  <c:v>17.483026330127174</c:v>
                </c:pt>
                <c:pt idx="112">
                  <c:v>17.293757203386651</c:v>
                </c:pt>
                <c:pt idx="113">
                  <c:v>17.104740405788391</c:v>
                </c:pt>
                <c:pt idx="114">
                  <c:v>16.915986928107667</c:v>
                </c:pt>
                <c:pt idx="115">
                  <c:v>16.727508195117558</c:v>
                </c:pt>
                <c:pt idx="116">
                  <c:v>16.53931608012179</c:v>
                </c:pt>
                <c:pt idx="117">
                  <c:v>16.351422919675457</c:v>
                </c:pt>
                <c:pt idx="118">
                  <c:v>16.163841528466648</c:v>
                </c:pt>
                <c:pt idx="119">
                  <c:v>15.976585214329351</c:v>
                </c:pt>
                <c:pt idx="120">
                  <c:v>15.789667793352729</c:v>
                </c:pt>
                <c:pt idx="121">
                  <c:v>15.603103605049302</c:v>
                </c:pt>
                <c:pt idx="122">
                  <c:v>15.416907527539184</c:v>
                </c:pt>
                <c:pt idx="123">
                  <c:v>15.231094992703076</c:v>
                </c:pt>
                <c:pt idx="124">
                  <c:v>15.045682001252478</c:v>
                </c:pt>
                <c:pt idx="125">
                  <c:v>14.860685137659111</c:v>
                </c:pt>
                <c:pt idx="126">
                  <c:v>14.676121584882099</c:v>
                </c:pt>
                <c:pt idx="127">
                  <c:v>14.492009138823249</c:v>
                </c:pt>
                <c:pt idx="128">
                  <c:v>14.308366222436968</c:v>
                </c:pt>
                <c:pt idx="129">
                  <c:v>14.125211899415113</c:v>
                </c:pt>
                <c:pt idx="130">
                  <c:v>13.942565887357524</c:v>
                </c:pt>
                <c:pt idx="131">
                  <c:v>13.760448570338145</c:v>
                </c:pt>
                <c:pt idx="132">
                  <c:v>13.578881010764469</c:v>
                </c:pt>
                <c:pt idx="133">
                  <c:v>13.397884960423518</c:v>
                </c:pt>
                <c:pt idx="134">
                  <c:v>13.217482870602062</c:v>
                </c:pt>
                <c:pt idx="135">
                  <c:v>13.037697901158785</c:v>
                </c:pt>
                <c:pt idx="136">
                  <c:v>12.858553928422207</c:v>
                </c:pt>
                <c:pt idx="137">
                  <c:v>12.680075551778611</c:v>
                </c:pt>
                <c:pt idx="138">
                  <c:v>12.502288098811027</c:v>
                </c:pt>
                <c:pt idx="139">
                  <c:v>12.325217628840146</c:v>
                </c:pt>
                <c:pt idx="140">
                  <c:v>12.148890934716761</c:v>
                </c:pt>
                <c:pt idx="141">
                  <c:v>11.973335542704124</c:v>
                </c:pt>
                <c:pt idx="142">
                  <c:v>11.798579710290785</c:v>
                </c:pt>
                <c:pt idx="143">
                  <c:v>11.62465242176372</c:v>
                </c:pt>
                <c:pt idx="144">
                  <c:v>11.451583381373903</c:v>
                </c:pt>
                <c:pt idx="145">
                  <c:v>11.279403003919731</c:v>
                </c:pt>
                <c:pt idx="146">
                  <c:v>11.108142402577357</c:v>
                </c:pt>
                <c:pt idx="147">
                  <c:v>10.93783337380308</c:v>
                </c:pt>
                <c:pt idx="148">
                  <c:v>10.768508379137398</c:v>
                </c:pt>
                <c:pt idx="149">
                  <c:v>10.600200523744171</c:v>
                </c:pt>
                <c:pt idx="150">
                  <c:v>10.432943531521166</c:v>
                </c:pt>
                <c:pt idx="151">
                  <c:v>10.266771716628718</c:v>
                </c:pt>
                <c:pt idx="152">
                  <c:v>10.101719951290296</c:v>
                </c:pt>
                <c:pt idx="153">
                  <c:v>9.9378236297325877</c:v>
                </c:pt>
                <c:pt idx="154">
                  <c:v>9.7751186281453677</c:v>
                </c:pt>
                <c:pt idx="155">
                  <c:v>9.6136412605590991</c:v>
                </c:pt>
                <c:pt idx="156">
                  <c:v>9.453428230557396</c:v>
                </c:pt>
                <c:pt idx="157">
                  <c:v>9.2945165787639326</c:v>
                </c:pt>
                <c:pt idx="158">
                  <c:v>9.1369436260678007</c:v>
                </c:pt>
                <c:pt idx="159">
                  <c:v>8.9807469125792814</c:v>
                </c:pt>
                <c:pt idx="160">
                  <c:v>8.8259641323375941</c:v>
                </c:pt>
                <c:pt idx="161">
                  <c:v>8.6726330638268667</c:v>
                </c:pt>
                <c:pt idx="162">
                  <c:v>8.5207914963887319</c:v>
                </c:pt>
                <c:pt idx="163">
                  <c:v>8.3704771526610937</c:v>
                </c:pt>
                <c:pt idx="164">
                  <c:v>8.2217276072087149</c:v>
                </c:pt>
                <c:pt idx="165">
                  <c:v>8.0745802015544736</c:v>
                </c:pt>
                <c:pt idx="166">
                  <c:v>7.9290719558621205</c:v>
                </c:pt>
                <c:pt idx="167">
                  <c:v>7.7852394775631204</c:v>
                </c:pt>
                <c:pt idx="168">
                  <c:v>7.6431188672652173</c:v>
                </c:pt>
                <c:pt idx="169">
                  <c:v>7.5027456223226183</c:v>
                </c:pt>
                <c:pt idx="170">
                  <c:v>7.3641545384890232</c:v>
                </c:pt>
                <c:pt idx="171">
                  <c:v>7.2273796101179073</c:v>
                </c:pt>
                <c:pt idx="172">
                  <c:v>7.0924539294092543</c:v>
                </c:pt>
                <c:pt idx="173">
                  <c:v>6.9594095852408708</c:v>
                </c:pt>
                <c:pt idx="174">
                  <c:v>6.8282775621518415</c:v>
                </c:pt>
                <c:pt idx="175">
                  <c:v>6.6990876400749109</c:v>
                </c:pt>
                <c:pt idx="176">
                  <c:v>6.5718682954350811</c:v>
                </c:pt>
                <c:pt idx="177">
                  <c:v>6.4466466042514368</c:v>
                </c:pt>
                <c:pt idx="178">
                  <c:v>6.3234481478869986</c:v>
                </c:pt>
                <c:pt idx="179">
                  <c:v>6.2022969220974478</c:v>
                </c:pt>
                <c:pt idx="180">
                  <c:v>6.0832152500255177</c:v>
                </c:pt>
                <c:pt idx="181">
                  <c:v>5.9662236997777898</c:v>
                </c:pt>
                <c:pt idx="182">
                  <c:v>5.8513410072018832</c:v>
                </c:pt>
                <c:pt idx="183">
                  <c:v>5.7385840044570564</c:v>
                </c:pt>
                <c:pt idx="184">
                  <c:v>5.6279675549379444</c:v>
                </c:pt>
                <c:pt idx="185">
                  <c:v>5.5195044950686301</c:v>
                </c:pt>
                <c:pt idx="186">
                  <c:v>5.4132055834402451</c:v>
                </c:pt>
                <c:pt idx="187">
                  <c:v>5.3090794577069245</c:v>
                </c:pt>
                <c:pt idx="188">
                  <c:v>5.2071325995987756</c:v>
                </c:pt>
                <c:pt idx="189">
                  <c:v>5.107369308342645</c:v>
                </c:pt>
                <c:pt idx="190">
                  <c:v>5.0097916827144218</c:v>
                </c:pt>
                <c:pt idx="191">
                  <c:v>4.9143996118721986</c:v>
                </c:pt>
                <c:pt idx="192">
                  <c:v>4.821190775047425</c:v>
                </c:pt>
                <c:pt idx="193">
                  <c:v>4.7301606500924622</c:v>
                </c:pt>
                <c:pt idx="194">
                  <c:v>4.6413025308100924</c:v>
                </c:pt>
                <c:pt idx="195">
                  <c:v>4.5546075529139847</c:v>
                </c:pt>
                <c:pt idx="196">
                  <c:v>4.4700647283970065</c:v>
                </c:pt>
                <c:pt idx="197">
                  <c:v>4.3876609880159094</c:v>
                </c:pt>
                <c:pt idx="198">
                  <c:v>4.3073812315348361</c:v>
                </c:pt>
                <c:pt idx="199">
                  <c:v>4.2292083853099527</c:v>
                </c:pt>
                <c:pt idx="200">
                  <c:v>4.1531234667449821</c:v>
                </c:pt>
                <c:pt idx="201">
                  <c:v>4.0791056550970612</c:v>
                </c:pt>
                <c:pt idx="202">
                  <c:v>4.0071323680742132</c:v>
                </c:pt>
                <c:pt idx="203">
                  <c:v>3.9371793436303877</c:v>
                </c:pt>
                <c:pt idx="204">
                  <c:v>3.8692207263388356</c:v>
                </c:pt>
                <c:pt idx="205">
                  <c:v>3.8032291577066166</c:v>
                </c:pt>
                <c:pt idx="206">
                  <c:v>3.7391758697818811</c:v>
                </c:pt>
                <c:pt idx="207">
                  <c:v>3.6770307814030501</c:v>
                </c:pt>
                <c:pt idx="208">
                  <c:v>3.616762596441661</c:v>
                </c:pt>
                <c:pt idx="209">
                  <c:v>3.5583389034028086</c:v>
                </c:pt>
                <c:pt idx="210">
                  <c:v>3.5017262757626506</c:v>
                </c:pt>
                <c:pt idx="211">
                  <c:v>3.4468903724453654</c:v>
                </c:pt>
                <c:pt idx="212">
                  <c:v>3.3937960378698779</c:v>
                </c:pt>
                <c:pt idx="213">
                  <c:v>3.342407401026946</c:v>
                </c:pt>
                <c:pt idx="214">
                  <c:v>3.2926879730844894</c:v>
                </c:pt>
                <c:pt idx="215">
                  <c:v>3.2446007430558681</c:v>
                </c:pt>
                <c:pt idx="216">
                  <c:v>3.1981082711074169</c:v>
                </c:pt>
                <c:pt idx="217">
                  <c:v>3.1531727791223267</c:v>
                </c:pt>
                <c:pt idx="218">
                  <c:v>3.1097562381829813</c:v>
                </c:pt>
                <c:pt idx="219">
                  <c:v>3.067820452674761</c:v>
                </c:pt>
                <c:pt idx="220">
                  <c:v>3.0273271407593705</c:v>
                </c:pt>
                <c:pt idx="221">
                  <c:v>2.9882380110071787</c:v>
                </c:pt>
                <c:pt idx="222">
                  <c:v>2.9505148350181649</c:v>
                </c:pt>
                <c:pt idx="223">
                  <c:v>2.9141195159022724</c:v>
                </c:pt>
                <c:pt idx="224">
                  <c:v>2.8790141525261603</c:v>
                </c:pt>
                <c:pt idx="225">
                  <c:v>2.8451610994691654</c:v>
                </c:pt>
                <c:pt idx="226">
                  <c:v>2.8125230226624369</c:v>
                </c:pt>
                <c:pt idx="227">
                  <c:v>2.781062950719484</c:v>
                </c:pt>
                <c:pt idx="228">
                  <c:v>2.7507443219880141</c:v>
                </c:pt>
                <c:pt idx="229">
                  <c:v>2.7215310273838988</c:v>
                </c:pt>
                <c:pt idx="230">
                  <c:v>2.6933874490855447</c:v>
                </c:pt>
                <c:pt idx="231">
                  <c:v>2.6662784951883012</c:v>
                </c:pt>
                <c:pt idx="232">
                  <c:v>2.6401696304363216</c:v>
                </c:pt>
                <c:pt idx="233">
                  <c:v>2.6150269031605315</c:v>
                </c:pt>
                <c:pt idx="234">
                  <c:v>2.5908169685658038</c:v>
                </c:pt>
                <c:pt idx="235">
                  <c:v>2.567507108519258</c:v>
                </c:pt>
                <c:pt idx="236">
                  <c:v>2.5450652479976239</c:v>
                </c:pt>
                <c:pt idx="237">
                  <c:v>2.5234599683588721</c:v>
                </c:pt>
                <c:pt idx="238">
                  <c:v>2.5026605176047672</c:v>
                </c:pt>
                <c:pt idx="239">
                  <c:v>2.4826368178046114</c:v>
                </c:pt>
                <c:pt idx="240">
                  <c:v>2.463359469849991</c:v>
                </c:pt>
                <c:pt idx="241">
                  <c:v>2.4447997557081029</c:v>
                </c:pt>
                <c:pt idx="242">
                  <c:v>2.4269296383414298</c:v>
                </c:pt>
                <c:pt idx="243">
                  <c:v>2.4097217594566454</c:v>
                </c:pt>
                <c:pt idx="244">
                  <c:v>2.3931494352411775</c:v>
                </c:pt>
                <c:pt idx="245">
                  <c:v>2.3771866502417529</c:v>
                </c:pt>
                <c:pt idx="246">
                  <c:v>2.3618080495349116</c:v>
                </c:pt>
                <c:pt idx="247">
                  <c:v>2.3469889293295019</c:v>
                </c:pt>
                <c:pt idx="248">
                  <c:v>2.3327052261408951</c:v>
                </c:pt>
                <c:pt idx="249">
                  <c:v>2.3189335046622164</c:v>
                </c:pt>
                <c:pt idx="250">
                  <c:v>2.3056509444603308</c:v>
                </c:pt>
                <c:pt idx="251">
                  <c:v>2.2928353256067613</c:v>
                </c:pt>
                <c:pt idx="252">
                  <c:v>2.2804650133577717</c:v>
                </c:pt>
                <c:pt idx="253">
                  <c:v>2.2685189419799592</c:v>
                </c:pt>
                <c:pt idx="254">
                  <c:v>2.2569765978203051</c:v>
                </c:pt>
                <c:pt idx="255">
                  <c:v>2.2458180017058722</c:v>
                </c:pt>
                <c:pt idx="256">
                  <c:v>2.2350236907552876</c:v>
                </c:pt>
                <c:pt idx="257">
                  <c:v>2.2245746996761278</c:v>
                </c:pt>
                <c:pt idx="258">
                  <c:v>2.2144525416169376</c:v>
                </c:pt>
                <c:pt idx="259">
                  <c:v>2.20463918863617</c:v>
                </c:pt>
                <c:pt idx="260">
                  <c:v>2.195117051843726</c:v>
                </c:pt>
                <c:pt idx="261">
                  <c:v>2.1858689612667455</c:v>
                </c:pt>
                <c:pt idx="262">
                  <c:v>2.176878145485786</c:v>
                </c:pt>
                <c:pt idx="263">
                  <c:v>2.1681282110800062</c:v>
                </c:pt>
                <c:pt idx="264">
                  <c:v>2.1596031219199316</c:v>
                </c:pt>
                <c:pt idx="265">
                  <c:v>2.151287178337669</c:v>
                </c:pt>
                <c:pt idx="266">
                  <c:v>2.1431649962021524</c:v>
                </c:pt>
                <c:pt idx="267">
                  <c:v>2.1352214859242871</c:v>
                </c:pt>
                <c:pt idx="268">
                  <c:v>2.1274418314106116</c:v>
                </c:pt>
                <c:pt idx="269">
                  <c:v>2.1198114689825216</c:v>
                </c:pt>
                <c:pt idx="270">
                  <c:v>2.1123160662760396</c:v>
                </c:pt>
                <c:pt idx="271">
                  <c:v>2.1049415011316097</c:v>
                </c:pt>
                <c:pt idx="272">
                  <c:v>2.0976738404831896</c:v>
                </c:pt>
                <c:pt idx="273">
                  <c:v>2.0904993192530439</c:v>
                </c:pt>
                <c:pt idx="274">
                  <c:v>2.0834043192563305</c:v>
                </c:pt>
                <c:pt idx="275">
                  <c:v>2.0763753481178018</c:v>
                </c:pt>
                <c:pt idx="276">
                  <c:v>2.0693990182020165</c:v>
                </c:pt>
                <c:pt idx="277">
                  <c:v>2.0624620255567248</c:v>
                </c:pt>
                <c:pt idx="278">
                  <c:v>2.0555511288676778</c:v>
                </c:pt>
                <c:pt idx="279">
                  <c:v>2.0486531284232092</c:v>
                </c:pt>
                <c:pt idx="280">
                  <c:v>2.0417548450854732</c:v>
                </c:pt>
                <c:pt idx="281">
                  <c:v>2.0348430992647057</c:v>
                </c:pt>
                <c:pt idx="282">
                  <c:v>2.027904689893985</c:v>
                </c:pt>
                <c:pt idx="283">
                  <c:v>2.020926373399818</c:v>
                </c:pt>
                <c:pt idx="284">
                  <c:v>2.0138948426666552</c:v>
                </c:pt>
                <c:pt idx="285">
                  <c:v>2.0067967059910345</c:v>
                </c:pt>
                <c:pt idx="286">
                  <c:v>1.999618466024413</c:v>
                </c:pt>
                <c:pt idx="287">
                  <c:v>1.9923464987027708</c:v>
                </c:pt>
                <c:pt idx="288">
                  <c:v>1.9849670321629103</c:v>
                </c:pt>
                <c:pt idx="289">
                  <c:v>1.9774661256461521</c:v>
                </c:pt>
                <c:pt idx="290">
                  <c:v>1.9698296483929294</c:v>
                </c:pt>
                <c:pt idx="291">
                  <c:v>1.9620432585317213</c:v>
                </c:pt>
                <c:pt idx="292">
                  <c:v>1.9540923819691902</c:v>
                </c:pt>
                <c:pt idx="293">
                  <c:v>1.9459621912898759</c:v>
                </c:pt>
                <c:pt idx="294">
                  <c:v>1.9376375846769558</c:v>
                </c:pt>
                <c:pt idx="295">
                  <c:v>1.9291031648679873</c:v>
                </c:pt>
                <c:pt idx="296">
                  <c:v>1.9203432181615123</c:v>
                </c:pt>
                <c:pt idx="297">
                  <c:v>1.9113416934967931</c:v>
                </c:pt>
                <c:pt idx="298">
                  <c:v>1.9020821816278499</c:v>
                </c:pt>
                <c:pt idx="299">
                  <c:v>1.8925478944220966</c:v>
                </c:pt>
                <c:pt idx="300">
                  <c:v>1.88272164431341</c:v>
                </c:pt>
                <c:pt idx="301">
                  <c:v>1.8725858239461659</c:v>
                </c:pt>
                <c:pt idx="302">
                  <c:v>1.8621223860522949</c:v>
                </c:pt>
                <c:pt idx="303">
                  <c:v>1.8513128236054712</c:v>
                </c:pt>
                <c:pt idx="304">
                  <c:v>1.8401381503051568</c:v>
                </c:pt>
                <c:pt idx="305">
                  <c:v>1.8285788814460209</c:v>
                </c:pt>
                <c:pt idx="306">
                  <c:v>1.8166150152358673</c:v>
                </c:pt>
                <c:pt idx="307">
                  <c:v>1.8042260146303601</c:v>
                </c:pt>
                <c:pt idx="308">
                  <c:v>1.7913907897598811</c:v>
                </c:pt>
                <c:pt idx="309">
                  <c:v>1.7780876810289203</c:v>
                </c:pt>
                <c:pt idx="310">
                  <c:v>1.7642944429775123</c:v>
                </c:pt>
                <c:pt idx="311">
                  <c:v>1.7499882289980477</c:v>
                </c:pt>
                <c:pt idx="312">
                  <c:v>1.7351455770105908</c:v>
                </c:pt>
                <c:pt idx="313">
                  <c:v>1.719742396205264</c:v>
                </c:pt>
                <c:pt idx="314">
                  <c:v>1.7037539549678242</c:v>
                </c:pt>
                <c:pt idx="315">
                  <c:v>1.6871548701105703</c:v>
                </c:pt>
                <c:pt idx="316">
                  <c:v>1.6699190975399056</c:v>
                </c:pt>
                <c:pt idx="317">
                  <c:v>1.6520199244960068</c:v>
                </c:pt>
                <c:pt idx="318">
                  <c:v>1.6334299635076965</c:v>
                </c:pt>
                <c:pt idx="319">
                  <c:v>1.6141211482119378</c:v>
                </c:pt>
                <c:pt idx="320">
                  <c:v>1.5940647311914882</c:v>
                </c:pt>
                <c:pt idx="321">
                  <c:v>1.5732312839907268</c:v>
                </c:pt>
                <c:pt idx="322">
                  <c:v>1.5515906994727953</c:v>
                </c:pt>
                <c:pt idx="323">
                  <c:v>1.5291121966838954</c:v>
                </c:pt>
                <c:pt idx="324">
                  <c:v>1.5057643283953279</c:v>
                </c:pt>
                <c:pt idx="325">
                  <c:v>1.4815149914906292</c:v>
                </c:pt>
                <c:pt idx="326">
                  <c:v>1.4563314403689007</c:v>
                </c:pt>
                <c:pt idx="327">
                  <c:v>1.4301803035322624</c:v>
                </c:pt>
                <c:pt idx="328">
                  <c:v>1.40302760351911</c:v>
                </c:pt>
                <c:pt idx="329">
                  <c:v>1.3748387803443767</c:v>
                </c:pt>
                <c:pt idx="330">
                  <c:v>1.3455787185971302</c:v>
                </c:pt>
                <c:pt idx="331">
                  <c:v>1.3152117783361073</c:v>
                </c:pt>
                <c:pt idx="332">
                  <c:v>1.2837018299144212</c:v>
                </c:pt>
                <c:pt idx="333">
                  <c:v>1.251012292849452</c:v>
                </c:pt>
                <c:pt idx="334">
                  <c:v>1.2171061788334234</c:v>
                </c:pt>
                <c:pt idx="335">
                  <c:v>1.1819461389685912</c:v>
                </c:pt>
                <c:pt idx="336">
                  <c:v>1.1454945152794969</c:v>
                </c:pt>
                <c:pt idx="337">
                  <c:v>1.1077133965367703</c:v>
                </c:pt>
                <c:pt idx="338">
                  <c:v>1.0685646783966123</c:v>
                </c:pt>
                <c:pt idx="339">
                  <c:v>1.0280101278289713</c:v>
                </c:pt>
                <c:pt idx="340">
                  <c:v>0.9860114517766948</c:v>
                </c:pt>
                <c:pt idx="341">
                  <c:v>0.94253036995020456</c:v>
                </c:pt>
                <c:pt idx="342">
                  <c:v>0.8975286916264863</c:v>
                </c:pt>
                <c:pt idx="343">
                  <c:v>0.85096839628177279</c:v>
                </c:pt>
                <c:pt idx="344">
                  <c:v>0.80281171784414984</c:v>
                </c:pt>
                <c:pt idx="345">
                  <c:v>0.75302123231283291</c:v>
                </c:pt>
                <c:pt idx="346">
                  <c:v>0.70155994844564151</c:v>
                </c:pt>
                <c:pt idx="347">
                  <c:v>0.64839140117447402</c:v>
                </c:pt>
                <c:pt idx="348">
                  <c:v>0.59347974736353881</c:v>
                </c:pt>
                <c:pt idx="349">
                  <c:v>0.53678986348675894</c:v>
                </c:pt>
                <c:pt idx="350">
                  <c:v>0.47828744475455742</c:v>
                </c:pt>
                <c:pt idx="351">
                  <c:v>0.4179391051896465</c:v>
                </c:pt>
                <c:pt idx="352">
                  <c:v>0.35571247810706663</c:v>
                </c:pt>
                <c:pt idx="353">
                  <c:v>0.2915763164316012</c:v>
                </c:pt>
                <c:pt idx="354">
                  <c:v>0.22550059225040936</c:v>
                </c:pt>
                <c:pt idx="355">
                  <c:v>0.15745659498233758</c:v>
                </c:pt>
                <c:pt idx="356">
                  <c:v>8.7417027524678267E-2</c:v>
                </c:pt>
                <c:pt idx="357">
                  <c:v>1.5356099730972309E-2</c:v>
                </c:pt>
                <c:pt idx="358">
                  <c:v>-5.8750381432638443E-2</c:v>
                </c:pt>
                <c:pt idx="359">
                  <c:v>-0.13492492569893025</c:v>
                </c:pt>
                <c:pt idx="360">
                  <c:v>-0.21318827791745576</c:v>
                </c:pt>
                <c:pt idx="361">
                  <c:v>-0.29355934169563497</c:v>
                </c:pt>
                <c:pt idx="362">
                  <c:v>-0.37605510885632376</c:v>
                </c:pt>
                <c:pt idx="363">
                  <c:v>-0.46069059526895656</c:v>
                </c:pt>
                <c:pt idx="364">
                  <c:v>-0.54747878357279001</c:v>
                </c:pt>
                <c:pt idx="365">
                  <c:v>-0.63643057326075325</c:v>
                </c:pt>
                <c:pt idx="366">
                  <c:v>-0.72755473853869146</c:v>
                </c:pt>
                <c:pt idx="367">
                  <c:v>-0.82085789431480283</c:v>
                </c:pt>
                <c:pt idx="368">
                  <c:v>-0.91634447060830548</c:v>
                </c:pt>
                <c:pt idx="369">
                  <c:v>-1.0140166955971013</c:v>
                </c:pt>
                <c:pt idx="370">
                  <c:v>-1.113874587452294</c:v>
                </c:pt>
                <c:pt idx="371">
                  <c:v>-1.2159159550310537</c:v>
                </c:pt>
                <c:pt idx="372">
                  <c:v>-1.3201364074255604</c:v>
                </c:pt>
                <c:pt idx="373">
                  <c:v>-1.4265293722884134</c:v>
                </c:pt>
                <c:pt idx="374">
                  <c:v>-1.5350861227816885</c:v>
                </c:pt>
                <c:pt idx="375">
                  <c:v>-1.6457958129228676</c:v>
                </c:pt>
                <c:pt idx="376">
                  <c:v>-1.7586455210335561</c:v>
                </c:pt>
                <c:pt idx="377">
                  <c:v>-1.8736203009312871</c:v>
                </c:pt>
                <c:pt idx="378">
                  <c:v>-1.9907032404444378</c:v>
                </c:pt>
                <c:pt idx="379">
                  <c:v>-2.1098755267777585</c:v>
                </c:pt>
                <c:pt idx="380">
                  <c:v>-2.2311165182076724</c:v>
                </c:pt>
                <c:pt idx="381">
                  <c:v>-2.3544038215460907</c:v>
                </c:pt>
                <c:pt idx="382">
                  <c:v>-2.4797133747796853</c:v>
                </c:pt>
                <c:pt idx="383">
                  <c:v>-2.6070195342643321</c:v>
                </c:pt>
                <c:pt idx="384">
                  <c:v>-2.7362951658383272</c:v>
                </c:pt>
                <c:pt idx="385">
                  <c:v>-2.8675117392067855</c:v>
                </c:pt>
                <c:pt idx="386">
                  <c:v>-3.0006394249468418</c:v>
                </c:pt>
                <c:pt idx="387">
                  <c:v>-3.1356471934886203</c:v>
                </c:pt>
                <c:pt idx="388">
                  <c:v>-3.2725029154363905</c:v>
                </c:pt>
                <c:pt idx="389">
                  <c:v>-3.4111734626124646</c:v>
                </c:pt>
                <c:pt idx="390">
                  <c:v>-3.5516248092294838</c:v>
                </c:pt>
                <c:pt idx="391">
                  <c:v>-3.6938221326230023</c:v>
                </c:pt>
                <c:pt idx="392">
                  <c:v>-3.8377299130100839</c:v>
                </c:pt>
                <c:pt idx="393">
                  <c:v>-3.9833120317736137</c:v>
                </c:pt>
                <c:pt idx="394">
                  <c:v>-4.1305318678122376</c:v>
                </c:pt>
                <c:pt idx="395">
                  <c:v>-4.279352391534764</c:v>
                </c:pt>
                <c:pt idx="396">
                  <c:v>-4.4297362561209308</c:v>
                </c:pt>
                <c:pt idx="397">
                  <c:v>-4.5816458857150613</c:v>
                </c:pt>
                <c:pt idx="398">
                  <c:v>-4.7350435602581662</c:v>
                </c:pt>
                <c:pt idx="399">
                  <c:v>-4.8898914967131439</c:v>
                </c:pt>
                <c:pt idx="400">
                  <c:v>-5.0461519264736534</c:v>
                </c:pt>
                <c:pt idx="401">
                  <c:v>-5.2037871687938084</c:v>
                </c:pt>
                <c:pt idx="402">
                  <c:v>-5.3627597001106677</c:v>
                </c:pt>
                <c:pt idx="403">
                  <c:v>-5.5230322191725563</c:v>
                </c:pt>
                <c:pt idx="404">
                  <c:v>-5.684567707918573</c:v>
                </c:pt>
                <c:pt idx="405">
                  <c:v>-5.8473294880887883</c:v>
                </c:pt>
                <c:pt idx="406">
                  <c:v>-6.0112812735755758</c:v>
                </c:pt>
                <c:pt idx="407">
                  <c:v>-6.1763872185511595</c:v>
                </c:pt>
                <c:pt idx="408">
                  <c:v>-6.3426119614352627</c:v>
                </c:pt>
                <c:pt idx="409">
                  <c:v>-6.509920664784743</c:v>
                </c:pt>
                <c:pt idx="410">
                  <c:v>-6.6782790512088717</c:v>
                </c:pt>
                <c:pt idx="411">
                  <c:v>-6.847653435431039</c:v>
                </c:pt>
                <c:pt idx="412">
                  <c:v>-7.01801075262909</c:v>
                </c:pt>
                <c:pt idx="413">
                  <c:v>-7.1893185832013806</c:v>
                </c:pt>
                <c:pt idx="414">
                  <c:v>-7.3615451741126448</c:v>
                </c:pt>
                <c:pt idx="415">
                  <c:v>-7.5346594569830749</c:v>
                </c:pt>
                <c:pt idx="416">
                  <c:v>-7.7086310630871466</c:v>
                </c:pt>
                <c:pt idx="417">
                  <c:v>-7.8834303354345998</c:v>
                </c:pt>
                <c:pt idx="418">
                  <c:v>-8.0590283381057883</c:v>
                </c:pt>
                <c:pt idx="419">
                  <c:v>-8.2353968630147225</c:v>
                </c:pt>
                <c:pt idx="420">
                  <c:v>-8.4125084342730432</c:v>
                </c:pt>
                <c:pt idx="421">
                  <c:v>-8.5903363103238721</c:v>
                </c:pt>
                <c:pt idx="422">
                  <c:v>-8.7688544840138931</c:v>
                </c:pt>
                <c:pt idx="423">
                  <c:v>-8.9480376807649478</c:v>
                </c:pt>
                <c:pt idx="424">
                  <c:v>-9.1278613550053933</c:v>
                </c:pt>
                <c:pt idx="425">
                  <c:v>-9.3083016850119495</c:v>
                </c:pt>
                <c:pt idx="426">
                  <c:v>-9.4893355663107766</c:v>
                </c:pt>
                <c:pt idx="427">
                  <c:v>-9.6709406037767138</c:v>
                </c:pt>
                <c:pt idx="428">
                  <c:v>-9.8530951025656126</c:v>
                </c:pt>
                <c:pt idx="429">
                  <c:v>-10.035778058007914</c:v>
                </c:pt>
                <c:pt idx="430">
                  <c:v>-10.218969144581898</c:v>
                </c:pt>
                <c:pt idx="431">
                  <c:v>-10.402648704081972</c:v>
                </c:pt>
                <c:pt idx="432">
                  <c:v>-10.586797733088126</c:v>
                </c:pt>
                <c:pt idx="433">
                  <c:v>-10.771397869836258</c:v>
                </c:pt>
                <c:pt idx="434">
                  <c:v>-10.956431380582005</c:v>
                </c:pt>
                <c:pt idx="435">
                  <c:v>-11.141881145547119</c:v>
                </c:pt>
                <c:pt idx="436">
                  <c:v>-11.327730644524866</c:v>
                </c:pt>
                <c:pt idx="437">
                  <c:v>-11.513963942222338</c:v>
                </c:pt>
                <c:pt idx="438">
                  <c:v>-11.70056567340513</c:v>
                </c:pt>
                <c:pt idx="439">
                  <c:v>-11.887521027908672</c:v>
                </c:pt>
                <c:pt idx="440">
                  <c:v>-12.074815735572535</c:v>
                </c:pt>
                <c:pt idx="441">
                  <c:v>-12.262436051149603</c:v>
                </c:pt>
                <c:pt idx="442">
                  <c:v>-12.450368739238439</c:v>
                </c:pt>
                <c:pt idx="443">
                  <c:v>-12.638601059279129</c:v>
                </c:pt>
                <c:pt idx="444">
                  <c:v>-12.827120750653581</c:v>
                </c:pt>
                <c:pt idx="445">
                  <c:v>-13.015916017922045</c:v>
                </c:pt>
                <c:pt idx="446">
                  <c:v>-13.204975516227391</c:v>
                </c:pt>
                <c:pt idx="447">
                  <c:v>-13.394288336894018</c:v>
                </c:pt>
                <c:pt idx="448">
                  <c:v>-13.583843993243992</c:v>
                </c:pt>
                <c:pt idx="449">
                  <c:v>-13.773632406652057</c:v>
                </c:pt>
                <c:pt idx="450">
                  <c:v>-13.963643892855877</c:v>
                </c:pt>
                <c:pt idx="451">
                  <c:v>-14.153869148537401</c:v>
                </c:pt>
                <c:pt idx="452">
                  <c:v>-14.344299238188096</c:v>
                </c:pt>
                <c:pt idx="453">
                  <c:v>-14.53492558126654</c:v>
                </c:pt>
                <c:pt idx="454">
                  <c:v>-14.725739939659988</c:v>
                </c:pt>
                <c:pt idx="455">
                  <c:v>-14.916734405453369</c:v>
                </c:pt>
                <c:pt idx="456">
                  <c:v>-15.107901389012275</c:v>
                </c:pt>
                <c:pt idx="457">
                  <c:v>-15.299233607382734</c:v>
                </c:pt>
                <c:pt idx="458">
                  <c:v>-15.490724073009964</c:v>
                </c:pt>
                <c:pt idx="459">
                  <c:v>-15.682366082776385</c:v>
                </c:pt>
                <c:pt idx="460">
                  <c:v>-15.874153207359395</c:v>
                </c:pt>
                <c:pt idx="461">
                  <c:v>-16.066079280906429</c:v>
                </c:pt>
                <c:pt idx="462">
                  <c:v>-16.258138391026261</c:v>
                </c:pt>
                <c:pt idx="463">
                  <c:v>-16.450324869091993</c:v>
                </c:pt>
                <c:pt idx="464">
                  <c:v>-16.642633280854035</c:v>
                </c:pt>
                <c:pt idx="465">
                  <c:v>-16.835058417357295</c:v>
                </c:pt>
                <c:pt idx="466">
                  <c:v>-17.027595286157709</c:v>
                </c:pt>
                <c:pt idx="467">
                  <c:v>-17.22023910283426</c:v>
                </c:pt>
                <c:pt idx="468">
                  <c:v>-17.412985282789251</c:v>
                </c:pt>
                <c:pt idx="469">
                  <c:v>-17.605829433331984</c:v>
                </c:pt>
                <c:pt idx="470">
                  <c:v>-17.798767346038989</c:v>
                </c:pt>
                <c:pt idx="471">
                  <c:v>-17.99179498938479</c:v>
                </c:pt>
                <c:pt idx="472">
                  <c:v>-18.184908501636535</c:v>
                </c:pt>
                <c:pt idx="473">
                  <c:v>-18.378104184005224</c:v>
                </c:pt>
                <c:pt idx="474">
                  <c:v>-18.571378494047895</c:v>
                </c:pt>
                <c:pt idx="475">
                  <c:v>-18.764728039313056</c:v>
                </c:pt>
                <c:pt idx="476">
                  <c:v>-18.95814957122149</c:v>
                </c:pt>
                <c:pt idx="477">
                  <c:v>-19.151639979178924</c:v>
                </c:pt>
                <c:pt idx="478">
                  <c:v>-19.345196284909147</c:v>
                </c:pt>
                <c:pt idx="479">
                  <c:v>-19.538815637004532</c:v>
                </c:pt>
                <c:pt idx="480">
                  <c:v>-19.732495305684953</c:v>
                </c:pt>
                <c:pt idx="481">
                  <c:v>-19.926232677759693</c:v>
                </c:pt>
                <c:pt idx="482">
                  <c:v>-20.120025251784782</c:v>
                </c:pt>
                <c:pt idx="483">
                  <c:v>-20.313870633409906</c:v>
                </c:pt>
                <c:pt idx="484">
                  <c:v>-20.507766530908324</c:v>
                </c:pt>
                <c:pt idx="485">
                  <c:v>-20.701710750883393</c:v>
                </c:pt>
                <c:pt idx="486">
                  <c:v>-20.895701194145929</c:v>
                </c:pt>
                <c:pt idx="487">
                  <c:v>-21.089735851755758</c:v>
                </c:pt>
                <c:pt idx="488">
                  <c:v>-21.283812801222595</c:v>
                </c:pt>
                <c:pt idx="489">
                  <c:v>-21.477930202859312</c:v>
                </c:pt>
                <c:pt idx="490">
                  <c:v>-21.672086296283307</c:v>
                </c:pt>
                <c:pt idx="491">
                  <c:v>-21.866279397059422</c:v>
                </c:pt>
                <c:pt idx="492">
                  <c:v>-22.060507893479912</c:v>
                </c:pt>
                <c:pt idx="493">
                  <c:v>-22.254770243476152</c:v>
                </c:pt>
                <c:pt idx="494">
                  <c:v>-22.449064971656824</c:v>
                </c:pt>
                <c:pt idx="495">
                  <c:v>-22.6433906664682</c:v>
                </c:pt>
                <c:pt idx="496">
                  <c:v>-22.837745977471606</c:v>
                </c:pt>
                <c:pt idx="497">
                  <c:v>-23.032129612733385</c:v>
                </c:pt>
                <c:pt idx="498">
                  <c:v>-23.226540336323794</c:v>
                </c:pt>
                <c:pt idx="499">
                  <c:v>-23.420976965919248</c:v>
                </c:pt>
                <c:pt idx="500">
                  <c:v>-23.615438370505096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0192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-2.5087331263047794</c:v>
                </c:pt>
                <c:pt idx="1">
                  <c:v>-2.5656182432177244</c:v>
                </c:pt>
                <c:pt idx="2">
                  <c:v>-2.6237897445182443</c:v>
                </c:pt>
                <c:pt idx="3">
                  <c:v>-2.683276478440638</c:v>
                </c:pt>
                <c:pt idx="4">
                  <c:v>-2.7441079233537997</c:v>
                </c:pt>
                <c:pt idx="5">
                  <c:v>-2.8063142003507244</c:v>
                </c:pt>
                <c:pt idx="6">
                  <c:v>-2.8699260860064739</c:v>
                </c:pt>
                <c:pt idx="7">
                  <c:v>-2.934975025299277</c:v>
                </c:pt>
                <c:pt idx="8">
                  <c:v>-3.0014931446908104</c:v>
                </c:pt>
                <c:pt idx="9">
                  <c:v>-3.0695132653596167</c:v>
                </c:pt>
                <c:pt idx="10">
                  <c:v>-3.1390689165816261</c:v>
                </c:pt>
                <c:pt idx="11">
                  <c:v>-3.2101943492508411</c:v>
                </c:pt>
                <c:pt idx="12">
                  <c:v>-3.2829245495317041</c:v>
                </c:pt>
                <c:pt idx="13">
                  <c:v>-3.3572952526353439</c:v>
                </c:pt>
                <c:pt idx="14">
                  <c:v>-3.4333429567087945</c:v>
                </c:pt>
                <c:pt idx="15">
                  <c:v>-3.5111049368276586</c:v>
                </c:pt>
                <c:pt idx="16">
                  <c:v>-3.5906192590785384</c:v>
                </c:pt>
                <c:pt idx="17">
                  <c:v>-3.6719247947198479</c:v>
                </c:pt>
                <c:pt idx="18">
                  <c:v>-3.7550612344060528</c:v>
                </c:pt>
                <c:pt idx="19">
                  <c:v>-3.8400691024577562</c:v>
                </c:pt>
                <c:pt idx="20">
                  <c:v>-3.9269897711638024</c:v>
                </c:pt>
                <c:pt idx="21">
                  <c:v>-4.0158654750930571</c:v>
                </c:pt>
                <c:pt idx="22">
                  <c:v>-4.1067393253974256</c:v>
                </c:pt>
                <c:pt idx="23">
                  <c:v>-4.1996553240830945</c:v>
                </c:pt>
                <c:pt idx="24">
                  <c:v>-4.2946583782255425</c:v>
                </c:pt>
                <c:pt idx="25">
                  <c:v>-4.3917943141025795</c:v>
                </c:pt>
                <c:pt idx="26">
                  <c:v>-4.4911098912160838</c:v>
                </c:pt>
                <c:pt idx="27">
                  <c:v>-4.5926528161725146</c:v>
                </c:pt>
                <c:pt idx="28">
                  <c:v>-4.6964717563883438</c:v>
                </c:pt>
                <c:pt idx="29">
                  <c:v>-4.8026163535846917</c:v>
                </c:pt>
                <c:pt idx="30">
                  <c:v>-4.9111372370325483</c:v>
                </c:pt>
                <c:pt idx="31">
                  <c:v>-5.0220860365068747</c:v>
                </c:pt>
                <c:pt idx="32">
                  <c:v>-5.1355153949048571</c:v>
                </c:pt>
                <c:pt idx="33">
                  <c:v>-5.2514789804800301</c:v>
                </c:pt>
                <c:pt idx="34">
                  <c:v>-5.3700314986414384</c:v>
                </c:pt>
                <c:pt idx="35">
                  <c:v>-5.4912287032612026</c:v>
                </c:pt>
                <c:pt idx="36">
                  <c:v>-5.615127407432527</c:v>
                </c:pt>
                <c:pt idx="37">
                  <c:v>-5.7417854936138237</c:v>
                </c:pt>
                <c:pt idx="38">
                  <c:v>-5.8712619230917946</c:v>
                </c:pt>
                <c:pt idx="39">
                  <c:v>-6.0036167446908228</c:v>
                </c:pt>
                <c:pt idx="40">
                  <c:v>-6.1389111026507619</c:v>
                </c:pt>
                <c:pt idx="41">
                  <c:v>-6.2772072435922563</c:v>
                </c:pt>
                <c:pt idx="42">
                  <c:v>-6.4185685224799576</c:v>
                </c:pt>
                <c:pt idx="43">
                  <c:v>-6.5630594074916688</c:v>
                </c:pt>
                <c:pt idx="44">
                  <c:v>-6.7107454836931026</c:v>
                </c:pt>
                <c:pt idx="45">
                  <c:v>-6.861693455413163</c:v>
                </c:pt>
                <c:pt idx="46">
                  <c:v>-7.0159711472081998</c:v>
                </c:pt>
                <c:pt idx="47">
                  <c:v>-7.1736475032947817</c:v>
                </c:pt>
                <c:pt idx="48">
                  <c:v>-7.3347925853274143</c:v>
                </c:pt>
                <c:pt idx="49">
                  <c:v>-7.4994775683860073</c:v>
                </c:pt>
                <c:pt idx="50">
                  <c:v>-7.6677747350344374</c:v>
                </c:pt>
                <c:pt idx="51">
                  <c:v>-7.8397574672991643</c:v>
                </c:pt>
                <c:pt idx="52">
                  <c:v>-8.0155002364134837</c:v>
                </c:pt>
                <c:pt idx="53">
                  <c:v>-8.1950785901613674</c:v>
                </c:pt>
                <c:pt idx="54">
                  <c:v>-8.3785691376461084</c:v>
                </c:pt>
                <c:pt idx="55">
                  <c:v>-8.5660495313043601</c:v>
                </c:pt>
                <c:pt idx="56">
                  <c:v>-8.7575984459704443</c:v>
                </c:pt>
                <c:pt idx="57">
                  <c:v>-8.9532955547923212</c:v>
                </c:pt>
                <c:pt idx="58">
                  <c:v>-9.1532215017898668</c:v>
                </c:pt>
                <c:pt idx="59">
                  <c:v>-9.357457870833624</c:v>
                </c:pt>
                <c:pt idx="60">
                  <c:v>-9.5660871508188929</c:v>
                </c:pt>
                <c:pt idx="61">
                  <c:v>-9.7791926967929914</c:v>
                </c:pt>
                <c:pt idx="62">
                  <c:v>-9.9968586867922955</c:v>
                </c:pt>
                <c:pt idx="63">
                  <c:v>-10.219170074130417</c:v>
                </c:pt>
                <c:pt idx="64">
                  <c:v>-10.446212534871096</c:v>
                </c:pt>
                <c:pt idx="65">
                  <c:v>-10.678072410216606</c:v>
                </c:pt>
                <c:pt idx="66">
                  <c:v>-10.914836643522838</c:v>
                </c:pt>
                <c:pt idx="67">
                  <c:v>-11.156592711658766</c:v>
                </c:pt>
                <c:pt idx="68">
                  <c:v>-11.403428550408492</c:v>
                </c:pt>
                <c:pt idx="69">
                  <c:v>-11.655432473616322</c:v>
                </c:pt>
                <c:pt idx="70">
                  <c:v>-11.912693085767387</c:v>
                </c:pt>
                <c:pt idx="71">
                  <c:v>-12.175299187692508</c:v>
                </c:pt>
                <c:pt idx="72">
                  <c:v>-12.443339675082585</c:v>
                </c:pt>
                <c:pt idx="73">
                  <c:v>-12.716903429500286</c:v>
                </c:pt>
                <c:pt idx="74">
                  <c:v>-12.996079201574355</c:v>
                </c:pt>
                <c:pt idx="75">
                  <c:v>-13.280955486064975</c:v>
                </c:pt>
                <c:pt idx="76">
                  <c:v>-13.57162038849717</c:v>
                </c:pt>
                <c:pt idx="77">
                  <c:v>-13.868161483061556</c:v>
                </c:pt>
                <c:pt idx="78">
                  <c:v>-14.170665661498846</c:v>
                </c:pt>
                <c:pt idx="79">
                  <c:v>-14.479218972691083</c:v>
                </c:pt>
                <c:pt idx="80">
                  <c:v>-14.793906452706969</c:v>
                </c:pt>
                <c:pt idx="81">
                  <c:v>-15.114811945062948</c:v>
                </c:pt>
                <c:pt idx="82">
                  <c:v>-15.442017910991659</c:v>
                </c:pt>
                <c:pt idx="83">
                  <c:v>-15.77560522953674</c:v>
                </c:pt>
                <c:pt idx="84">
                  <c:v>-16.115652987327831</c:v>
                </c:pt>
                <c:pt idx="85">
                  <c:v>-16.462238257926607</c:v>
                </c:pt>
                <c:pt idx="86">
                  <c:v>-16.815435870684791</c:v>
                </c:pt>
                <c:pt idx="87">
                  <c:v>-17.175318169100073</c:v>
                </c:pt>
                <c:pt idx="88">
                  <c:v>-17.541954758714585</c:v>
                </c:pt>
                <c:pt idx="89">
                  <c:v>-17.915412244666463</c:v>
                </c:pt>
                <c:pt idx="90">
                  <c:v>-18.295753959067028</c:v>
                </c:pt>
                <c:pt idx="91">
                  <c:v>-18.683039678462876</c:v>
                </c:pt>
                <c:pt idx="92">
                  <c:v>-19.077325331711247</c:v>
                </c:pt>
                <c:pt idx="93">
                  <c:v>-19.478662698703975</c:v>
                </c:pt>
                <c:pt idx="94">
                  <c:v>-19.887099100454964</c:v>
                </c:pt>
                <c:pt idx="95">
                  <c:v>-20.302677081180573</c:v>
                </c:pt>
                <c:pt idx="96">
                  <c:v>-20.725434083109707</c:v>
                </c:pt>
                <c:pt idx="97">
                  <c:v>-21.155402114874196</c:v>
                </c:pt>
                <c:pt idx="98">
                  <c:v>-21.592607414452431</c:v>
                </c:pt>
                <c:pt idx="99">
                  <c:v>-22.037070107769853</c:v>
                </c:pt>
                <c:pt idx="100">
                  <c:v>-22.488803864182824</c:v>
                </c:pt>
                <c:pt idx="101">
                  <c:v>-22.947815550217889</c:v>
                </c:pt>
                <c:pt idx="102">
                  <c:v>-23.414104883060499</c:v>
                </c:pt>
                <c:pt idx="103">
                  <c:v>-23.88766408544226</c:v>
                </c:pt>
                <c:pt idx="104">
                  <c:v>-24.368477543692915</c:v>
                </c:pt>
                <c:pt idx="105">
                  <c:v>-24.856521470877453</c:v>
                </c:pt>
                <c:pt idx="106">
                  <c:v>-25.351763577048899</c:v>
                </c:pt>
                <c:pt idx="107">
                  <c:v>-25.85416274879158</c:v>
                </c:pt>
                <c:pt idx="108">
                  <c:v>-26.363668740330002</c:v>
                </c:pt>
                <c:pt idx="109">
                  <c:v>-26.880221878588021</c:v>
                </c:pt>
                <c:pt idx="110">
                  <c:v>-27.403752784680215</c:v>
                </c:pt>
                <c:pt idx="111">
                  <c:v>-27.934182114383646</c:v>
                </c:pt>
                <c:pt idx="112">
                  <c:v>-28.471420320207702</c:v>
                </c:pt>
                <c:pt idx="113">
                  <c:v>-29.015367437701595</c:v>
                </c:pt>
                <c:pt idx="114">
                  <c:v>-29.56591289866881</c:v>
                </c:pt>
                <c:pt idx="115">
                  <c:v>-30.122935373934965</c:v>
                </c:pt>
                <c:pt idx="116">
                  <c:v>-30.686302648275408</c:v>
                </c:pt>
                <c:pt idx="117">
                  <c:v>-31.255871530044409</c:v>
                </c:pt>
                <c:pt idx="118">
                  <c:v>-31.831487797939971</c:v>
                </c:pt>
                <c:pt idx="119">
                  <c:v>-32.412986187205249</c:v>
                </c:pt>
                <c:pt idx="120">
                  <c:v>-33.00019041739364</c:v>
                </c:pt>
                <c:pt idx="121">
                  <c:v>-33.59291326362932</c:v>
                </c:pt>
                <c:pt idx="122">
                  <c:v>-34.190956673044994</c:v>
                </c:pt>
                <c:pt idx="123">
                  <c:v>-34.794111927812594</c:v>
                </c:pt>
                <c:pt idx="124">
                  <c:v>-35.402159855878864</c:v>
                </c:pt>
                <c:pt idx="125">
                  <c:v>-36.014871090178467</c:v>
                </c:pt>
                <c:pt idx="126">
                  <c:v>-36.632006376736378</c:v>
                </c:pt>
                <c:pt idx="127">
                  <c:v>-37.253316931687039</c:v>
                </c:pt>
                <c:pt idx="128">
                  <c:v>-37.878544846827566</c:v>
                </c:pt>
                <c:pt idx="129">
                  <c:v>-38.507423542902352</c:v>
                </c:pt>
                <c:pt idx="130">
                  <c:v>-39.139678269387225</c:v>
                </c:pt>
                <c:pt idx="131">
                  <c:v>-39.775026649097541</c:v>
                </c:pt>
                <c:pt idx="132">
                  <c:v>-40.4131792655228</c:v>
                </c:pt>
                <c:pt idx="133">
                  <c:v>-41.053840290352142</c:v>
                </c:pt>
                <c:pt idx="134">
                  <c:v>-41.696708148254096</c:v>
                </c:pt>
                <c:pt idx="135">
                  <c:v>-42.341476215578453</c:v>
                </c:pt>
                <c:pt idx="136">
                  <c:v>-42.987833549292233</c:v>
                </c:pt>
                <c:pt idx="137">
                  <c:v>-43.635465642127407</c:v>
                </c:pt>
                <c:pt idx="138">
                  <c:v>-44.284055199635894</c:v>
                </c:pt>
                <c:pt idx="139">
                  <c:v>-44.933282934600165</c:v>
                </c:pt>
                <c:pt idx="140">
                  <c:v>-45.582828374056831</c:v>
                </c:pt>
                <c:pt idx="141">
                  <c:v>-46.232370674040411</c:v>
                </c:pt>
                <c:pt idx="142">
                  <c:v>-46.881589437078006</c:v>
                </c:pt>
                <c:pt idx="143">
                  <c:v>-47.530165527424785</c:v>
                </c:pt>
                <c:pt idx="144">
                  <c:v>-48.177781879065876</c:v>
                </c:pt>
                <c:pt idx="145">
                  <c:v>-48.824124291576659</c:v>
                </c:pt>
                <c:pt idx="146">
                  <c:v>-49.468882209094659</c:v>
                </c:pt>
                <c:pt idx="147">
                  <c:v>-50.111749477830536</c:v>
                </c:pt>
                <c:pt idx="148">
                  <c:v>-50.75242507778195</c:v>
                </c:pt>
                <c:pt idx="149">
                  <c:v>-51.390613824615095</c:v>
                </c:pt>
                <c:pt idx="150">
                  <c:v>-52.026027037993785</c:v>
                </c:pt>
                <c:pt idx="151">
                  <c:v>-52.658383172981594</c:v>
                </c:pt>
                <c:pt idx="152">
                  <c:v>-53.287408411566091</c:v>
                </c:pt>
                <c:pt idx="153">
                  <c:v>-53.9128372117178</c:v>
                </c:pt>
                <c:pt idx="154">
                  <c:v>-54.534412811856406</c:v>
                </c:pt>
                <c:pt idx="155">
                  <c:v>-55.151887689018658</c:v>
                </c:pt>
                <c:pt idx="156">
                  <c:v>-55.765023969445956</c:v>
                </c:pt>
                <c:pt idx="157">
                  <c:v>-56.373593790765128</c:v>
                </c:pt>
                <c:pt idx="158">
                  <c:v>-56.97737961534235</c:v>
                </c:pt>
                <c:pt idx="159">
                  <c:v>-57.576174494797371</c:v>
                </c:pt>
                <c:pt idx="160">
                  <c:v>-58.169782286070713</c:v>
                </c:pt>
                <c:pt idx="161">
                  <c:v>-58.75801781977249</c:v>
                </c:pt>
                <c:pt idx="162">
                  <c:v>-59.340707021916991</c:v>
                </c:pt>
                <c:pt idx="163">
                  <c:v>-59.917686990411291</c:v>
                </c:pt>
                <c:pt idx="164">
                  <c:v>-60.488806027981845</c:v>
                </c:pt>
                <c:pt idx="165">
                  <c:v>-61.053923633434316</c:v>
                </c:pt>
                <c:pt idx="166">
                  <c:v>-61.612910453368023</c:v>
                </c:pt>
                <c:pt idx="167">
                  <c:v>-62.165648196631693</c:v>
                </c:pt>
                <c:pt idx="168">
                  <c:v>-62.71202951394266</c:v>
                </c:pt>
                <c:pt idx="169">
                  <c:v>-63.251957845204402</c:v>
                </c:pt>
                <c:pt idx="170">
                  <c:v>-63.785347237127041</c:v>
                </c:pt>
                <c:pt idx="171">
                  <c:v>-64.312122133796166</c:v>
                </c:pt>
                <c:pt idx="172">
                  <c:v>-64.832217142849657</c:v>
                </c:pt>
                <c:pt idx="173">
                  <c:v>-65.345576779922752</c:v>
                </c:pt>
                <c:pt idx="174">
                  <c:v>-65.852155193962602</c:v>
                </c:pt>
                <c:pt idx="175">
                  <c:v>-66.351915875984034</c:v>
                </c:pt>
                <c:pt idx="176">
                  <c:v>-66.84483135374515</c:v>
                </c:pt>
                <c:pt idx="177">
                  <c:v>-67.33088287473673</c:v>
                </c:pt>
                <c:pt idx="178">
                  <c:v>-67.810060079779547</c:v>
                </c:pt>
                <c:pt idx="179">
                  <c:v>-68.282360669398983</c:v>
                </c:pt>
                <c:pt idx="180">
                  <c:v>-68.747790065035772</c:v>
                </c:pt>
                <c:pt idx="181">
                  <c:v>-69.206361067007151</c:v>
                </c:pt>
                <c:pt idx="182">
                  <c:v>-69.658093511013604</c:v>
                </c:pt>
                <c:pt idx="183">
                  <c:v>-70.103013924834542</c:v>
                </c:pt>
                <c:pt idx="184">
                  <c:v>-70.541155186734812</c:v>
                </c:pt>
                <c:pt idx="185">
                  <c:v>-70.972556186951863</c:v>
                </c:pt>
                <c:pt idx="186">
                  <c:v>-71.397261493510058</c:v>
                </c:pt>
                <c:pt idx="187">
                  <c:v>-71.815321023472251</c:v>
                </c:pt>
                <c:pt idx="188">
                  <c:v>-72.226789720611777</c:v>
                </c:pt>
                <c:pt idx="189">
                  <c:v>-72.631727240367269</c:v>
                </c:pt>
                <c:pt idx="190">
                  <c:v>-73.030197642825541</c:v>
                </c:pt>
                <c:pt idx="191">
                  <c:v>-73.422269094363088</c:v>
                </c:pt>
                <c:pt idx="192">
                  <c:v>-73.808013578486396</c:v>
                </c:pt>
                <c:pt idx="193">
                  <c:v>-74.187506616290335</c:v>
                </c:pt>
                <c:pt idx="194">
                  <c:v>-74.560826996888267</c:v>
                </c:pt>
                <c:pt idx="195">
                  <c:v>-74.928056518068914</c:v>
                </c:pt>
                <c:pt idx="196">
                  <c:v>-75.289279737356466</c:v>
                </c:pt>
                <c:pt idx="197">
                  <c:v>-75.644583733598324</c:v>
                </c:pt>
                <c:pt idx="198">
                  <c:v>-75.994057879113484</c:v>
                </c:pt>
                <c:pt idx="199">
                  <c:v>-76.337793622402273</c:v>
                </c:pt>
                <c:pt idx="200">
                  <c:v>-76.675884281354939</c:v>
                </c:pt>
                <c:pt idx="201">
                  <c:v>-77.008424846849721</c:v>
                </c:pt>
                <c:pt idx="202">
                  <c:v>-77.335511796596677</c:v>
                </c:pt>
                <c:pt idx="203">
                  <c:v>-77.657242919045999</c:v>
                </c:pt>
                <c:pt idx="204">
                  <c:v>-77.973717147148534</c:v>
                </c:pt>
                <c:pt idx="205">
                  <c:v>-78.285034401731437</c:v>
                </c:pt>
                <c:pt idx="206">
                  <c:v>-78.591295444228493</c:v>
                </c:pt>
                <c:pt idx="207">
                  <c:v>-78.892601738492246</c:v>
                </c:pt>
                <c:pt idx="208">
                  <c:v>-79.189055321392118</c:v>
                </c:pt>
                <c:pt idx="209">
                  <c:v>-79.480758681897996</c:v>
                </c:pt>
                <c:pt idx="210">
                  <c:v>-79.767814648338685</c:v>
                </c:pt>
                <c:pt idx="211">
                  <c:v>-80.050326283516981</c:v>
                </c:pt>
                <c:pt idx="212">
                  <c:v>-80.328396787360035</c:v>
                </c:pt>
                <c:pt idx="213">
                  <c:v>-80.602129406784627</c:v>
                </c:pt>
                <c:pt idx="214">
                  <c:v>-80.871627352451341</c:v>
                </c:pt>
                <c:pt idx="215">
                  <c:v>-81.136993722092257</c:v>
                </c:pt>
                <c:pt idx="216">
                  <c:v>-81.398331430086202</c:v>
                </c:pt>
                <c:pt idx="217">
                  <c:v>-81.655743142975567</c:v>
                </c:pt>
                <c:pt idx="218">
                  <c:v>-81.909331220610753</c:v>
                </c:pt>
                <c:pt idx="219">
                  <c:v>-82.159197662620471</c:v>
                </c:pt>
                <c:pt idx="220">
                  <c:v>-82.405444059911488</c:v>
                </c:pt>
                <c:pt idx="221">
                  <c:v>-82.648171550906895</c:v>
                </c:pt>
                <c:pt idx="222">
                  <c:v>-82.887480782242108</c:v>
                </c:pt>
                <c:pt idx="223">
                  <c:v>-83.12347187364152</c:v>
                </c:pt>
                <c:pt idx="224">
                  <c:v>-83.356244386710117</c:v>
                </c:pt>
                <c:pt idx="225">
                  <c:v>-83.585897297379972</c:v>
                </c:pt>
                <c:pt idx="226">
                  <c:v>-83.812528971760528</c:v>
                </c:pt>
                <c:pt idx="227">
                  <c:v>-84.036237145148817</c:v>
                </c:pt>
                <c:pt idx="228">
                  <c:v>-84.257118903962237</c:v>
                </c:pt>
                <c:pt idx="229">
                  <c:v>-84.475270670368289</c:v>
                </c:pt>
                <c:pt idx="230">
                  <c:v>-84.690788189385799</c:v>
                </c:pt>
                <c:pt idx="231">
                  <c:v>-84.903766518246613</c:v>
                </c:pt>
                <c:pt idx="232">
                  <c:v>-85.114300017808148</c:v>
                </c:pt>
                <c:pt idx="233">
                  <c:v>-85.322482345815629</c:v>
                </c:pt>
                <c:pt idx="234">
                  <c:v>-85.52840645181881</c:v>
                </c:pt>
                <c:pt idx="235">
                  <c:v>-85.732164573552282</c:v>
                </c:pt>
                <c:pt idx="236">
                  <c:v>-85.933848234596439</c:v>
                </c:pt>
                <c:pt idx="237">
                  <c:v>-86.133548243136204</c:v>
                </c:pt>
                <c:pt idx="238">
                  <c:v>-86.331354691644535</c:v>
                </c:pt>
                <c:pt idx="239">
                  <c:v>-86.527356957316798</c:v>
                </c:pt>
                <c:pt idx="240">
                  <c:v>-86.721643703087935</c:v>
                </c:pt>
                <c:pt idx="241">
                  <c:v>-86.914302879068728</c:v>
                </c:pt>
                <c:pt idx="242">
                  <c:v>-87.105421724234517</c:v>
                </c:pt>
                <c:pt idx="243">
                  <c:v>-87.295086768207895</c:v>
                </c:pt>
                <c:pt idx="244">
                  <c:v>-87.483383832977211</c:v>
                </c:pt>
                <c:pt idx="245">
                  <c:v>-87.670398034388427</c:v>
                </c:pt>
                <c:pt idx="246">
                  <c:v>-87.856213783256521</c:v>
                </c:pt>
                <c:pt idx="247">
                  <c:v>-88.040914785937886</c:v>
                </c:pt>
                <c:pt idx="248">
                  <c:v>-88.224584044205557</c:v>
                </c:pt>
                <c:pt idx="249">
                  <c:v>-88.407303854269813</c:v>
                </c:pt>
                <c:pt idx="250">
                  <c:v>-88.589155804785804</c:v>
                </c:pt>
                <c:pt idx="251">
                  <c:v>-88.770220773683803</c:v>
                </c:pt>
                <c:pt idx="252">
                  <c:v>-88.950578923668061</c:v>
                </c:pt>
                <c:pt idx="253">
                  <c:v>-89.130309696206268</c:v>
                </c:pt>
                <c:pt idx="254">
                  <c:v>-89.309491803858734</c:v>
                </c:pt>
                <c:pt idx="255">
                  <c:v>-89.488203220761719</c:v>
                </c:pt>
                <c:pt idx="256">
                  <c:v>-89.666521171103142</c:v>
                </c:pt>
                <c:pt idx="257">
                  <c:v>-89.844522115408225</c:v>
                </c:pt>
                <c:pt idx="258">
                  <c:v>-90.022281734457181</c:v>
                </c:pt>
                <c:pt idx="259">
                  <c:v>-90.19987491064829</c:v>
                </c:pt>
                <c:pt idx="260">
                  <c:v>-90.377375706620924</c:v>
                </c:pt>
                <c:pt idx="261">
                  <c:v>-90.554857340946086</c:v>
                </c:pt>
                <c:pt idx="262">
                  <c:v>-90.732392160685706</c:v>
                </c:pt>
                <c:pt idx="263">
                  <c:v>-90.910051610620769</c:v>
                </c:pt>
                <c:pt idx="264">
                  <c:v>-91.087906198948431</c:v>
                </c:pt>
                <c:pt idx="265">
                  <c:v>-91.266025459229681</c:v>
                </c:pt>
                <c:pt idx="266">
                  <c:v>-91.444477908387555</c:v>
                </c:pt>
                <c:pt idx="267">
                  <c:v>-91.623331000528779</c:v>
                </c:pt>
                <c:pt idx="268">
                  <c:v>-91.802651076379092</c:v>
                </c:pt>
                <c:pt idx="269">
                  <c:v>-91.982503308108775</c:v>
                </c:pt>
                <c:pt idx="270">
                  <c:v>-92.162951639323069</c:v>
                </c:pt>
                <c:pt idx="271">
                  <c:v>-92.344058720000959</c:v>
                </c:pt>
                <c:pt idx="272">
                  <c:v>-92.525885836153662</c:v>
                </c:pt>
                <c:pt idx="273">
                  <c:v>-92.708492833984081</c:v>
                </c:pt>
                <c:pt idx="274">
                  <c:v>-92.891938038330906</c:v>
                </c:pt>
                <c:pt idx="275">
                  <c:v>-93.076278165176149</c:v>
                </c:pt>
                <c:pt idx="276">
                  <c:v>-93.261568228017282</c:v>
                </c:pt>
                <c:pt idx="277">
                  <c:v>-93.447861437893309</c:v>
                </c:pt>
                <c:pt idx="278">
                  <c:v>-93.635209096883372</c:v>
                </c:pt>
                <c:pt idx="279">
                  <c:v>-93.823660484895157</c:v>
                </c:pt>
                <c:pt idx="280">
                  <c:v>-94.013262739579588</c:v>
                </c:pt>
                <c:pt idx="281">
                  <c:v>-94.204060729233376</c:v>
                </c:pt>
                <c:pt idx="282">
                  <c:v>-94.396096918560986</c:v>
                </c:pt>
                <c:pt idx="283">
                  <c:v>-94.589411227200756</c:v>
                </c:pt>
                <c:pt idx="284">
                  <c:v>-94.784040880948751</c:v>
                </c:pt>
                <c:pt idx="285">
                  <c:v>-94.980020255639815</c:v>
                </c:pt>
                <c:pt idx="286">
                  <c:v>-95.177380713697801</c:v>
                </c:pt>
                <c:pt idx="287">
                  <c:v>-95.376150433386428</c:v>
                </c:pt>
                <c:pt idx="288">
                  <c:v>-95.576354230869271</c:v>
                </c:pt>
                <c:pt idx="289">
                  <c:v>-95.778013375212254</c:v>
                </c:pt>
                <c:pt idx="290">
                  <c:v>-95.981145396541194</c:v>
                </c:pt>
                <c:pt idx="291">
                  <c:v>-96.185763887619785</c:v>
                </c:pt>
                <c:pt idx="292">
                  <c:v>-96.39187829919193</c:v>
                </c:pt>
                <c:pt idx="293">
                  <c:v>-96.599493729503735</c:v>
                </c:pt>
                <c:pt idx="294">
                  <c:v>-96.808610708508496</c:v>
                </c:pt>
                <c:pt idx="295">
                  <c:v>-97.019224977343725</c:v>
                </c:pt>
                <c:pt idx="296">
                  <c:v>-97.231327263772215</c:v>
                </c:pt>
                <c:pt idx="297">
                  <c:v>-97.444903054375118</c:v>
                </c:pt>
                <c:pt idx="298">
                  <c:v>-97.659932364394763</c:v>
                </c:pt>
                <c:pt idx="299">
                  <c:v>-97.876389506249225</c:v>
                </c:pt>
                <c:pt idx="300">
                  <c:v>-98.094242857844506</c:v>
                </c:pt>
                <c:pt idx="301">
                  <c:v>-98.313454631948744</c:v>
                </c:pt>
                <c:pt idx="302">
                  <c:v>-98.533980648011607</c:v>
                </c:pt>
                <c:pt idx="303">
                  <c:v>-98.755770107953026</c:v>
                </c:pt>
                <c:pt idx="304">
                  <c:v>-98.978765377564088</c:v>
                </c:pt>
                <c:pt idx="305">
                  <c:v>-99.202901775316505</c:v>
                </c:pt>
                <c:pt idx="306">
                  <c:v>-99.428107370485506</c:v>
                </c:pt>
                <c:pt idx="307">
                  <c:v>-99.654302792647343</c:v>
                </c:pt>
                <c:pt idx="308">
                  <c:v>-99.88140105471021</c:v>
                </c:pt>
                <c:pt idx="309">
                  <c:v>-100.10930739178001</c:v>
                </c:pt>
                <c:pt idx="310">
                  <c:v>-100.33791911825476</c:v>
                </c:pt>
                <c:pt idx="311">
                  <c:v>-100.56712550564968</c:v>
                </c:pt>
                <c:pt idx="312">
                  <c:v>-100.79680768372835</c:v>
                </c:pt>
                <c:pt idx="313">
                  <c:v>-101.02683856759435</c:v>
                </c:pt>
                <c:pt idx="314">
                  <c:v>-101.2570828134326</c:v>
                </c:pt>
                <c:pt idx="315">
                  <c:v>-101.48739680561978</c:v>
                </c:pt>
                <c:pt idx="316">
                  <c:v>-101.71762867792289</c:v>
                </c:pt>
                <c:pt idx="317">
                  <c:v>-101.94761837146876</c:v>
                </c:pt>
                <c:pt idx="318">
                  <c:v>-102.17719773211137</c:v>
                </c:pt>
                <c:pt idx="319">
                  <c:v>-102.40619064972705</c:v>
                </c:pt>
                <c:pt idx="320">
                  <c:v>-102.6344132418354</c:v>
                </c:pt>
                <c:pt idx="321">
                  <c:v>-102.86167408377315</c:v>
                </c:pt>
                <c:pt idx="322">
                  <c:v>-103.08777448744236</c:v>
                </c:pt>
                <c:pt idx="323">
                  <c:v>-103.31250883040461</c:v>
                </c:pt>
                <c:pt idx="324">
                  <c:v>-103.53566493679068</c:v>
                </c:pt>
                <c:pt idx="325">
                  <c:v>-103.75702451118384</c:v>
                </c:pt>
                <c:pt idx="326">
                  <c:v>-103.97636362623648</c:v>
                </c:pt>
                <c:pt idx="327">
                  <c:v>-104.19345326439054</c:v>
                </c:pt>
                <c:pt idx="328">
                  <c:v>-104.40805991360698</c:v>
                </c:pt>
                <c:pt idx="329">
                  <c:v>-104.61994621653909</c:v>
                </c:pt>
                <c:pt idx="330">
                  <c:v>-104.82887167206594</c:v>
                </c:pt>
                <c:pt idx="331">
                  <c:v>-105.03459338757357</c:v>
                </c:pt>
                <c:pt idx="332">
                  <c:v>-105.23686687981041</c:v>
                </c:pt>
                <c:pt idx="333">
                  <c:v>-105.43544692158372</c:v>
                </c:pt>
                <c:pt idx="334">
                  <c:v>-105.63008843098902</c:v>
                </c:pt>
                <c:pt idx="335">
                  <c:v>-105.82054739929636</c:v>
                </c:pt>
                <c:pt idx="336">
                  <c:v>-106.00658185305845</c:v>
                </c:pt>
                <c:pt idx="337">
                  <c:v>-106.18795284547099</c:v>
                </c:pt>
                <c:pt idx="338">
                  <c:v>-106.36442547149942</c:v>
                </c:pt>
                <c:pt idx="339">
                  <c:v>-106.53576990081567</c:v>
                </c:pt>
                <c:pt idx="340">
                  <c:v>-106.70176242216139</c:v>
                </c:pt>
                <c:pt idx="341">
                  <c:v>-106.86218649237692</c:v>
                </c:pt>
                <c:pt idx="342">
                  <c:v>-107.01683378302272</c:v>
                </c:pt>
                <c:pt idx="343">
                  <c:v>-107.1655052172764</c:v>
                </c:pt>
                <c:pt idx="344">
                  <c:v>-107.30801198961937</c:v>
                </c:pt>
                <c:pt idx="345">
                  <c:v>-107.44417656073492</c:v>
                </c:pt>
                <c:pt idx="346">
                  <c:v>-107.57383362003645</c:v>
                </c:pt>
                <c:pt idx="347">
                  <c:v>-107.69683100832573</c:v>
                </c:pt>
                <c:pt idx="348">
                  <c:v>-107.81303059325434</c:v>
                </c:pt>
                <c:pt idx="349">
                  <c:v>-107.92230909051253</c:v>
                </c:pt>
                <c:pt idx="350">
                  <c:v>-108.02455882402873</c:v>
                </c:pt>
                <c:pt idx="351">
                  <c:v>-108.11968841888557</c:v>
                </c:pt>
                <c:pt idx="352">
                  <c:v>-108.20762342117247</c:v>
                </c:pt>
                <c:pt idx="353">
                  <c:v>-108.28830683958913</c:v>
                </c:pt>
                <c:pt idx="354">
                  <c:v>-108.36169960426037</c:v>
                </c:pt>
                <c:pt idx="355">
                  <c:v>-108.4277809389486</c:v>
                </c:pt>
                <c:pt idx="356">
                  <c:v>-108.48654864361718</c:v>
                </c:pt>
                <c:pt idx="357">
                  <c:v>-108.53801928510183</c:v>
                </c:pt>
                <c:pt idx="358">
                  <c:v>-108.58222829450069</c:v>
                </c:pt>
                <c:pt idx="359">
                  <c:v>-108.61922997074642</c:v>
                </c:pt>
                <c:pt idx="360">
                  <c:v>-108.64909739069844</c:v>
                </c:pt>
                <c:pt idx="361">
                  <c:v>-108.67192222696335</c:v>
                </c:pt>
                <c:pt idx="362">
                  <c:v>-108.6878144754989</c:v>
                </c:pt>
                <c:pt idx="363">
                  <c:v>-108.69690209589666</c:v>
                </c:pt>
                <c:pt idx="364">
                  <c:v>-108.69933056801902</c:v>
                </c:pt>
                <c:pt idx="365">
                  <c:v>-108.69526236941941</c:v>
                </c:pt>
                <c:pt idx="366">
                  <c:v>-108.68487637866274</c:v>
                </c:pt>
                <c:pt idx="367">
                  <c:v>-108.66836721028882</c:v>
                </c:pt>
                <c:pt idx="368">
                  <c:v>-108.64594448771628</c:v>
                </c:pt>
                <c:pt idx="369">
                  <c:v>-108.61783206086481</c:v>
                </c:pt>
                <c:pt idx="370">
                  <c:v>-108.58426717566418</c:v>
                </c:pt>
                <c:pt idx="371">
                  <c:v>-108.54549960293416</c:v>
                </c:pt>
                <c:pt idx="372">
                  <c:v>-108.50179073434397</c:v>
                </c:pt>
                <c:pt idx="373">
                  <c:v>-108.4534126532898</c:v>
                </c:pt>
                <c:pt idx="374">
                  <c:v>-108.40064718858686</c:v>
                </c:pt>
                <c:pt idx="375">
                  <c:v>-108.3437849588374</c:v>
                </c:pt>
                <c:pt idx="376">
                  <c:v>-108.28312441522118</c:v>
                </c:pt>
                <c:pt idx="377">
                  <c:v>-108.21897089027156</c:v>
                </c:pt>
                <c:pt idx="378">
                  <c:v>-108.15163565993548</c:v>
                </c:pt>
                <c:pt idx="379">
                  <c:v>-108.08143502591246</c:v>
                </c:pt>
                <c:pt idx="380">
                  <c:v>-108.00868942487668</c:v>
                </c:pt>
                <c:pt idx="381">
                  <c:v>-107.93372257078759</c:v>
                </c:pt>
                <c:pt idx="382">
                  <c:v>-107.85686063602481</c:v>
                </c:pt>
                <c:pt idx="383">
                  <c:v>-107.77843147661</c:v>
                </c:pt>
                <c:pt idx="384">
                  <c:v>-107.69876390627951</c:v>
                </c:pt>
                <c:pt idx="385">
                  <c:v>-107.61818702365187</c:v>
                </c:pt>
                <c:pt idx="386">
                  <c:v>-107.53702959623897</c:v>
                </c:pt>
                <c:pt idx="387">
                  <c:v>-107.45561950453867</c:v>
                </c:pt>
                <c:pt idx="388">
                  <c:v>-107.3742832489675</c:v>
                </c:pt>
                <c:pt idx="389">
                  <c:v>-107.29334552192411</c:v>
                </c:pt>
                <c:pt idx="390">
                  <c:v>-107.21312884686208</c:v>
                </c:pt>
                <c:pt idx="391">
                  <c:v>-107.13395328583599</c:v>
                </c:pt>
                <c:pt idx="392">
                  <c:v>-107.05613621665904</c:v>
                </c:pt>
                <c:pt idx="393">
                  <c:v>-106.97999218049061</c:v>
                </c:pt>
                <c:pt idx="394">
                  <c:v>-106.90583280044446</c:v>
                </c:pt>
                <c:pt idx="395">
                  <c:v>-106.83396677159514</c:v>
                </c:pt>
                <c:pt idx="396">
                  <c:v>-106.76469992264786</c:v>
                </c:pt>
                <c:pt idx="397">
                  <c:v>-106.69833534945579</c:v>
                </c:pt>
                <c:pt idx="398">
                  <c:v>-106.63517362056831</c:v>
                </c:pt>
                <c:pt idx="399">
                  <c:v>-106.57551305505257</c:v>
                </c:pt>
                <c:pt idx="400">
                  <c:v>-106.51965007296897</c:v>
                </c:pt>
                <c:pt idx="401">
                  <c:v>-106.46787961907323</c:v>
                </c:pt>
                <c:pt idx="402">
                  <c:v>-106.42049566060801</c:v>
                </c:pt>
                <c:pt idx="403">
                  <c:v>-106.37779176038939</c:v>
                </c:pt>
                <c:pt idx="404">
                  <c:v>-106.34006172683564</c:v>
                </c:pt>
                <c:pt idx="405">
                  <c:v>-106.30760034310495</c:v>
                </c:pt>
                <c:pt idx="406">
                  <c:v>-106.28070417811655</c:v>
                </c:pt>
                <c:pt idx="407">
                  <c:v>-106.25967248294096</c:v>
                </c:pt>
                <c:pt idx="408">
                  <c:v>-106.24480817686432</c:v>
                </c:pt>
                <c:pt idx="409">
                  <c:v>-106.23641892835415</c:v>
                </c:pt>
                <c:pt idx="410">
                  <c:v>-106.23481833722515</c:v>
                </c:pt>
                <c:pt idx="411">
                  <c:v>-106.24032722550207</c:v>
                </c:pt>
                <c:pt idx="412">
                  <c:v>-106.25327504585911</c:v>
                </c:pt>
                <c:pt idx="413">
                  <c:v>-106.27400141805533</c:v>
                </c:pt>
                <c:pt idx="414">
                  <c:v>-106.30285780558039</c:v>
                </c:pt>
                <c:pt idx="415">
                  <c:v>-106.34020934671859</c:v>
                </c:pt>
                <c:pt idx="416">
                  <c:v>-106.38643685656641</c:v>
                </c:pt>
                <c:pt idx="417">
                  <c:v>-106.44193901916057</c:v>
                </c:pt>
                <c:pt idx="418">
                  <c:v>-106.50713479190368</c:v>
                </c:pt>
                <c:pt idx="419">
                  <c:v>-106.58246604795943</c:v>
                </c:pt>
                <c:pt idx="420">
                  <c:v>-106.66840048629558</c:v>
                </c:pt>
                <c:pt idx="421">
                  <c:v>-106.76543484370728</c:v>
                </c:pt>
                <c:pt idx="422">
                  <c:v>-106.87409844852995</c:v>
                </c:pt>
                <c:pt idx="423">
                  <c:v>-106.99495716203465</c:v>
                </c:pt>
                <c:pt idx="424">
                  <c:v>-107.12861776078599</c:v>
                </c:pt>
                <c:pt idx="425">
                  <c:v>-107.27573282182462</c:v>
                </c:pt>
                <c:pt idx="426">
                  <c:v>-107.43700618253108</c:v>
                </c:pt>
                <c:pt idx="427">
                  <c:v>-107.61319905883941</c:v>
                </c:pt>
                <c:pt idx="428">
                  <c:v>-107.80513691934431</c:v>
                </c:pt>
                <c:pt idx="429">
                  <c:v>-108.0137172292561</c:v>
                </c:pt>
                <c:pt idx="430">
                  <c:v>-108.23991819758439</c:v>
                </c:pt>
                <c:pt idx="431">
                  <c:v>-108.48480868396287</c:v>
                </c:pt>
                <c:pt idx="432">
                  <c:v>-108.74955944892021</c:v>
                </c:pt>
                <c:pt idx="433">
                  <c:v>-109.03545596401429</c:v>
                </c:pt>
                <c:pt idx="434">
                  <c:v>-109.34391303712739</c:v>
                </c:pt>
                <c:pt idx="435">
                  <c:v>-109.67649155466918</c:v>
                </c:pt>
                <c:pt idx="436">
                  <c:v>-110.03491769792583</c:v>
                </c:pt>
                <c:pt idx="437">
                  <c:v>-110.42110505714871</c:v>
                </c:pt>
                <c:pt idx="438">
                  <c:v>-110.83718014629986</c:v>
                </c:pt>
                <c:pt idx="439">
                  <c:v>-111.28551191608786</c:v>
                </c:pt>
                <c:pt idx="440">
                  <c:v>-111.76874597579747</c:v>
                </c:pt>
                <c:pt idx="441">
                  <c:v>-112.28984436843395</c:v>
                </c:pt>
                <c:pt idx="442">
                  <c:v>-112.85213190192898</c:v>
                </c:pt>
                <c:pt idx="443">
                  <c:v>-113.45935022437295</c:v>
                </c:pt>
                <c:pt idx="444">
                  <c:v>-114.1157210452623</c:v>
                </c:pt>
                <c:pt idx="445">
                  <c:v>-114.82602014727888</c:v>
                </c:pt>
                <c:pt idx="446">
                  <c:v>-115.59566409959959</c:v>
                </c:pt>
                <c:pt idx="447">
                  <c:v>-116.43081186202674</c:v>
                </c:pt>
                <c:pt idx="448">
                  <c:v>-117.33848373363321</c:v>
                </c:pt>
                <c:pt idx="449">
                  <c:v>-118.32670030152488</c:v>
                </c:pt>
                <c:pt idx="450">
                  <c:v>-119.40464409770908</c:v>
                </c:pt>
                <c:pt idx="451">
                  <c:v>-120.58284642465651</c:v>
                </c:pt>
                <c:pt idx="452">
                  <c:v>-121.87340101061602</c:v>
                </c:pt>
                <c:pt idx="453">
                  <c:v>-123.29020438945213</c:v>
                </c:pt>
                <c:pt idx="454">
                  <c:v>-124.84921950034136</c:v>
                </c:pt>
                <c:pt idx="455">
                  <c:v>-126.56875292555624</c:v>
                </c:pt>
                <c:pt idx="456">
                  <c:v>-128.46972584455364</c:v>
                </c:pt>
                <c:pt idx="457">
                  <c:v>-130.57590188461893</c:v>
                </c:pt>
                <c:pt idx="458">
                  <c:v>-132.91400851256634</c:v>
                </c:pt>
                <c:pt idx="459">
                  <c:v>-135.51364885652373</c:v>
                </c:pt>
                <c:pt idx="460">
                  <c:v>-138.40684500451863</c:v>
                </c:pt>
                <c:pt idx="461">
                  <c:v>-141.62698298096905</c:v>
                </c:pt>
                <c:pt idx="462">
                  <c:v>-145.20685565579433</c:v>
                </c:pt>
                <c:pt idx="463">
                  <c:v>-149.17545734349079</c:v>
                </c:pt>
                <c:pt idx="464">
                  <c:v>-153.55324462256027</c:v>
                </c:pt>
                <c:pt idx="465">
                  <c:v>-158.34585552140328</c:v>
                </c:pt>
                <c:pt idx="466">
                  <c:v>-163.53689083200149</c:v>
                </c:pt>
                <c:pt idx="467">
                  <c:v>-169.08130313884735</c:v>
                </c:pt>
                <c:pt idx="468">
                  <c:v>-174.90188519830548</c:v>
                </c:pt>
                <c:pt idx="469">
                  <c:v>-180.89155830389842</c:v>
                </c:pt>
                <c:pt idx="470">
                  <c:v>-186.92284396003603</c:v>
                </c:pt>
                <c:pt idx="471">
                  <c:v>-192.86311004919654</c:v>
                </c:pt>
                <c:pt idx="472">
                  <c:v>-198.59137941927131</c:v>
                </c:pt>
                <c:pt idx="473">
                  <c:v>-204.01166389278555</c:v>
                </c:pt>
                <c:pt idx="474">
                  <c:v>-209.05958479520004</c:v>
                </c:pt>
                <c:pt idx="475">
                  <c:v>-213.70208808874366</c:v>
                </c:pt>
                <c:pt idx="476">
                  <c:v>-217.93236803146044</c:v>
                </c:pt>
                <c:pt idx="477">
                  <c:v>-221.76276366006937</c:v>
                </c:pt>
                <c:pt idx="478">
                  <c:v>-225.21778433665398</c:v>
                </c:pt>
                <c:pt idx="479">
                  <c:v>-228.32840912153844</c:v>
                </c:pt>
                <c:pt idx="480">
                  <c:v>-231.12797717506234</c:v>
                </c:pt>
                <c:pt idx="481">
                  <c:v>-233.64951720036515</c:v>
                </c:pt>
                <c:pt idx="482">
                  <c:v>-235.9241875983306</c:v>
                </c:pt>
                <c:pt idx="483">
                  <c:v>-237.98049053951985</c:v>
                </c:pt>
                <c:pt idx="484">
                  <c:v>-239.84398430381384</c:v>
                </c:pt>
                <c:pt idx="485">
                  <c:v>-241.53729350677946</c:v>
                </c:pt>
                <c:pt idx="486">
                  <c:v>-243.08028235450087</c:v>
                </c:pt>
                <c:pt idx="487">
                  <c:v>-244.49030534985687</c:v>
                </c:pt>
                <c:pt idx="488">
                  <c:v>-245.78248397156364</c:v>
                </c:pt>
                <c:pt idx="489">
                  <c:v>-246.96998015600343</c:v>
                </c:pt>
                <c:pt idx="490">
                  <c:v>-248.06425138984392</c:v>
                </c:pt>
                <c:pt idx="491">
                  <c:v>-249.07528064331694</c:v>
                </c:pt>
                <c:pt idx="492">
                  <c:v>-250.0117792361882</c:v>
                </c:pt>
                <c:pt idx="493">
                  <c:v>-250.88136338114211</c:v>
                </c:pt>
                <c:pt idx="494">
                  <c:v>-251.69070646981811</c:v>
                </c:pt>
                <c:pt idx="495">
                  <c:v>-252.44566970889315</c:v>
                </c:pt>
                <c:pt idx="496">
                  <c:v>-253.15141381898837</c:v>
                </c:pt>
                <c:pt idx="497">
                  <c:v>-253.81249438386095</c:v>
                </c:pt>
                <c:pt idx="498">
                  <c:v>-254.43294320287561</c:v>
                </c:pt>
                <c:pt idx="499">
                  <c:v>-255.01633772557994</c:v>
                </c:pt>
                <c:pt idx="500">
                  <c:v>-255.37148578801398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22-463D-81A0-68F554CF810C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97.333228474908154</c:v>
                </c:pt>
                <c:pt idx="1">
                  <c:v>97.096930119566977</c:v>
                </c:pt>
                <c:pt idx="2">
                  <c:v>96.863937389979213</c:v>
                </c:pt>
                <c:pt idx="3">
                  <c:v>96.634150932162242</c:v>
                </c:pt>
                <c:pt idx="4">
                  <c:v>96.407471942058919</c:v>
                </c:pt>
                <c:pt idx="5">
                  <c:v>96.183802184262731</c:v>
                </c:pt>
                <c:pt idx="6">
                  <c:v>95.963044007382138</c:v>
                </c:pt>
                <c:pt idx="7">
                  <c:v>95.74510035625859</c:v>
                </c:pt>
                <c:pt idx="8">
                  <c:v>95.529874781242214</c:v>
                </c:pt>
                <c:pt idx="9">
                  <c:v>95.317271444721555</c:v>
                </c:pt>
                <c:pt idx="10">
                  <c:v>95.107195125095629</c:v>
                </c:pt>
                <c:pt idx="11">
                  <c:v>94.89955121836843</c:v>
                </c:pt>
                <c:pt idx="12">
                  <c:v>94.694245737538282</c:v>
                </c:pt>
                <c:pt idx="13">
                  <c:v>94.491185309947625</c:v>
                </c:pt>
                <c:pt idx="14">
                  <c:v>94.290277172751033</c:v>
                </c:pt>
                <c:pt idx="15">
                  <c:v>94.091429166652333</c:v>
                </c:pt>
                <c:pt idx="16">
                  <c:v>93.894549728057484</c:v>
                </c:pt>
                <c:pt idx="17">
                  <c:v>93.699547879780496</c:v>
                </c:pt>
                <c:pt idx="18">
                  <c:v>93.506333220436147</c:v>
                </c:pt>
                <c:pt idx="19">
                  <c:v>93.314815912649465</c:v>
                </c:pt>
                <c:pt idx="20">
                  <c:v>93.124906670201781</c:v>
                </c:pt>
                <c:pt idx="21">
                  <c:v>92.936516744235348</c:v>
                </c:pt>
                <c:pt idx="22">
                  <c:v>92.749557908629015</c:v>
                </c:pt>
                <c:pt idx="23">
                  <c:v>92.563942444656561</c:v>
                </c:pt>
                <c:pt idx="24">
                  <c:v>92.379583125034713</c:v>
                </c:pt>
                <c:pt idx="25">
                  <c:v>92.196393197465312</c:v>
                </c:pt>
                <c:pt idx="26">
                  <c:v>92.014286367773664</c:v>
                </c:pt>
                <c:pt idx="27">
                  <c:v>91.833176782742072</c:v>
                </c:pt>
                <c:pt idx="28">
                  <c:v>91.652979012736367</c:v>
                </c:pt>
                <c:pt idx="29">
                  <c:v>91.473608034221684</c:v>
                </c:pt>
                <c:pt idx="30">
                  <c:v>91.294979212262149</c:v>
                </c:pt>
                <c:pt idx="31">
                  <c:v>91.117008283099111</c:v>
                </c:pt>
                <c:pt idx="32">
                  <c:v>90.939611336901635</c:v>
                </c:pt>
                <c:pt idx="33">
                  <c:v>90.762704800782799</c:v>
                </c:pt>
                <c:pt idx="34">
                  <c:v>90.586205422176448</c:v>
                </c:pt>
                <c:pt idx="35">
                  <c:v>90.410030252669387</c:v>
                </c:pt>
                <c:pt idx="36">
                  <c:v>90.234096632384706</c:v>
                </c:pt>
                <c:pt idx="37">
                  <c:v>90.058322175014325</c:v>
                </c:pt>
                <c:pt idx="38">
                  <c:v>89.882624753600012</c:v>
                </c:pt>
                <c:pt idx="39">
                  <c:v>89.706922487163922</c:v>
                </c:pt>
                <c:pt idx="40">
                  <c:v>89.531133728294563</c:v>
                </c:pt>
                <c:pt idx="41">
                  <c:v>89.355177051793106</c:v>
                </c:pt>
                <c:pt idx="42">
                  <c:v>89.178971244492772</c:v>
                </c:pt>
                <c:pt idx="43">
                  <c:v>89.002435296364311</c:v>
                </c:pt>
                <c:pt idx="44">
                  <c:v>88.825488393026376</c:v>
                </c:pt>
                <c:pt idx="45">
                  <c:v>88.648049909783467</c:v>
                </c:pt>
                <c:pt idx="46">
                  <c:v>88.470039407318382</c:v>
                </c:pt>
                <c:pt idx="47">
                  <c:v>88.291376629173641</c:v>
                </c:pt>
                <c:pt idx="48">
                  <c:v>88.111981501157842</c:v>
                </c:pt>
                <c:pt idx="49">
                  <c:v>87.931774132822639</c:v>
                </c:pt>
                <c:pt idx="50">
                  <c:v>87.750674821159123</c:v>
                </c:pt>
                <c:pt idx="51">
                  <c:v>87.568604056672143</c:v>
                </c:pt>
                <c:pt idx="52">
                  <c:v>87.385482531993688</c:v>
                </c:pt>
                <c:pt idx="53">
                  <c:v>87.201231153207203</c:v>
                </c:pt>
                <c:pt idx="54">
                  <c:v>87.015771054061005</c:v>
                </c:pt>
                <c:pt idx="55">
                  <c:v>86.829023613253682</c:v>
                </c:pt>
                <c:pt idx="56">
                  <c:v>86.64091047498745</c:v>
                </c:pt>
                <c:pt idx="57">
                  <c:v>86.451353572989049</c:v>
                </c:pt>
                <c:pt idx="58">
                  <c:v>86.260275158205729</c:v>
                </c:pt>
                <c:pt idx="59">
                  <c:v>86.067597830396778</c:v>
                </c:pt>
                <c:pt idx="60">
                  <c:v>85.873244573841475</c:v>
                </c:pt>
                <c:pt idx="61">
                  <c:v>85.677138797401071</c:v>
                </c:pt>
                <c:pt idx="62">
                  <c:v>85.479204379172614</c:v>
                </c:pt>
                <c:pt idx="63">
                  <c:v>85.279365715984781</c:v>
                </c:pt>
                <c:pt idx="64">
                  <c:v>85.077547777994155</c:v>
                </c:pt>
                <c:pt idx="65">
                  <c:v>84.873676168640444</c:v>
                </c:pt>
                <c:pt idx="66">
                  <c:v>84.667677190238464</c:v>
                </c:pt>
                <c:pt idx="67">
                  <c:v>84.45947791547475</c:v>
                </c:pt>
                <c:pt idx="68">
                  <c:v>84.249006265097208</c:v>
                </c:pt>
                <c:pt idx="69">
                  <c:v>84.03619109208006</c:v>
                </c:pt>
                <c:pt idx="70">
                  <c:v>83.820962272553572</c:v>
                </c:pt>
                <c:pt idx="71">
                  <c:v>83.603250803790203</c:v>
                </c:pt>
                <c:pt idx="72">
                  <c:v>83.382988909539847</c:v>
                </c:pt>
                <c:pt idx="73">
                  <c:v>83.16011015300262</c:v>
                </c:pt>
                <c:pt idx="74">
                  <c:v>82.934549557728104</c:v>
                </c:pt>
                <c:pt idx="75">
                  <c:v>82.706243736724502</c:v>
                </c:pt>
                <c:pt idx="76">
                  <c:v>82.475131030050022</c:v>
                </c:pt>
                <c:pt idx="77">
                  <c:v>82.241151651154922</c:v>
                </c:pt>
                <c:pt idx="78">
                  <c:v>82.004247842221716</c:v>
                </c:pt>
                <c:pt idx="79">
                  <c:v>81.764364038743196</c:v>
                </c:pt>
                <c:pt idx="80">
                  <c:v>81.521447043549017</c:v>
                </c:pt>
                <c:pt idx="81">
                  <c:v>81.275446210475636</c:v>
                </c:pt>
                <c:pt idx="82">
                  <c:v>81.026313637840815</c:v>
                </c:pt>
                <c:pt idx="83">
                  <c:v>80.774004371852683</c:v>
                </c:pt>
                <c:pt idx="84">
                  <c:v>80.518476620045618</c:v>
                </c:pt>
                <c:pt idx="85">
                  <c:v>80.259691974793384</c:v>
                </c:pt>
                <c:pt idx="86">
                  <c:v>79.997615646897842</c:v>
                </c:pt>
                <c:pt idx="87">
                  <c:v>79.732216709199662</c:v>
                </c:pt>
                <c:pt idx="88">
                  <c:v>79.463468350096917</c:v>
                </c:pt>
                <c:pt idx="89">
                  <c:v>79.191348136785052</c:v>
                </c:pt>
                <c:pt idx="90">
                  <c:v>78.915838287965485</c:v>
                </c:pt>
                <c:pt idx="91">
                  <c:v>78.636925955679288</c:v>
                </c:pt>
                <c:pt idx="92">
                  <c:v>78.354603515844829</c:v>
                </c:pt>
                <c:pt idx="93">
                  <c:v>78.068868866969879</c:v>
                </c:pt>
                <c:pt idx="94">
                  <c:v>77.779725736419337</c:v>
                </c:pt>
                <c:pt idx="95">
                  <c:v>77.487183993501347</c:v>
                </c:pt>
                <c:pt idx="96">
                  <c:v>77.191259968519802</c:v>
                </c:pt>
                <c:pt idx="97">
                  <c:v>76.891976776820783</c:v>
                </c:pt>
                <c:pt idx="98">
                  <c:v>76.589364646731426</c:v>
                </c:pt>
                <c:pt idx="99">
                  <c:v>76.28346125015139</c:v>
                </c:pt>
                <c:pt idx="100">
                  <c:v>75.974312034425793</c:v>
                </c:pt>
                <c:pt idx="101">
                  <c:v>75.661970553978051</c:v>
                </c:pt>
                <c:pt idx="102">
                  <c:v>75.346498800046064</c:v>
                </c:pt>
                <c:pt idx="103">
                  <c:v>75.027967526707243</c:v>
                </c:pt>
                <c:pt idx="104">
                  <c:v>74.706456571247415</c:v>
                </c:pt>
                <c:pt idx="105">
                  <c:v>74.382055166769376</c:v>
                </c:pt>
                <c:pt idx="106">
                  <c:v>74.054862244814572</c:v>
                </c:pt>
                <c:pt idx="107">
                  <c:v>73.724986725620496</c:v>
                </c:pt>
                <c:pt idx="108">
                  <c:v>73.392547793525338</c:v>
                </c:pt>
                <c:pt idx="109">
                  <c:v>73.057675154913184</c:v>
                </c:pt>
                <c:pt idx="110">
                  <c:v>72.720509275985847</c:v>
                </c:pt>
                <c:pt idx="111">
                  <c:v>72.381201597572442</c:v>
                </c:pt>
                <c:pt idx="112">
                  <c:v>72.039914724108797</c:v>
                </c:pt>
                <c:pt idx="113">
                  <c:v>71.696822583887752</c:v>
                </c:pt>
                <c:pt idx="114">
                  <c:v>71.352110557642447</c:v>
                </c:pt>
                <c:pt idx="115">
                  <c:v>71.005975572540351</c:v>
                </c:pt>
                <c:pt idx="116">
                  <c:v>70.658626158696023</c:v>
                </c:pt>
                <c:pt idx="117">
                  <c:v>70.310282465369482</c:v>
                </c:pt>
                <c:pt idx="118">
                  <c:v>69.961176234116024</c:v>
                </c:pt>
                <c:pt idx="119">
                  <c:v>69.611550726282431</c:v>
                </c:pt>
                <c:pt idx="120">
                  <c:v>69.261660602413244</c:v>
                </c:pt>
                <c:pt idx="121">
                  <c:v>68.91177175131935</c:v>
                </c:pt>
                <c:pt idx="122">
                  <c:v>68.562161066813957</c:v>
                </c:pt>
                <c:pt idx="123">
                  <c:v>68.213116170381269</c:v>
                </c:pt>
                <c:pt idx="124">
                  <c:v>67.864935078351067</c:v>
                </c:pt>
                <c:pt idx="125">
                  <c:v>67.517925812493758</c:v>
                </c:pt>
                <c:pt idx="126">
                  <c:v>67.17240595331549</c:v>
                </c:pt>
                <c:pt idx="127">
                  <c:v>66.828702135728179</c:v>
                </c:pt>
                <c:pt idx="128">
                  <c:v>66.487149487185761</c:v>
                </c:pt>
                <c:pt idx="129">
                  <c:v>66.148091008815612</c:v>
                </c:pt>
                <c:pt idx="130">
                  <c:v>65.811876900519621</c:v>
                </c:pt>
                <c:pt idx="131">
                  <c:v>65.478863831481618</c:v>
                </c:pt>
                <c:pt idx="132">
                  <c:v>65.149414157969872</c:v>
                </c:pt>
                <c:pt idx="133">
                  <c:v>64.823895090785967</c:v>
                </c:pt>
                <c:pt idx="134">
                  <c:v>64.502677815149752</c:v>
                </c:pt>
                <c:pt idx="135">
                  <c:v>64.186136566246759</c:v>
                </c:pt>
                <c:pt idx="136">
                  <c:v>63.874647664059069</c:v>
                </c:pt>
                <c:pt idx="137">
                  <c:v>63.568588511493566</c:v>
                </c:pt>
                <c:pt idx="138">
                  <c:v>63.268336560155198</c:v>
                </c:pt>
                <c:pt idx="139">
                  <c:v>62.974268248424586</c:v>
                </c:pt>
                <c:pt idx="140">
                  <c:v>62.686757916759788</c:v>
                </c:pt>
                <c:pt idx="141">
                  <c:v>62.406176705370129</c:v>
                </c:pt>
                <c:pt idx="142">
                  <c:v>62.13289143956672</c:v>
                </c:pt>
                <c:pt idx="143">
                  <c:v>61.867263508228376</c:v>
                </c:pt>
                <c:pt idx="144">
                  <c:v>61.609647740879907</c:v>
                </c:pt>
                <c:pt idx="145">
                  <c:v>61.360391288919764</c:v>
                </c:pt>
                <c:pt idx="146">
                  <c:v>61.119832516479832</c:v>
                </c:pt>
                <c:pt idx="147">
                  <c:v>60.88829990634563</c:v>
                </c:pt>
                <c:pt idx="148">
                  <c:v>60.666110986248142</c:v>
                </c:pt>
                <c:pt idx="149">
                  <c:v>60.453571280663745</c:v>
                </c:pt>
                <c:pt idx="150">
                  <c:v>60.250973293079596</c:v>
                </c:pt>
                <c:pt idx="151">
                  <c:v>60.058595523463445</c:v>
                </c:pt>
                <c:pt idx="152">
                  <c:v>59.876701525394822</c:v>
                </c:pt>
                <c:pt idx="153">
                  <c:v>59.7055390070892</c:v>
                </c:pt>
                <c:pt idx="154">
                  <c:v>59.54533898021608</c:v>
                </c:pt>
                <c:pt idx="155">
                  <c:v>59.39631496013596</c:v>
                </c:pt>
                <c:pt idx="156">
                  <c:v>59.258662220874847</c:v>
                </c:pt>
                <c:pt idx="157">
                  <c:v>59.132557107834671</c:v>
                </c:pt>
                <c:pt idx="158">
                  <c:v>59.018156410938552</c:v>
                </c:pt>
                <c:pt idx="159">
                  <c:v>58.915596800611425</c:v>
                </c:pt>
                <c:pt idx="160">
                  <c:v>58.824994328682337</c:v>
                </c:pt>
                <c:pt idx="161">
                  <c:v>58.746443996030166</c:v>
                </c:pt>
                <c:pt idx="162">
                  <c:v>58.680019388482769</c:v>
                </c:pt>
                <c:pt idx="163">
                  <c:v>58.625772382244129</c:v>
                </c:pt>
                <c:pt idx="164">
                  <c:v>58.583732919827604</c:v>
                </c:pt>
                <c:pt idx="165">
                  <c:v>58.553908857243052</c:v>
                </c:pt>
                <c:pt idx="166">
                  <c:v>58.536285882923146</c:v>
                </c:pt>
                <c:pt idx="167">
                  <c:v>58.530827508633337</c:v>
                </c:pt>
                <c:pt idx="168">
                  <c:v>58.537475132370737</c:v>
                </c:pt>
                <c:pt idx="169">
                  <c:v>58.556148173013099</c:v>
                </c:pt>
                <c:pt idx="170">
                  <c:v>58.586744276229197</c:v>
                </c:pt>
                <c:pt idx="171">
                  <c:v>58.629139590923629</c:v>
                </c:pt>
                <c:pt idx="172">
                  <c:v>58.683189115232054</c:v>
                </c:pt>
                <c:pt idx="173">
                  <c:v>58.748727110804651</c:v>
                </c:pt>
                <c:pt idx="174">
                  <c:v>58.825567583875639</c:v>
                </c:pt>
                <c:pt idx="175">
                  <c:v>58.913504831303598</c:v>
                </c:pt>
                <c:pt idx="176">
                  <c:v>59.012314049503317</c:v>
                </c:pt>
                <c:pt idx="177">
                  <c:v>59.121752003879919</c:v>
                </c:pt>
                <c:pt idx="178">
                  <c:v>59.241557756074386</c:v>
                </c:pt>
                <c:pt idx="179">
                  <c:v>59.371453446030884</c:v>
                </c:pt>
                <c:pt idx="180">
                  <c:v>59.511145125572554</c:v>
                </c:pt>
                <c:pt idx="181">
                  <c:v>59.660323639882733</c:v>
                </c:pt>
                <c:pt idx="182">
                  <c:v>59.818665552976867</c:v>
                </c:pt>
                <c:pt idx="183">
                  <c:v>59.985834112969386</c:v>
                </c:pt>
                <c:pt idx="184">
                  <c:v>60.161480252659288</c:v>
                </c:pt>
                <c:pt idx="185">
                  <c:v>60.345243620717952</c:v>
                </c:pt>
                <c:pt idx="186">
                  <c:v>60.536753638524772</c:v>
                </c:pt>
                <c:pt idx="187">
                  <c:v>60.735630577508488</c:v>
                </c:pt>
                <c:pt idx="188">
                  <c:v>60.941486651692799</c:v>
                </c:pt>
                <c:pt idx="189">
                  <c:v>61.153927120019347</c:v>
                </c:pt>
                <c:pt idx="190">
                  <c:v>61.372551392950996</c:v>
                </c:pt>
                <c:pt idx="191">
                  <c:v>61.59695413782984</c:v>
                </c:pt>
                <c:pt idx="192">
                  <c:v>61.826726377466713</c:v>
                </c:pt>
                <c:pt idx="193">
                  <c:v>62.061456576537665</c:v>
                </c:pt>
                <c:pt idx="194">
                  <c:v>62.300731710447195</c:v>
                </c:pt>
                <c:pt idx="195">
                  <c:v>62.544138311513208</c:v>
                </c:pt>
                <c:pt idx="196">
                  <c:v>62.791263487534778</c:v>
                </c:pt>
                <c:pt idx="197">
                  <c:v>63.041695908057164</c:v>
                </c:pt>
                <c:pt idx="198">
                  <c:v>63.295026753976515</c:v>
                </c:pt>
                <c:pt idx="199">
                  <c:v>63.550850626448238</c:v>
                </c:pt>
                <c:pt idx="200">
                  <c:v>63.80876641144809</c:v>
                </c:pt>
                <c:pt idx="201">
                  <c:v>64.06837809674596</c:v>
                </c:pt>
                <c:pt idx="202">
                  <c:v>64.329295538471115</c:v>
                </c:pt>
                <c:pt idx="203">
                  <c:v>64.591135174901197</c:v>
                </c:pt>
                <c:pt idx="204">
                  <c:v>64.85352068555153</c:v>
                </c:pt>
                <c:pt idx="205">
                  <c:v>65.116083594114613</c:v>
                </c:pt>
                <c:pt idx="206">
                  <c:v>65.37846381424616</c:v>
                </c:pt>
                <c:pt idx="207">
                  <c:v>65.640310137649024</c:v>
                </c:pt>
                <c:pt idx="208">
                  <c:v>65.901280664339964</c:v>
                </c:pt>
                <c:pt idx="209">
                  <c:v>66.161043175409915</c:v>
                </c:pt>
                <c:pt idx="210">
                  <c:v>66.419275448974304</c:v>
                </c:pt>
                <c:pt idx="211">
                  <c:v>66.67566552038808</c:v>
                </c:pt>
                <c:pt idx="212">
                  <c:v>66.929911888139983</c:v>
                </c:pt>
                <c:pt idx="213">
                  <c:v>67.181723667139352</c:v>
                </c:pt>
                <c:pt idx="214">
                  <c:v>67.430820691399234</c:v>
                </c:pt>
                <c:pt idx="215">
                  <c:v>67.676933568338683</c:v>
                </c:pt>
                <c:pt idx="216">
                  <c:v>67.919803687153333</c:v>
                </c:pt>
                <c:pt idx="217">
                  <c:v>68.15918318384557</c:v>
                </c:pt>
                <c:pt idx="218">
                  <c:v>68.394834865661309</c:v>
                </c:pt>
                <c:pt idx="219">
                  <c:v>68.626532097762777</c:v>
                </c:pt>
                <c:pt idx="220">
                  <c:v>68.854058655040248</c:v>
                </c:pt>
                <c:pt idx="221">
                  <c:v>69.077208541999809</c:v>
                </c:pt>
                <c:pt idx="222">
                  <c:v>69.295785783666844</c:v>
                </c:pt>
                <c:pt idx="223">
                  <c:v>69.509604190430949</c:v>
                </c:pt>
                <c:pt idx="224">
                  <c:v>69.718487099711254</c:v>
                </c:pt>
                <c:pt idx="225">
                  <c:v>69.922267097258327</c:v>
                </c:pt>
                <c:pt idx="226">
                  <c:v>70.120785720820791</c:v>
                </c:pt>
                <c:pt idx="227">
                  <c:v>70.313893148817783</c:v>
                </c:pt>
                <c:pt idx="228">
                  <c:v>70.50144787653295</c:v>
                </c:pt>
                <c:pt idx="229">
                  <c:v>70.683316382233713</c:v>
                </c:pt>
                <c:pt idx="230">
                  <c:v>70.859372785483103</c:v>
                </c:pt>
                <c:pt idx="231">
                  <c:v>71.029498499779294</c:v>
                </c:pt>
                <c:pt idx="232">
                  <c:v>71.193581881511648</c:v>
                </c:pt>
                <c:pt idx="233">
                  <c:v>71.351517877086721</c:v>
                </c:pt>
                <c:pt idx="234">
                  <c:v>71.503207669928841</c:v>
                </c:pt>
                <c:pt idx="235">
                  <c:v>71.648558328922334</c:v>
                </c:pt>
                <c:pt idx="236">
                  <c:v>71.787482459719172</c:v>
                </c:pt>
                <c:pt idx="237">
                  <c:v>71.919897860209261</c:v>
                </c:pt>
                <c:pt idx="238">
                  <c:v>72.045727181305963</c:v>
                </c:pt>
                <c:pt idx="239">
                  <c:v>72.164897594089538</c:v>
                </c:pt>
                <c:pt idx="240">
                  <c:v>72.277340464222036</c:v>
                </c:pt>
                <c:pt idx="241">
                  <c:v>72.38299103443687</c:v>
                </c:pt>
                <c:pt idx="242">
                  <c:v>72.481788115806538</c:v>
                </c:pt>
                <c:pt idx="243">
                  <c:v>72.573673788385904</c:v>
                </c:pt>
                <c:pt idx="244">
                  <c:v>72.658593111741538</c:v>
                </c:pt>
                <c:pt idx="245">
                  <c:v>72.736493845796929</c:v>
                </c:pt>
                <c:pt idx="246">
                  <c:v>72.807326182342649</c:v>
                </c:pt>
                <c:pt idx="247">
                  <c:v>72.871042487493654</c:v>
                </c:pt>
                <c:pt idx="248">
                  <c:v>72.927597055317619</c:v>
                </c:pt>
                <c:pt idx="249">
                  <c:v>72.976945872795639</c:v>
                </c:pt>
                <c:pt idx="250">
                  <c:v>73.019046396238451</c:v>
                </c:pt>
                <c:pt idx="251">
                  <c:v>73.053857339230689</c:v>
                </c:pt>
                <c:pt idx="252">
                  <c:v>73.081338472142633</c:v>
                </c:pt>
                <c:pt idx="253">
                  <c:v>73.101450433224841</c:v>
                </c:pt>
                <c:pt idx="254">
                  <c:v>73.114154551259944</c:v>
                </c:pt>
                <c:pt idx="255">
                  <c:v>73.119412679748237</c:v>
                </c:pt>
                <c:pt idx="256">
                  <c:v>73.117187042565206</c:v>
                </c:pt>
                <c:pt idx="257">
                  <c:v>73.107440091034803</c:v>
                </c:pt>
                <c:pt idx="258">
                  <c:v>73.090134372343982</c:v>
                </c:pt>
                <c:pt idx="259">
                  <c:v>73.065232409229353</c:v>
                </c:pt>
                <c:pt idx="260">
                  <c:v>73.032696590855451</c:v>
                </c:pt>
                <c:pt idx="261">
                  <c:v>72.992489074812624</c:v>
                </c:pt>
                <c:pt idx="262">
                  <c:v>72.944571700169163</c:v>
                </c:pt>
                <c:pt idx="263">
                  <c:v>72.888905911512182</c:v>
                </c:pt>
                <c:pt idx="264">
                  <c:v>72.82545269392169</c:v>
                </c:pt>
                <c:pt idx="265">
                  <c:v>72.754172518843362</c:v>
                </c:pt>
                <c:pt idx="266">
                  <c:v>72.675025300815648</c:v>
                </c:pt>
                <c:pt idx="267">
                  <c:v>72.587970365045109</c:v>
                </c:pt>
                <c:pt idx="268">
                  <c:v>72.492966425815652</c:v>
                </c:pt>
                <c:pt idx="269">
                  <c:v>72.389971575740489</c:v>
                </c:pt>
                <c:pt idx="270">
                  <c:v>72.278943285887721</c:v>
                </c:pt>
                <c:pt idx="271">
                  <c:v>72.159838416803922</c:v>
                </c:pt>
                <c:pt idx="272">
                  <c:v>72.032613240497568</c:v>
                </c:pt>
                <c:pt idx="273">
                  <c:v>71.897223473440761</c:v>
                </c:pt>
                <c:pt idx="274">
                  <c:v>71.753624320665537</c:v>
                </c:pt>
                <c:pt idx="275">
                  <c:v>71.601770531048885</c:v>
                </c:pt>
                <c:pt idx="276">
                  <c:v>71.441616463876144</c:v>
                </c:pt>
                <c:pt idx="277">
                  <c:v>71.273116166800335</c:v>
                </c:pt>
                <c:pt idx="278">
                  <c:v>71.096223465301037</c:v>
                </c:pt>
                <c:pt idx="279">
                  <c:v>70.910892063766966</c:v>
                </c:pt>
                <c:pt idx="280">
                  <c:v>70.717075658323367</c:v>
                </c:pt>
                <c:pt idx="281">
                  <c:v>70.514728061514248</c:v>
                </c:pt>
                <c:pt idx="282">
                  <c:v>70.303803338964613</c:v>
                </c:pt>
                <c:pt idx="283">
                  <c:v>70.084255958121545</c:v>
                </c:pt>
                <c:pt idx="284">
                  <c:v>69.85604094917106</c:v>
                </c:pt>
                <c:pt idx="285">
                  <c:v>69.619114078211155</c:v>
                </c:pt>
                <c:pt idx="286">
                  <c:v>69.373432032732921</c:v>
                </c:pt>
                <c:pt idx="287">
                  <c:v>69.118952619451377</c:v>
                </c:pt>
                <c:pt idx="288">
                  <c:v>68.855634974475748</c:v>
                </c:pt>
                <c:pt idx="289">
                  <c:v>68.583439785793132</c:v>
                </c:pt>
                <c:pt idx="290">
                  <c:v>68.302329527980817</c:v>
                </c:pt>
                <c:pt idx="291">
                  <c:v>68.012268709024667</c:v>
                </c:pt>
                <c:pt idx="292">
                  <c:v>67.713224129055831</c:v>
                </c:pt>
                <c:pt idx="293">
                  <c:v>67.405165150764049</c:v>
                </c:pt>
                <c:pt idx="294">
                  <c:v>67.088063981170592</c:v>
                </c:pt>
                <c:pt idx="295">
                  <c:v>66.761895964371803</c:v>
                </c:pt>
                <c:pt idx="296">
                  <c:v>66.426639884772641</c:v>
                </c:pt>
                <c:pt idx="297">
                  <c:v>66.082278280249227</c:v>
                </c:pt>
                <c:pt idx="298">
                  <c:v>65.728797764574097</c:v>
                </c:pt>
                <c:pt idx="299">
                  <c:v>65.366189358329493</c:v>
                </c:pt>
                <c:pt idx="300">
                  <c:v>64.994448827431967</c:v>
                </c:pt>
                <c:pt idx="301">
                  <c:v>64.613577028263464</c:v>
                </c:pt>
                <c:pt idx="302">
                  <c:v>64.223580258289928</c:v>
                </c:pt>
                <c:pt idx="303">
                  <c:v>63.824470610904228</c:v>
                </c:pt>
                <c:pt idx="304">
                  <c:v>63.4162663331212</c:v>
                </c:pt>
                <c:pt idx="305">
                  <c:v>62.998992184587266</c:v>
                </c:pt>
                <c:pt idx="306">
                  <c:v>62.572679796259976</c:v>
                </c:pt>
                <c:pt idx="307">
                  <c:v>62.137368026945808</c:v>
                </c:pt>
                <c:pt idx="308">
                  <c:v>61.693103315777307</c:v>
                </c:pt>
                <c:pt idx="309">
                  <c:v>61.23994002854748</c:v>
                </c:pt>
                <c:pt idx="310">
                  <c:v>60.777940795719573</c:v>
                </c:pt>
                <c:pt idx="311">
                  <c:v>60.307176839783821</c:v>
                </c:pt>
                <c:pt idx="312">
                  <c:v>59.827728289544851</c:v>
                </c:pt>
                <c:pt idx="313">
                  <c:v>59.339684478803377</c:v>
                </c:pt>
                <c:pt idx="314">
                  <c:v>58.843144226827306</c:v>
                </c:pt>
                <c:pt idx="315">
                  <c:v>58.338216097930726</c:v>
                </c:pt>
                <c:pt idx="316">
                  <c:v>57.825018637431</c:v>
                </c:pt>
                <c:pt idx="317">
                  <c:v>57.303680581237842</c:v>
                </c:pt>
                <c:pt idx="318">
                  <c:v>56.774341036315789</c:v>
                </c:pt>
                <c:pt idx="319">
                  <c:v>56.237149629295459</c:v>
                </c:pt>
                <c:pt idx="320">
                  <c:v>55.692266620563146</c:v>
                </c:pt>
                <c:pt idx="321">
                  <c:v>55.139862981244761</c:v>
                </c:pt>
                <c:pt idx="322">
                  <c:v>54.580120430622273</c:v>
                </c:pt>
                <c:pt idx="323">
                  <c:v>54.013231431665375</c:v>
                </c:pt>
                <c:pt idx="324">
                  <c:v>53.439399142570664</c:v>
                </c:pt>
                <c:pt idx="325">
                  <c:v>52.858837322393256</c:v>
                </c:pt>
                <c:pt idx="326">
                  <c:v>52.271770189141947</c:v>
                </c:pt>
                <c:pt idx="327">
                  <c:v>51.678432228981166</c:v>
                </c:pt>
                <c:pt idx="328">
                  <c:v>51.079067955512571</c:v>
                </c:pt>
                <c:pt idx="329">
                  <c:v>50.473931618457328</c:v>
                </c:pt>
                <c:pt idx="330">
                  <c:v>49.863286861439079</c:v>
                </c:pt>
                <c:pt idx="331">
                  <c:v>49.247406328965226</c:v>
                </c:pt>
                <c:pt idx="332">
                  <c:v>48.626571223122653</c:v>
                </c:pt>
                <c:pt idx="333">
                  <c:v>48.001070810931935</c:v>
                </c:pt>
                <c:pt idx="334">
                  <c:v>47.371201883745528</c:v>
                </c:pt>
                <c:pt idx="335">
                  <c:v>46.737268170509864</c:v>
                </c:pt>
                <c:pt idx="336">
                  <c:v>46.099579707150539</c:v>
                </c:pt>
                <c:pt idx="337">
                  <c:v>45.458452164760388</c:v>
                </c:pt>
                <c:pt idx="338">
                  <c:v>44.814206139682327</c:v>
                </c:pt>
                <c:pt idx="339">
                  <c:v>44.167166408955012</c:v>
                </c:pt>
                <c:pt idx="340">
                  <c:v>43.517661154949351</c:v>
                </c:pt>
                <c:pt idx="341">
                  <c:v>42.866021163341642</c:v>
                </c:pt>
                <c:pt idx="342">
                  <c:v>42.212578998845686</c:v>
                </c:pt>
                <c:pt idx="343">
                  <c:v>41.557668163361768</c:v>
                </c:pt>
                <c:pt idx="344">
                  <c:v>40.90162224138281</c:v>
                </c:pt>
                <c:pt idx="345">
                  <c:v>40.244774037633533</c:v>
                </c:pt>
                <c:pt idx="346">
                  <c:v>39.587454711997509</c:v>
                </c:pt>
                <c:pt idx="347">
                  <c:v>38.929992916804892</c:v>
                </c:pt>
                <c:pt idx="348">
                  <c:v>38.272713941530824</c:v>
                </c:pt>
                <c:pt idx="349">
                  <c:v>37.61593886986148</c:v>
                </c:pt>
                <c:pt idx="350">
                  <c:v>36.95998375394808</c:v>
                </c:pt>
                <c:pt idx="351">
                  <c:v>36.305158810477678</c:v>
                </c:pt>
                <c:pt idx="352">
                  <c:v>35.651767642956756</c:v>
                </c:pt>
                <c:pt idx="353">
                  <c:v>35.000106494317123</c:v>
                </c:pt>
                <c:pt idx="354">
                  <c:v>34.350463533637679</c:v>
                </c:pt>
                <c:pt idx="355">
                  <c:v>33.703118180431531</c:v>
                </c:pt>
                <c:pt idx="356">
                  <c:v>33.058340469544859</c:v>
                </c:pt>
                <c:pt idx="357">
                  <c:v>32.416390459346815</c:v>
                </c:pt>
                <c:pt idx="358">
                  <c:v>31.777517685431732</c:v>
                </c:pt>
                <c:pt idx="359">
                  <c:v>31.14196066165546</c:v>
                </c:pt>
                <c:pt idx="360">
                  <c:v>30.50994642987871</c:v>
                </c:pt>
                <c:pt idx="361">
                  <c:v>29.88169015935361</c:v>
                </c:pt>
                <c:pt idx="362">
                  <c:v>29.257394796271313</c:v>
                </c:pt>
                <c:pt idx="363">
                  <c:v>28.637250763555897</c:v>
                </c:pt>
                <c:pt idx="364">
                  <c:v>28.021435710593281</c:v>
                </c:pt>
                <c:pt idx="365">
                  <c:v>27.410114312193642</c:v>
                </c:pt>
                <c:pt idx="366">
                  <c:v>26.803438115720112</c:v>
                </c:pt>
                <c:pt idx="367">
                  <c:v>26.201545434975046</c:v>
                </c:pt>
                <c:pt idx="368">
                  <c:v>25.604561289117854</c:v>
                </c:pt>
                <c:pt idx="369">
                  <c:v>25.012597384602671</c:v>
                </c:pt>
                <c:pt idx="370">
                  <c:v>24.425752137866581</c:v>
                </c:pt>
                <c:pt idx="371">
                  <c:v>23.84411073626832</c:v>
                </c:pt>
                <c:pt idx="372">
                  <c:v>23.267745234576509</c:v>
                </c:pt>
                <c:pt idx="373">
                  <c:v>22.696714684147878</c:v>
                </c:pt>
                <c:pt idx="374">
                  <c:v>22.131065291788801</c:v>
                </c:pt>
                <c:pt idx="375">
                  <c:v>21.570830605181385</c:v>
                </c:pt>
                <c:pt idx="376">
                  <c:v>21.016031721689075</c:v>
                </c:pt>
                <c:pt idx="377">
                  <c:v>20.466677517273254</c:v>
                </c:pt>
                <c:pt idx="378">
                  <c:v>19.922764892252147</c:v>
                </c:pt>
                <c:pt idx="379">
                  <c:v>19.38427903059447</c:v>
                </c:pt>
                <c:pt idx="380">
                  <c:v>18.851193669472579</c:v>
                </c:pt>
                <c:pt idx="381">
                  <c:v>18.32347137581155</c:v>
                </c:pt>
                <c:pt idx="382">
                  <c:v>17.801063826625494</c:v>
                </c:pt>
                <c:pt idx="383">
                  <c:v>17.283912089985961</c:v>
                </c:pt>
                <c:pt idx="384">
                  <c:v>16.771946903523087</c:v>
                </c:pt>
                <c:pt idx="385">
                  <c:v>16.265088947453648</c:v>
                </c:pt>
                <c:pt idx="386">
                  <c:v>15.763249109186148</c:v>
                </c:pt>
                <c:pt idx="387">
                  <c:v>15.266328736648703</c:v>
                </c:pt>
                <c:pt idx="388">
                  <c:v>14.774219877551076</c:v>
                </c:pt>
                <c:pt idx="389">
                  <c:v>14.286805501880892</c:v>
                </c:pt>
                <c:pt idx="390">
                  <c:v>13.803959704979832</c:v>
                </c:pt>
                <c:pt idx="391">
                  <c:v>13.325547888624769</c:v>
                </c:pt>
                <c:pt idx="392">
                  <c:v>12.851426917562875</c:v>
                </c:pt>
                <c:pt idx="393">
                  <c:v>12.381445248994268</c:v>
                </c:pt>
                <c:pt idx="394">
                  <c:v>11.91544303248655</c:v>
                </c:pt>
                <c:pt idx="395">
                  <c:v>11.45325217781523</c:v>
                </c:pt>
                <c:pt idx="396">
                  <c:v>10.994696388163618</c:v>
                </c:pt>
                <c:pt idx="397">
                  <c:v>10.539591156064944</c:v>
                </c:pt>
                <c:pt idx="398">
                  <c:v>10.087743719366443</c:v>
                </c:pt>
                <c:pt idx="399">
                  <c:v>9.6389529743650399</c:v>
                </c:pt>
                <c:pt idx="400">
                  <c:v>9.193009343086942</c:v>
                </c:pt>
                <c:pt idx="401">
                  <c:v>8.7496945914789706</c:v>
                </c:pt>
                <c:pt idx="402">
                  <c:v>8.3087815950021024</c:v>
                </c:pt>
                <c:pt idx="403">
                  <c:v>7.8700340478127373</c:v>
                </c:pt>
                <c:pt idx="404">
                  <c:v>7.4332061113339165</c:v>
                </c:pt>
                <c:pt idx="405">
                  <c:v>6.9980419975738641</c:v>
                </c:pt>
                <c:pt idx="406">
                  <c:v>6.5642754820350575</c:v>
                </c:pt>
                <c:pt idx="407">
                  <c:v>6.1316293404481996</c:v>
                </c:pt>
                <c:pt idx="408">
                  <c:v>5.6998147028667034</c:v>
                </c:pt>
                <c:pt idx="409">
                  <c:v>5.2685303178528216</c:v>
                </c:pt>
                <c:pt idx="410">
                  <c:v>4.8374617185508271</c:v>
                </c:pt>
                <c:pt idx="411">
                  <c:v>4.4062802813754587</c:v>
                </c:pt>
                <c:pt idx="412">
                  <c:v>3.9746421667996827</c:v>
                </c:pt>
                <c:pt idx="413">
                  <c:v>3.5421871303223753</c:v>
                </c:pt>
                <c:pt idx="414">
                  <c:v>3.108537190038021</c:v>
                </c:pt>
                <c:pt idx="415">
                  <c:v>2.6732951353724417</c:v>
                </c:pt>
                <c:pt idx="416">
                  <c:v>2.2360428593498227</c:v>
                </c:pt>
                <c:pt idx="417">
                  <c:v>1.7963394942646431</c:v>
                </c:pt>
                <c:pt idx="418">
                  <c:v>1.353719327717485</c:v>
                </c:pt>
                <c:pt idx="419">
                  <c:v>0.9076894726154876</c:v>
                </c:pt>
                <c:pt idx="420">
                  <c:v>0.45772726082782356</c:v>
                </c:pt>
                <c:pt idx="421">
                  <c:v>3.277325647857765E-3</c:v>
                </c:pt>
                <c:pt idx="422">
                  <c:v>-0.45625166707269216</c:v>
                </c:pt>
                <c:pt idx="423">
                  <c:v>-0.92149068544540569</c:v>
                </c:pt>
                <c:pt idx="424">
                  <c:v>-1.3931144492553074</c:v>
                </c:pt>
                <c:pt idx="425">
                  <c:v>-1.8718460608934748</c:v>
                </c:pt>
                <c:pt idx="426">
                  <c:v>-2.3584622214792574</c:v>
                </c:pt>
                <c:pt idx="427">
                  <c:v>-2.8537991158809604</c:v>
                </c:pt>
                <c:pt idx="428">
                  <c:v>-3.3587590641666765</c:v>
                </c:pt>
                <c:pt idx="429">
                  <c:v>-3.8743180533760722</c:v>
                </c:pt>
                <c:pt idx="430">
                  <c:v>-4.4015342828844268</c:v>
                </c:pt>
                <c:pt idx="431">
                  <c:v>-4.9415578796252362</c:v>
                </c:pt>
                <c:pt idx="432">
                  <c:v>-5.4956419667932295</c:v>
                </c:pt>
                <c:pt idx="433">
                  <c:v>-6.0651553022337765</c:v>
                </c:pt>
                <c:pt idx="434">
                  <c:v>-6.6515967415811019</c:v>
                </c:pt>
                <c:pt idx="435">
                  <c:v>-7.2566118276328808</c:v>
                </c:pt>
                <c:pt idx="436">
                  <c:v>-7.8820118629273423</c:v>
                </c:pt>
                <c:pt idx="437">
                  <c:v>-8.5297958888273797</c:v>
                </c:pt>
                <c:pt idx="438">
                  <c:v>-9.2021760737291203</c:v>
                </c:pt>
                <c:pt idx="439">
                  <c:v>-9.9016071077247858</c:v>
                </c:pt>
                <c:pt idx="440">
                  <c:v>-10.630820313909609</c:v>
                </c:pt>
                <c:pt idx="441">
                  <c:v>-11.3928633205404</c:v>
                </c:pt>
                <c:pt idx="442">
                  <c:v>-12.191146296477513</c:v>
                </c:pt>
                <c:pt idx="443">
                  <c:v>-13.029495937559517</c:v>
                </c:pt>
                <c:pt idx="444">
                  <c:v>-13.912218605590184</c:v>
                </c:pt>
                <c:pt idx="445">
                  <c:v>-14.844174264142723</c:v>
                </c:pt>
                <c:pt idx="446">
                  <c:v>-15.830863121881023</c:v>
                </c:pt>
                <c:pt idx="447">
                  <c:v>-16.878527172387876</c:v>
                </c:pt>
                <c:pt idx="448">
                  <c:v>-17.994269083906303</c:v>
                </c:pt>
                <c:pt idx="449">
                  <c:v>-19.186191094312775</c:v>
                </c:pt>
                <c:pt idx="450">
                  <c:v>-20.463556619037533</c:v>
                </c:pt>
                <c:pt idx="451">
                  <c:v>-21.836977032252548</c:v>
                </c:pt>
                <c:pt idx="452">
                  <c:v>-23.318625282130654</c:v>
                </c:pt>
                <c:pt idx="453">
                  <c:v>-24.922476234696603</c:v>
                </c:pt>
                <c:pt idx="454">
                  <c:v>-26.664570241368949</c:v>
                </c:pt>
                <c:pt idx="455">
                  <c:v>-28.563290348190861</c:v>
                </c:pt>
                <c:pt idx="456">
                  <c:v>-30.63963322474801</c:v>
                </c:pt>
                <c:pt idx="457">
                  <c:v>-32.917436992814217</c:v>
                </c:pt>
                <c:pt idx="458">
                  <c:v>-35.423502599023564</c:v>
                </c:pt>
                <c:pt idx="459">
                  <c:v>-38.187505620405986</c:v>
                </c:pt>
                <c:pt idx="460">
                  <c:v>-41.241539549319953</c:v>
                </c:pt>
                <c:pt idx="461">
                  <c:v>-44.61906075871137</c:v>
                </c:pt>
                <c:pt idx="462">
                  <c:v>-48.352931402249041</c:v>
                </c:pt>
                <c:pt idx="463">
                  <c:v>-52.472214006523487</c:v>
                </c:pt>
                <c:pt idx="464">
                  <c:v>-56.997432285549166</c:v>
                </c:pt>
                <c:pt idx="465">
                  <c:v>-61.934290323539983</c:v>
                </c:pt>
                <c:pt idx="466">
                  <c:v>-67.266453887149325</c:v>
                </c:pt>
                <c:pt idx="467">
                  <c:v>-72.94893945450697</c:v>
                </c:pt>
                <c:pt idx="468">
                  <c:v>-78.904602596116959</c:v>
                </c:pt>
                <c:pt idx="469">
                  <c:v>-85.026426342998178</c:v>
                </c:pt>
                <c:pt idx="470">
                  <c:v>-91.186992864479805</c:v>
                </c:pt>
                <c:pt idx="471">
                  <c:v>-97.253729640560493</c:v>
                </c:pt>
                <c:pt idx="472">
                  <c:v>-103.10571805544927</c:v>
                </c:pt>
                <c:pt idx="473">
                  <c:v>-108.64702741391295</c:v>
                </c:pt>
                <c:pt idx="474">
                  <c:v>-113.81333547755089</c:v>
                </c:pt>
                <c:pt idx="475">
                  <c:v>-118.57164360737123</c:v>
                </c:pt>
                <c:pt idx="476">
                  <c:v>-122.91520043227767</c:v>
                </c:pt>
                <c:pt idx="477">
                  <c:v>-126.85639834199843</c:v>
                </c:pt>
                <c:pt idx="478">
                  <c:v>-130.41979904440964</c:v>
                </c:pt>
                <c:pt idx="479">
                  <c:v>-133.63643294955082</c:v>
                </c:pt>
                <c:pt idx="480">
                  <c:v>-136.53968958298896</c:v>
                </c:pt>
                <c:pt idx="481">
                  <c:v>-139.16264704059012</c:v>
                </c:pt>
                <c:pt idx="482">
                  <c:v>-141.53651215580089</c:v>
                </c:pt>
                <c:pt idx="483">
                  <c:v>-143.68983458422247</c:v>
                </c:pt>
                <c:pt idx="484">
                  <c:v>-145.64821915615744</c:v>
                </c:pt>
                <c:pt idx="485">
                  <c:v>-147.43433611610311</c:v>
                </c:pt>
                <c:pt idx="486">
                  <c:v>-149.06809439089835</c:v>
                </c:pt>
                <c:pt idx="487">
                  <c:v>-150.56689230946989</c:v>
                </c:pt>
                <c:pt idx="488">
                  <c:v>-151.94589429546701</c:v>
                </c:pt>
                <c:pt idx="489">
                  <c:v>-153.21830436277659</c:v>
                </c:pt>
                <c:pt idx="490">
                  <c:v>-154.39562122189602</c:v>
                </c:pt>
                <c:pt idx="491">
                  <c:v>-155.4878682270089</c:v>
                </c:pt>
                <c:pt idx="492">
                  <c:v>-156.50379625577193</c:v>
                </c:pt>
                <c:pt idx="493">
                  <c:v>-157.45106026651683</c:v>
                </c:pt>
                <c:pt idx="494">
                  <c:v>-158.33637159808416</c:v>
                </c:pt>
                <c:pt idx="495">
                  <c:v>-159.16562861966622</c:v>
                </c:pt>
                <c:pt idx="496">
                  <c:v>-159.9440284434217</c:v>
                </c:pt>
                <c:pt idx="497">
                  <c:v>-160.67616228730697</c:v>
                </c:pt>
                <c:pt idx="498">
                  <c:v>-161.36609684110687</c:v>
                </c:pt>
                <c:pt idx="499">
                  <c:v>-162.01744371447552</c:v>
                </c:pt>
                <c:pt idx="500">
                  <c:v>-162.43904418660736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22-463D-81A0-68F554CF810C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99.84196160121293</c:v>
                </c:pt>
                <c:pt idx="1">
                  <c:v>99.662548362784705</c:v>
                </c:pt>
                <c:pt idx="2">
                  <c:v>99.487727134497462</c:v>
                </c:pt>
                <c:pt idx="3">
                  <c:v>99.317427410602875</c:v>
                </c:pt>
                <c:pt idx="4">
                  <c:v>99.151579865412714</c:v>
                </c:pt>
                <c:pt idx="5">
                  <c:v>98.990116384613458</c:v>
                </c:pt>
                <c:pt idx="6">
                  <c:v>98.83297009338861</c:v>
                </c:pt>
                <c:pt idx="7">
                  <c:v>98.68007538155787</c:v>
                </c:pt>
                <c:pt idx="8">
                  <c:v>98.531367925933026</c:v>
                </c:pt>
                <c:pt idx="9">
                  <c:v>98.386784710081173</c:v>
                </c:pt>
                <c:pt idx="10">
                  <c:v>98.24626404167725</c:v>
                </c:pt>
                <c:pt idx="11">
                  <c:v>98.109745567619271</c:v>
                </c:pt>
                <c:pt idx="12">
                  <c:v>97.977170287069981</c:v>
                </c:pt>
                <c:pt idx="13">
                  <c:v>97.848480562582964</c:v>
                </c:pt>
                <c:pt idx="14">
                  <c:v>97.723620129459832</c:v>
                </c:pt>
                <c:pt idx="15">
                  <c:v>97.602534103479996</c:v>
                </c:pt>
                <c:pt idx="16">
                  <c:v>97.485168987136021</c:v>
                </c:pt>
                <c:pt idx="17">
                  <c:v>97.371472674500339</c:v>
                </c:pt>
                <c:pt idx="18">
                  <c:v>97.261394454842204</c:v>
                </c:pt>
                <c:pt idx="19">
                  <c:v>97.154885015107226</c:v>
                </c:pt>
                <c:pt idx="20">
                  <c:v>97.051896441365585</c:v>
                </c:pt>
                <c:pt idx="21">
                  <c:v>96.952382219328399</c:v>
                </c:pt>
                <c:pt idx="22">
                  <c:v>96.856297234026442</c:v>
                </c:pt>
                <c:pt idx="23">
                  <c:v>96.763597768739658</c:v>
                </c:pt>
                <c:pt idx="24">
                  <c:v>96.674241503260262</c:v>
                </c:pt>
                <c:pt idx="25">
                  <c:v>96.588187511567895</c:v>
                </c:pt>
                <c:pt idx="26">
                  <c:v>96.505396258989748</c:v>
                </c:pt>
                <c:pt idx="27">
                  <c:v>96.425829598914589</c:v>
                </c:pt>
                <c:pt idx="28">
                  <c:v>96.349450769124715</c:v>
                </c:pt>
                <c:pt idx="29">
                  <c:v>96.27622438780638</c:v>
                </c:pt>
                <c:pt idx="30">
                  <c:v>96.206116449294697</c:v>
                </c:pt>
                <c:pt idx="31">
                  <c:v>96.139094319605988</c:v>
                </c:pt>
                <c:pt idx="32">
                  <c:v>96.075126731806492</c:v>
                </c:pt>
                <c:pt idx="33">
                  <c:v>96.01418378126283</c:v>
                </c:pt>
                <c:pt idx="34">
                  <c:v>95.956236920817886</c:v>
                </c:pt>
                <c:pt idx="35">
                  <c:v>95.901258955930587</c:v>
                </c:pt>
                <c:pt idx="36">
                  <c:v>95.84922403981723</c:v>
                </c:pt>
                <c:pt idx="37">
                  <c:v>95.800107668628144</c:v>
                </c:pt>
                <c:pt idx="38">
                  <c:v>95.753886676691806</c:v>
                </c:pt>
                <c:pt idx="39">
                  <c:v>95.710539231854739</c:v>
                </c:pt>
                <c:pt idx="40">
                  <c:v>95.670044830945329</c:v>
                </c:pt>
                <c:pt idx="41">
                  <c:v>95.632384295385364</c:v>
                </c:pt>
                <c:pt idx="42">
                  <c:v>95.59753976697273</c:v>
                </c:pt>
                <c:pt idx="43">
                  <c:v>95.565494703855975</c:v>
                </c:pt>
                <c:pt idx="44">
                  <c:v>95.536233876719479</c:v>
                </c:pt>
                <c:pt idx="45">
                  <c:v>95.509743365196627</c:v>
                </c:pt>
                <c:pt idx="46">
                  <c:v>95.486010554526587</c:v>
                </c:pt>
                <c:pt idx="47">
                  <c:v>95.465024132468429</c:v>
                </c:pt>
                <c:pt idx="48">
                  <c:v>95.446774086485263</c:v>
                </c:pt>
                <c:pt idx="49">
                  <c:v>95.431251701208652</c:v>
                </c:pt>
                <c:pt idx="50">
                  <c:v>95.418449556193565</c:v>
                </c:pt>
                <c:pt idx="51">
                  <c:v>95.408361523971308</c:v>
                </c:pt>
                <c:pt idx="52">
                  <c:v>95.400982768407175</c:v>
                </c:pt>
                <c:pt idx="53">
                  <c:v>95.396309743368576</c:v>
                </c:pt>
                <c:pt idx="54">
                  <c:v>95.394340191707116</c:v>
                </c:pt>
                <c:pt idx="55">
                  <c:v>95.39507314455804</c:v>
                </c:pt>
                <c:pt idx="56">
                  <c:v>95.398508920957894</c:v>
                </c:pt>
                <c:pt idx="57">
                  <c:v>95.404649127781369</c:v>
                </c:pt>
                <c:pt idx="58">
                  <c:v>95.413496659995602</c:v>
                </c:pt>
                <c:pt idx="59">
                  <c:v>95.425055701230406</c:v>
                </c:pt>
                <c:pt idx="60">
                  <c:v>95.439331724660363</c:v>
                </c:pt>
                <c:pt idx="61">
                  <c:v>95.45633149419406</c:v>
                </c:pt>
                <c:pt idx="62">
                  <c:v>95.476063065964908</c:v>
                </c:pt>
                <c:pt idx="63">
                  <c:v>95.498535790115199</c:v>
                </c:pt>
                <c:pt idx="64">
                  <c:v>95.523760312865249</c:v>
                </c:pt>
                <c:pt idx="65">
                  <c:v>95.551748578857044</c:v>
                </c:pt>
                <c:pt idx="66">
                  <c:v>95.582513833761297</c:v>
                </c:pt>
                <c:pt idx="67">
                  <c:v>95.61607062713351</c:v>
                </c:pt>
                <c:pt idx="68">
                  <c:v>95.6524348155057</c:v>
                </c:pt>
                <c:pt idx="69">
                  <c:v>95.691623565696389</c:v>
                </c:pt>
                <c:pt idx="70">
                  <c:v>95.733655358320959</c:v>
                </c:pt>
                <c:pt idx="71">
                  <c:v>95.778549991482706</c:v>
                </c:pt>
                <c:pt idx="72">
                  <c:v>95.826328584622431</c:v>
                </c:pt>
                <c:pt idx="73">
                  <c:v>95.877013582502912</c:v>
                </c:pt>
                <c:pt idx="74">
                  <c:v>95.930628759302465</c:v>
                </c:pt>
                <c:pt idx="75">
                  <c:v>95.987199222789485</c:v>
                </c:pt>
                <c:pt idx="76">
                  <c:v>96.046751418547188</c:v>
                </c:pt>
                <c:pt idx="77">
                  <c:v>96.109313134216478</c:v>
                </c:pt>
                <c:pt idx="78">
                  <c:v>96.17491350372056</c:v>
                </c:pt>
                <c:pt idx="79">
                  <c:v>96.243583011434282</c:v>
                </c:pt>
                <c:pt idx="80">
                  <c:v>96.31535349625598</c:v>
                </c:pt>
                <c:pt idx="81">
                  <c:v>96.390258155538589</c:v>
                </c:pt>
                <c:pt idx="82">
                  <c:v>96.468331548832467</c:v>
                </c:pt>
                <c:pt idx="83">
                  <c:v>96.54960960138942</c:v>
                </c:pt>
                <c:pt idx="84">
                  <c:v>96.634129607373453</c:v>
                </c:pt>
                <c:pt idx="85">
                  <c:v>96.721930232719984</c:v>
                </c:pt>
                <c:pt idx="86">
                  <c:v>96.813051517582636</c:v>
                </c:pt>
                <c:pt idx="87">
                  <c:v>96.907534878299728</c:v>
                </c:pt>
                <c:pt idx="88">
                  <c:v>97.005423108811499</c:v>
                </c:pt>
                <c:pt idx="89">
                  <c:v>97.106760381451508</c:v>
                </c:pt>
                <c:pt idx="90">
                  <c:v>97.211592247032513</c:v>
                </c:pt>
                <c:pt idx="91">
                  <c:v>97.319965634142164</c:v>
                </c:pt>
                <c:pt idx="92">
                  <c:v>97.43192884755608</c:v>
                </c:pt>
                <c:pt idx="93">
                  <c:v>97.54753156567385</c:v>
                </c:pt>
                <c:pt idx="94">
                  <c:v>97.666824836874298</c:v>
                </c:pt>
                <c:pt idx="95">
                  <c:v>97.789861074681923</c:v>
                </c:pt>
                <c:pt idx="96">
                  <c:v>97.916694051629506</c:v>
                </c:pt>
                <c:pt idx="97">
                  <c:v>98.047378891694976</c:v>
                </c:pt>
                <c:pt idx="98">
                  <c:v>98.181972061183856</c:v>
                </c:pt>
                <c:pt idx="99">
                  <c:v>98.32053135792124</c:v>
                </c:pt>
                <c:pt idx="100">
                  <c:v>98.463115898608621</c:v>
                </c:pt>
                <c:pt idx="101">
                  <c:v>98.609786104195948</c:v>
                </c:pt>
                <c:pt idx="102">
                  <c:v>98.760603683106567</c:v>
                </c:pt>
                <c:pt idx="103">
                  <c:v>98.915631612149497</c:v>
                </c:pt>
                <c:pt idx="104">
                  <c:v>99.074934114940334</c:v>
                </c:pt>
                <c:pt idx="105">
                  <c:v>99.23857663764683</c:v>
                </c:pt>
                <c:pt idx="106">
                  <c:v>99.406625821863472</c:v>
                </c:pt>
                <c:pt idx="107">
                  <c:v>99.579149474412077</c:v>
                </c:pt>
                <c:pt idx="108">
                  <c:v>99.756216533855337</c:v>
                </c:pt>
                <c:pt idx="109">
                  <c:v>99.937897033501201</c:v>
                </c:pt>
                <c:pt idx="110">
                  <c:v>100.12426206066606</c:v>
                </c:pt>
                <c:pt idx="111">
                  <c:v>100.31538371195609</c:v>
                </c:pt>
                <c:pt idx="112">
                  <c:v>100.5113350443165</c:v>
                </c:pt>
                <c:pt idx="113">
                  <c:v>100.71219002158935</c:v>
                </c:pt>
                <c:pt idx="114">
                  <c:v>100.91802345631126</c:v>
                </c:pt>
                <c:pt idx="115">
                  <c:v>101.12891094647532</c:v>
                </c:pt>
                <c:pt idx="116">
                  <c:v>101.34492880697144</c:v>
                </c:pt>
                <c:pt idx="117">
                  <c:v>101.56615399541388</c:v>
                </c:pt>
                <c:pt idx="118">
                  <c:v>101.792664032056</c:v>
                </c:pt>
                <c:pt idx="119">
                  <c:v>102.02453691348768</c:v>
                </c:pt>
                <c:pt idx="120">
                  <c:v>102.26185101980688</c:v>
                </c:pt>
                <c:pt idx="121">
                  <c:v>102.50468501494868</c:v>
                </c:pt>
                <c:pt idx="122">
                  <c:v>102.75311773985895</c:v>
                </c:pt>
                <c:pt idx="123">
                  <c:v>103.00722809819386</c:v>
                </c:pt>
                <c:pt idx="124">
                  <c:v>103.26709493422993</c:v>
                </c:pt>
                <c:pt idx="125">
                  <c:v>103.53279690267223</c:v>
                </c:pt>
                <c:pt idx="126">
                  <c:v>103.80441233005187</c:v>
                </c:pt>
                <c:pt idx="127">
                  <c:v>104.08201906741522</c:v>
                </c:pt>
                <c:pt idx="128">
                  <c:v>104.36569433401333</c:v>
                </c:pt>
                <c:pt idx="129">
                  <c:v>104.65551455171797</c:v>
                </c:pt>
                <c:pt idx="130">
                  <c:v>104.95155516990684</c:v>
                </c:pt>
                <c:pt idx="131">
                  <c:v>105.25389048057916</c:v>
                </c:pt>
                <c:pt idx="132">
                  <c:v>105.56259342349267</c:v>
                </c:pt>
                <c:pt idx="133">
                  <c:v>105.87773538113811</c:v>
                </c:pt>
                <c:pt idx="134">
                  <c:v>106.19938596340386</c:v>
                </c:pt>
                <c:pt idx="135">
                  <c:v>106.52761278182521</c:v>
                </c:pt>
                <c:pt idx="136">
                  <c:v>106.8624812133513</c:v>
                </c:pt>
                <c:pt idx="137">
                  <c:v>107.20405415362097</c:v>
                </c:pt>
                <c:pt idx="138">
                  <c:v>107.55239175979109</c:v>
                </c:pt>
                <c:pt idx="139">
                  <c:v>107.90755118302475</c:v>
                </c:pt>
                <c:pt idx="140">
                  <c:v>108.26958629081662</c:v>
                </c:pt>
                <c:pt idx="141">
                  <c:v>108.63854737941054</c:v>
                </c:pt>
                <c:pt idx="142">
                  <c:v>109.01448087664473</c:v>
                </c:pt>
                <c:pt idx="143">
                  <c:v>109.39742903565316</c:v>
                </c:pt>
                <c:pt idx="144">
                  <c:v>109.78742961994578</c:v>
                </c:pt>
                <c:pt idx="145">
                  <c:v>110.18451558049642</c:v>
                </c:pt>
                <c:pt idx="146">
                  <c:v>110.58871472557449</c:v>
                </c:pt>
                <c:pt idx="147">
                  <c:v>111.00004938417617</c:v>
                </c:pt>
                <c:pt idx="148">
                  <c:v>111.41853606403009</c:v>
                </c:pt>
                <c:pt idx="149">
                  <c:v>111.84418510527884</c:v>
                </c:pt>
                <c:pt idx="150">
                  <c:v>112.27700033107338</c:v>
                </c:pt>
                <c:pt idx="151">
                  <c:v>112.71697869644504</c:v>
                </c:pt>
                <c:pt idx="152">
                  <c:v>113.16410993696091</c:v>
                </c:pt>
                <c:pt idx="153">
                  <c:v>113.618376218807</c:v>
                </c:pt>
                <c:pt idx="154">
                  <c:v>114.07975179207249</c:v>
                </c:pt>
                <c:pt idx="155">
                  <c:v>114.54820264915462</c:v>
                </c:pt>
                <c:pt idx="156">
                  <c:v>115.0236861903208</c:v>
                </c:pt>
                <c:pt idx="157">
                  <c:v>115.5061508985998</c:v>
                </c:pt>
                <c:pt idx="158">
                  <c:v>115.9955360262809</c:v>
                </c:pt>
                <c:pt idx="159">
                  <c:v>116.4917712954088</c:v>
                </c:pt>
                <c:pt idx="160">
                  <c:v>116.99477661475305</c:v>
                </c:pt>
                <c:pt idx="161">
                  <c:v>117.50446181580266</c:v>
                </c:pt>
                <c:pt idx="162">
                  <c:v>118.02072641039976</c:v>
                </c:pt>
                <c:pt idx="163">
                  <c:v>118.54345937265542</c:v>
                </c:pt>
                <c:pt idx="164">
                  <c:v>119.07253894780945</c:v>
                </c:pt>
                <c:pt idx="165">
                  <c:v>119.60783249067737</c:v>
                </c:pt>
                <c:pt idx="166">
                  <c:v>120.14919633629117</c:v>
                </c:pt>
                <c:pt idx="167">
                  <c:v>120.69647570526503</c:v>
                </c:pt>
                <c:pt idx="168">
                  <c:v>121.2495046463134</c:v>
                </c:pt>
                <c:pt idx="169">
                  <c:v>121.8081060182175</c:v>
                </c:pt>
                <c:pt idx="170">
                  <c:v>122.37209151335624</c:v>
                </c:pt>
                <c:pt idx="171">
                  <c:v>122.94126172471979</c:v>
                </c:pt>
                <c:pt idx="172">
                  <c:v>123.51540625808171</c:v>
                </c:pt>
                <c:pt idx="173">
                  <c:v>124.0943038907274</c:v>
                </c:pt>
                <c:pt idx="174">
                  <c:v>124.67772277783824</c:v>
                </c:pt>
                <c:pt idx="175">
                  <c:v>125.26542070728763</c:v>
                </c:pt>
                <c:pt idx="176">
                  <c:v>125.85714540324847</c:v>
                </c:pt>
                <c:pt idx="177">
                  <c:v>126.45263487861665</c:v>
                </c:pt>
                <c:pt idx="178">
                  <c:v>127.05161783585393</c:v>
                </c:pt>
                <c:pt idx="179">
                  <c:v>127.65381411542987</c:v>
                </c:pt>
                <c:pt idx="180">
                  <c:v>128.25893519060833</c:v>
                </c:pt>
                <c:pt idx="181">
                  <c:v>128.86668470688988</c:v>
                </c:pt>
                <c:pt idx="182">
                  <c:v>129.47675906399047</c:v>
                </c:pt>
                <c:pt idx="183">
                  <c:v>130.08884803780393</c:v>
                </c:pt>
                <c:pt idx="184">
                  <c:v>130.7026354393941</c:v>
                </c:pt>
                <c:pt idx="185">
                  <c:v>131.31779980766981</c:v>
                </c:pt>
                <c:pt idx="186">
                  <c:v>131.93401513203483</c:v>
                </c:pt>
                <c:pt idx="187">
                  <c:v>132.55095160098074</c:v>
                </c:pt>
                <c:pt idx="188">
                  <c:v>133.16827637230458</c:v>
                </c:pt>
                <c:pt idx="189">
                  <c:v>133.78565436038662</c:v>
                </c:pt>
                <c:pt idx="190">
                  <c:v>134.40274903577654</c:v>
                </c:pt>
                <c:pt idx="191">
                  <c:v>135.01922323219293</c:v>
                </c:pt>
                <c:pt idx="192">
                  <c:v>135.63473995595311</c:v>
                </c:pt>
                <c:pt idx="193">
                  <c:v>136.248963192828</c:v>
                </c:pt>
                <c:pt idx="194">
                  <c:v>136.86155870733546</c:v>
                </c:pt>
                <c:pt idx="195">
                  <c:v>137.47219482958212</c:v>
                </c:pt>
                <c:pt idx="196">
                  <c:v>138.08054322489124</c:v>
                </c:pt>
                <c:pt idx="197">
                  <c:v>138.68627964165549</c:v>
                </c:pt>
                <c:pt idx="198">
                  <c:v>139.28908463309</c:v>
                </c:pt>
                <c:pt idx="199">
                  <c:v>139.88864424885051</c:v>
                </c:pt>
                <c:pt idx="200">
                  <c:v>140.48465069280303</c:v>
                </c:pt>
                <c:pt idx="201">
                  <c:v>141.07680294359568</c:v>
                </c:pt>
                <c:pt idx="202">
                  <c:v>141.66480733506779</c:v>
                </c:pt>
                <c:pt idx="203">
                  <c:v>142.2483780939472</c:v>
                </c:pt>
                <c:pt idx="204">
                  <c:v>142.82723783270006</c:v>
                </c:pt>
                <c:pt idx="205">
                  <c:v>143.40111799584605</c:v>
                </c:pt>
                <c:pt idx="206">
                  <c:v>143.96975925847465</c:v>
                </c:pt>
                <c:pt idx="207">
                  <c:v>144.53291187614127</c:v>
                </c:pt>
                <c:pt idx="208">
                  <c:v>145.09033598573208</c:v>
                </c:pt>
                <c:pt idx="209">
                  <c:v>145.64180185730791</c:v>
                </c:pt>
                <c:pt idx="210">
                  <c:v>146.18709009731299</c:v>
                </c:pt>
                <c:pt idx="211">
                  <c:v>146.72599180390506</c:v>
                </c:pt>
                <c:pt idx="212">
                  <c:v>147.25830867550002</c:v>
                </c:pt>
                <c:pt idx="213">
                  <c:v>147.78385307392398</c:v>
                </c:pt>
                <c:pt idx="214">
                  <c:v>148.30244804385057</c:v>
                </c:pt>
                <c:pt idx="215">
                  <c:v>148.81392729043094</c:v>
                </c:pt>
                <c:pt idx="216">
                  <c:v>149.31813511723954</c:v>
                </c:pt>
                <c:pt idx="217">
                  <c:v>149.81492632682114</c:v>
                </c:pt>
                <c:pt idx="218">
                  <c:v>150.30416608627206</c:v>
                </c:pt>
                <c:pt idx="219">
                  <c:v>150.78572976038325</c:v>
                </c:pt>
                <c:pt idx="220">
                  <c:v>151.25950271495174</c:v>
                </c:pt>
                <c:pt idx="221">
                  <c:v>151.7253800929067</c:v>
                </c:pt>
                <c:pt idx="222">
                  <c:v>152.18326656590895</c:v>
                </c:pt>
                <c:pt idx="223">
                  <c:v>152.63307606407247</c:v>
                </c:pt>
                <c:pt idx="224">
                  <c:v>153.07473148642137</c:v>
                </c:pt>
                <c:pt idx="225">
                  <c:v>153.5081643946383</c:v>
                </c:pt>
                <c:pt idx="226">
                  <c:v>153.93331469258132</c:v>
                </c:pt>
                <c:pt idx="227">
                  <c:v>154.3501302939666</c:v>
                </c:pt>
                <c:pt idx="228">
                  <c:v>154.75856678049519</c:v>
                </c:pt>
                <c:pt idx="229">
                  <c:v>155.158587052602</c:v>
                </c:pt>
                <c:pt idx="230">
                  <c:v>155.5501609748689</c:v>
                </c:pt>
                <c:pt idx="231">
                  <c:v>155.93326501802591</c:v>
                </c:pt>
                <c:pt idx="232">
                  <c:v>156.3078818993198</c:v>
                </c:pt>
                <c:pt idx="233">
                  <c:v>156.67400022290235</c:v>
                </c:pt>
                <c:pt idx="234">
                  <c:v>157.03161412174765</c:v>
                </c:pt>
                <c:pt idx="235">
                  <c:v>157.38072290247462</c:v>
                </c:pt>
                <c:pt idx="236">
                  <c:v>157.72133069431561</c:v>
                </c:pt>
                <c:pt idx="237">
                  <c:v>158.05344610334546</c:v>
                </c:pt>
                <c:pt idx="238">
                  <c:v>158.3770818729505</c:v>
                </c:pt>
                <c:pt idx="239">
                  <c:v>158.69225455140634</c:v>
                </c:pt>
                <c:pt idx="240">
                  <c:v>158.99898416730997</c:v>
                </c:pt>
                <c:pt idx="241">
                  <c:v>159.2972939135056</c:v>
                </c:pt>
                <c:pt idx="242">
                  <c:v>159.58720984004106</c:v>
                </c:pt>
                <c:pt idx="243">
                  <c:v>159.8687605565938</c:v>
                </c:pt>
                <c:pt idx="244">
                  <c:v>160.14197694471875</c:v>
                </c:pt>
                <c:pt idx="245">
                  <c:v>160.40689188018536</c:v>
                </c:pt>
                <c:pt idx="246">
                  <c:v>160.66353996559917</c:v>
                </c:pt>
                <c:pt idx="247">
                  <c:v>160.91195727343154</c:v>
                </c:pt>
                <c:pt idx="248">
                  <c:v>161.15218109952318</c:v>
                </c:pt>
                <c:pt idx="249">
                  <c:v>161.38424972706545</c:v>
                </c:pt>
                <c:pt idx="250">
                  <c:v>161.60820220102426</c:v>
                </c:pt>
                <c:pt idx="251">
                  <c:v>161.82407811291449</c:v>
                </c:pt>
                <c:pt idx="252">
                  <c:v>162.03191739581069</c:v>
                </c:pt>
                <c:pt idx="253">
                  <c:v>162.23176012943111</c:v>
                </c:pt>
                <c:pt idx="254">
                  <c:v>162.42364635511868</c:v>
                </c:pt>
                <c:pt idx="255">
                  <c:v>162.60761590050996</c:v>
                </c:pt>
                <c:pt idx="256">
                  <c:v>162.78370821366835</c:v>
                </c:pt>
                <c:pt idx="257">
                  <c:v>162.95196220644303</c:v>
                </c:pt>
                <c:pt idx="258">
                  <c:v>163.11241610680116</c:v>
                </c:pt>
                <c:pt idx="259">
                  <c:v>163.26510731987764</c:v>
                </c:pt>
                <c:pt idx="260">
                  <c:v>163.41007229747638</c:v>
                </c:pt>
                <c:pt idx="261">
                  <c:v>163.54734641575871</c:v>
                </c:pt>
                <c:pt idx="262">
                  <c:v>163.67696386085487</c:v>
                </c:pt>
                <c:pt idx="263">
                  <c:v>163.79895752213295</c:v>
                </c:pt>
                <c:pt idx="264">
                  <c:v>163.91335889287012</c:v>
                </c:pt>
                <c:pt idx="265">
                  <c:v>164.02019797807304</c:v>
                </c:pt>
                <c:pt idx="266">
                  <c:v>164.1195032092032</c:v>
                </c:pt>
                <c:pt idx="267">
                  <c:v>164.21130136557389</c:v>
                </c:pt>
                <c:pt idx="268">
                  <c:v>164.29561750219474</c:v>
                </c:pt>
                <c:pt idx="269">
                  <c:v>164.37247488384926</c:v>
                </c:pt>
                <c:pt idx="270">
                  <c:v>164.44189492521079</c:v>
                </c:pt>
                <c:pt idx="271">
                  <c:v>164.50389713680488</c:v>
                </c:pt>
                <c:pt idx="272">
                  <c:v>164.55849907665123</c:v>
                </c:pt>
                <c:pt idx="273">
                  <c:v>164.60571630742484</c:v>
                </c:pt>
                <c:pt idx="274">
                  <c:v>164.64556235899644</c:v>
                </c:pt>
                <c:pt idx="275">
                  <c:v>164.67804869622503</c:v>
                </c:pt>
                <c:pt idx="276">
                  <c:v>164.70318469189343</c:v>
                </c:pt>
                <c:pt idx="277">
                  <c:v>164.72097760469364</c:v>
                </c:pt>
                <c:pt idx="278">
                  <c:v>164.73143256218441</c:v>
                </c:pt>
                <c:pt idx="279">
                  <c:v>164.73455254866212</c:v>
                </c:pt>
                <c:pt idx="280">
                  <c:v>164.73033839790295</c:v>
                </c:pt>
                <c:pt idx="281">
                  <c:v>164.71878879074762</c:v>
                </c:pt>
                <c:pt idx="282">
                  <c:v>164.6999002575256</c:v>
                </c:pt>
                <c:pt idx="283">
                  <c:v>164.6736671853223</c:v>
                </c:pt>
                <c:pt idx="284">
                  <c:v>164.64008183011981</c:v>
                </c:pt>
                <c:pt idx="285">
                  <c:v>164.59913433385097</c:v>
                </c:pt>
                <c:pt idx="286">
                  <c:v>164.55081274643072</c:v>
                </c:pt>
                <c:pt idx="287">
                  <c:v>164.49510305283781</c:v>
                </c:pt>
                <c:pt idx="288">
                  <c:v>164.43198920534502</c:v>
                </c:pt>
                <c:pt idx="289">
                  <c:v>164.36145316100539</c:v>
                </c:pt>
                <c:pt idx="290">
                  <c:v>164.28347492452201</c:v>
                </c:pt>
                <c:pt idx="291">
                  <c:v>164.19803259664445</c:v>
                </c:pt>
                <c:pt idx="292">
                  <c:v>164.10510242824776</c:v>
                </c:pt>
                <c:pt idx="293">
                  <c:v>164.00465888026778</c:v>
                </c:pt>
                <c:pt idx="294">
                  <c:v>163.89667468967909</c:v>
                </c:pt>
                <c:pt idx="295">
                  <c:v>163.78112094171553</c:v>
                </c:pt>
                <c:pt idx="296">
                  <c:v>163.65796714854486</c:v>
                </c:pt>
                <c:pt idx="297">
                  <c:v>163.52718133462434</c:v>
                </c:pt>
                <c:pt idx="298">
                  <c:v>163.38873012896886</c:v>
                </c:pt>
                <c:pt idx="299">
                  <c:v>163.24257886457872</c:v>
                </c:pt>
                <c:pt idx="300">
                  <c:v>163.08869168527647</c:v>
                </c:pt>
                <c:pt idx="301">
                  <c:v>162.92703166021221</c:v>
                </c:pt>
                <c:pt idx="302">
                  <c:v>162.75756090630153</c:v>
                </c:pt>
                <c:pt idx="303">
                  <c:v>162.58024071885725</c:v>
                </c:pt>
                <c:pt idx="304">
                  <c:v>162.39503171068529</c:v>
                </c:pt>
                <c:pt idx="305">
                  <c:v>162.20189395990377</c:v>
                </c:pt>
                <c:pt idx="306">
                  <c:v>162.00078716674548</c:v>
                </c:pt>
                <c:pt idx="307">
                  <c:v>161.79167081959315</c:v>
                </c:pt>
                <c:pt idx="308">
                  <c:v>161.57450437048752</c:v>
                </c:pt>
                <c:pt idx="309">
                  <c:v>161.34924742032749</c:v>
                </c:pt>
                <c:pt idx="310">
                  <c:v>161.11585991397433</c:v>
                </c:pt>
                <c:pt idx="311">
                  <c:v>160.87430234543351</c:v>
                </c:pt>
                <c:pt idx="312">
                  <c:v>160.6245359732732</c:v>
                </c:pt>
                <c:pt idx="313">
                  <c:v>160.36652304639773</c:v>
                </c:pt>
                <c:pt idx="314">
                  <c:v>160.10022704025991</c:v>
                </c:pt>
                <c:pt idx="315">
                  <c:v>159.82561290355051</c:v>
                </c:pt>
                <c:pt idx="316">
                  <c:v>159.54264731535389</c:v>
                </c:pt>
                <c:pt idx="317">
                  <c:v>159.25129895270661</c:v>
                </c:pt>
                <c:pt idx="318">
                  <c:v>158.95153876842716</c:v>
                </c:pt>
                <c:pt idx="319">
                  <c:v>158.64334027902251</c:v>
                </c:pt>
                <c:pt idx="320">
                  <c:v>158.32667986239855</c:v>
                </c:pt>
                <c:pt idx="321">
                  <c:v>158.00153706501791</c:v>
                </c:pt>
                <c:pt idx="322">
                  <c:v>157.66789491806463</c:v>
                </c:pt>
                <c:pt idx="323">
                  <c:v>157.32574026206998</c:v>
                </c:pt>
                <c:pt idx="324">
                  <c:v>156.97506407936135</c:v>
                </c:pt>
                <c:pt idx="325">
                  <c:v>156.6158618335771</c:v>
                </c:pt>
                <c:pt idx="326">
                  <c:v>156.24813381537842</c:v>
                </c:pt>
                <c:pt idx="327">
                  <c:v>155.87188549337171</c:v>
                </c:pt>
                <c:pt idx="328">
                  <c:v>155.48712786911955</c:v>
                </c:pt>
                <c:pt idx="329">
                  <c:v>155.09387783499642</c:v>
                </c:pt>
                <c:pt idx="330">
                  <c:v>154.69215853350502</c:v>
                </c:pt>
                <c:pt idx="331">
                  <c:v>154.28199971653879</c:v>
                </c:pt>
                <c:pt idx="332">
                  <c:v>153.86343810293306</c:v>
                </c:pt>
                <c:pt idx="333">
                  <c:v>153.43651773251565</c:v>
                </c:pt>
                <c:pt idx="334">
                  <c:v>153.00129031473455</c:v>
                </c:pt>
                <c:pt idx="335">
                  <c:v>152.55781556980622</c:v>
                </c:pt>
                <c:pt idx="336">
                  <c:v>152.10616156020899</c:v>
                </c:pt>
                <c:pt idx="337">
                  <c:v>151.64640501023138</c:v>
                </c:pt>
                <c:pt idx="338">
                  <c:v>151.17863161118174</c:v>
                </c:pt>
                <c:pt idx="339">
                  <c:v>150.70293630977068</c:v>
                </c:pt>
                <c:pt idx="340">
                  <c:v>150.21942357711075</c:v>
                </c:pt>
                <c:pt idx="341">
                  <c:v>149.72820765571856</c:v>
                </c:pt>
                <c:pt idx="342">
                  <c:v>149.2294127818684</c:v>
                </c:pt>
                <c:pt idx="343">
                  <c:v>148.72317338063817</c:v>
                </c:pt>
                <c:pt idx="344">
                  <c:v>148.20963423100218</c:v>
                </c:pt>
                <c:pt idx="345">
                  <c:v>147.68895059836845</c:v>
                </c:pt>
                <c:pt idx="346">
                  <c:v>147.16128833203396</c:v>
                </c:pt>
                <c:pt idx="347">
                  <c:v>146.62682392513062</c:v>
                </c:pt>
                <c:pt idx="348">
                  <c:v>146.08574453478516</c:v>
                </c:pt>
                <c:pt idx="349">
                  <c:v>145.53824796037401</c:v>
                </c:pt>
                <c:pt idx="350">
                  <c:v>144.98454257797681</c:v>
                </c:pt>
                <c:pt idx="351">
                  <c:v>144.42484722936325</c:v>
                </c:pt>
                <c:pt idx="352">
                  <c:v>143.85939106412923</c:v>
                </c:pt>
                <c:pt idx="353">
                  <c:v>143.28841333390625</c:v>
                </c:pt>
                <c:pt idx="354">
                  <c:v>142.71216313789805</c:v>
                </c:pt>
                <c:pt idx="355">
                  <c:v>142.13089911938013</c:v>
                </c:pt>
                <c:pt idx="356">
                  <c:v>141.54488911316204</c:v>
                </c:pt>
                <c:pt idx="357">
                  <c:v>140.95440974444864</c:v>
                </c:pt>
                <c:pt idx="358">
                  <c:v>140.35974597993243</c:v>
                </c:pt>
                <c:pt idx="359">
                  <c:v>139.76119063240188</c:v>
                </c:pt>
                <c:pt idx="360">
                  <c:v>139.15904382057715</c:v>
                </c:pt>
                <c:pt idx="361">
                  <c:v>138.55361238631696</c:v>
                </c:pt>
                <c:pt idx="362">
                  <c:v>137.94520927177021</c:v>
                </c:pt>
                <c:pt idx="363">
                  <c:v>137.33415285945256</c:v>
                </c:pt>
                <c:pt idx="364">
                  <c:v>136.7207662786123</c:v>
                </c:pt>
                <c:pt idx="365">
                  <c:v>136.10537668161305</c:v>
                </c:pt>
                <c:pt idx="366">
                  <c:v>135.48831449438285</c:v>
                </c:pt>
                <c:pt idx="367">
                  <c:v>134.86991264526387</c:v>
                </c:pt>
                <c:pt idx="368">
                  <c:v>134.25050577683413</c:v>
                </c:pt>
                <c:pt idx="369">
                  <c:v>133.63042944546748</c:v>
                </c:pt>
                <c:pt idx="370">
                  <c:v>133.01001931353076</c:v>
                </c:pt>
                <c:pt idx="371">
                  <c:v>132.38961033920248</c:v>
                </c:pt>
                <c:pt idx="372">
                  <c:v>131.76953596892048</c:v>
                </c:pt>
                <c:pt idx="373">
                  <c:v>131.15012733743768</c:v>
                </c:pt>
                <c:pt idx="374">
                  <c:v>130.53171248037566</c:v>
                </c:pt>
                <c:pt idx="375">
                  <c:v>129.91461556401879</c:v>
                </c:pt>
                <c:pt idx="376">
                  <c:v>129.29915613691026</c:v>
                </c:pt>
                <c:pt idx="377">
                  <c:v>128.68564840754482</c:v>
                </c:pt>
                <c:pt idx="378">
                  <c:v>128.07440055218763</c:v>
                </c:pt>
                <c:pt idx="379">
                  <c:v>127.46571405650693</c:v>
                </c:pt>
                <c:pt idx="380">
                  <c:v>126.85988309434926</c:v>
                </c:pt>
                <c:pt idx="381">
                  <c:v>126.25719394659914</c:v>
                </c:pt>
                <c:pt idx="382">
                  <c:v>125.6579244626503</c:v>
                </c:pt>
                <c:pt idx="383">
                  <c:v>125.06234356659596</c:v>
                </c:pt>
                <c:pt idx="384">
                  <c:v>124.4707108098026</c:v>
                </c:pt>
                <c:pt idx="385">
                  <c:v>123.88327597110552</c:v>
                </c:pt>
                <c:pt idx="386">
                  <c:v>123.30027870542511</c:v>
                </c:pt>
                <c:pt idx="387">
                  <c:v>122.72194824118738</c:v>
                </c:pt>
                <c:pt idx="388">
                  <c:v>122.14850312651858</c:v>
                </c:pt>
                <c:pt idx="389">
                  <c:v>121.580151023805</c:v>
                </c:pt>
                <c:pt idx="390">
                  <c:v>121.01708855184191</c:v>
                </c:pt>
                <c:pt idx="391">
                  <c:v>120.45950117446075</c:v>
                </c:pt>
                <c:pt idx="392">
                  <c:v>119.90756313422192</c:v>
                </c:pt>
                <c:pt idx="393">
                  <c:v>119.36143742948488</c:v>
                </c:pt>
                <c:pt idx="394">
                  <c:v>118.82127583293101</c:v>
                </c:pt>
                <c:pt idx="395">
                  <c:v>118.28721894941037</c:v>
                </c:pt>
                <c:pt idx="396">
                  <c:v>117.75939631081148</c:v>
                </c:pt>
                <c:pt idx="397">
                  <c:v>117.23792650552073</c:v>
                </c:pt>
                <c:pt idx="398">
                  <c:v>116.72291733993475</c:v>
                </c:pt>
                <c:pt idx="399">
                  <c:v>116.21446602941761</c:v>
                </c:pt>
                <c:pt idx="400">
                  <c:v>115.71265941605591</c:v>
                </c:pt>
                <c:pt idx="401">
                  <c:v>115.2175742105522</c:v>
                </c:pt>
                <c:pt idx="402">
                  <c:v>114.72927725561011</c:v>
                </c:pt>
                <c:pt idx="403">
                  <c:v>114.24782580820212</c:v>
                </c:pt>
                <c:pt idx="404">
                  <c:v>113.77326783816956</c:v>
                </c:pt>
                <c:pt idx="405">
                  <c:v>113.30564234067882</c:v>
                </c:pt>
                <c:pt idx="406">
                  <c:v>112.84497966015161</c:v>
                </c:pt>
                <c:pt idx="407">
                  <c:v>112.39130182338916</c:v>
                </c:pt>
                <c:pt idx="408">
                  <c:v>111.94462287973103</c:v>
                </c:pt>
                <c:pt idx="409">
                  <c:v>111.50494924620698</c:v>
                </c:pt>
                <c:pt idx="410">
                  <c:v>111.07228005577598</c:v>
                </c:pt>
                <c:pt idx="411">
                  <c:v>110.64660750687753</c:v>
                </c:pt>
                <c:pt idx="412">
                  <c:v>110.2279172126588</c:v>
                </c:pt>
                <c:pt idx="413">
                  <c:v>109.81618854837771</c:v>
                </c:pt>
                <c:pt idx="414">
                  <c:v>109.41139499561841</c:v>
                </c:pt>
                <c:pt idx="415">
                  <c:v>109.01350448209104</c:v>
                </c:pt>
                <c:pt idx="416">
                  <c:v>108.62247971591623</c:v>
                </c:pt>
                <c:pt idx="417">
                  <c:v>108.23827851342521</c:v>
                </c:pt>
                <c:pt idx="418">
                  <c:v>107.86085411962117</c:v>
                </c:pt>
                <c:pt idx="419">
                  <c:v>107.49015552057492</c:v>
                </c:pt>
                <c:pt idx="420">
                  <c:v>107.12612774712341</c:v>
                </c:pt>
                <c:pt idx="421">
                  <c:v>106.76871216935514</c:v>
                </c:pt>
                <c:pt idx="422">
                  <c:v>106.41784678145726</c:v>
                </c:pt>
                <c:pt idx="423">
                  <c:v>106.07346647658925</c:v>
                </c:pt>
                <c:pt idx="424">
                  <c:v>105.73550331153068</c:v>
                </c:pt>
                <c:pt idx="425">
                  <c:v>105.40388676093114</c:v>
                </c:pt>
                <c:pt idx="426">
                  <c:v>105.07854396105182</c:v>
                </c:pt>
                <c:pt idx="427">
                  <c:v>104.75939994295845</c:v>
                </c:pt>
                <c:pt idx="428">
                  <c:v>104.44637785517763</c:v>
                </c:pt>
                <c:pt idx="429">
                  <c:v>104.13939917588003</c:v>
                </c:pt>
                <c:pt idx="430">
                  <c:v>103.83838391469996</c:v>
                </c:pt>
                <c:pt idx="431">
                  <c:v>103.54325080433763</c:v>
                </c:pt>
                <c:pt idx="432">
                  <c:v>103.25391748212698</c:v>
                </c:pt>
                <c:pt idx="433">
                  <c:v>102.97030066178051</c:v>
                </c:pt>
                <c:pt idx="434">
                  <c:v>102.69231629554629</c:v>
                </c:pt>
                <c:pt idx="435">
                  <c:v>102.4198797270363</c:v>
                </c:pt>
                <c:pt idx="436">
                  <c:v>102.15290583499849</c:v>
                </c:pt>
                <c:pt idx="437">
                  <c:v>101.89130916832133</c:v>
                </c:pt>
                <c:pt idx="438">
                  <c:v>101.63500407257074</c:v>
                </c:pt>
                <c:pt idx="439">
                  <c:v>101.38390480836307</c:v>
                </c:pt>
                <c:pt idx="440">
                  <c:v>101.13792566188786</c:v>
                </c:pt>
                <c:pt idx="441">
                  <c:v>100.89698104789355</c:v>
                </c:pt>
                <c:pt idx="442">
                  <c:v>100.66098560545147</c:v>
                </c:pt>
                <c:pt idx="443">
                  <c:v>100.42985428681344</c:v>
                </c:pt>
                <c:pt idx="444">
                  <c:v>100.20350243967212</c:v>
                </c:pt>
                <c:pt idx="445">
                  <c:v>99.98184588313616</c:v>
                </c:pt>
                <c:pt idx="446">
                  <c:v>99.764800977718565</c:v>
                </c:pt>
                <c:pt idx="447">
                  <c:v>99.552284689638867</c:v>
                </c:pt>
                <c:pt idx="448">
                  <c:v>99.344214649726908</c:v>
                </c:pt>
                <c:pt idx="449">
                  <c:v>99.140509207212105</c:v>
                </c:pt>
                <c:pt idx="450">
                  <c:v>98.941087478671548</c:v>
                </c:pt>
                <c:pt idx="451">
                  <c:v>98.745869392403961</c:v>
                </c:pt>
                <c:pt idx="452">
                  <c:v>98.554775728485367</c:v>
                </c:pt>
                <c:pt idx="453">
                  <c:v>98.367728154755525</c:v>
                </c:pt>
                <c:pt idx="454">
                  <c:v>98.184649258972414</c:v>
                </c:pt>
                <c:pt idx="455">
                  <c:v>98.005462577365378</c:v>
                </c:pt>
                <c:pt idx="456">
                  <c:v>97.830092619805626</c:v>
                </c:pt>
                <c:pt idx="457">
                  <c:v>97.658464891804712</c:v>
                </c:pt>
                <c:pt idx="458">
                  <c:v>97.490505913542776</c:v>
                </c:pt>
                <c:pt idx="459">
                  <c:v>97.326143236117744</c:v>
                </c:pt>
                <c:pt idx="460">
                  <c:v>97.165305455198677</c:v>
                </c:pt>
                <c:pt idx="461">
                  <c:v>97.007922222257676</c:v>
                </c:pt>
                <c:pt idx="462">
                  <c:v>96.853924253545287</c:v>
                </c:pt>
                <c:pt idx="463">
                  <c:v>96.703243336967304</c:v>
                </c:pt>
                <c:pt idx="464">
                  <c:v>96.555812337011105</c:v>
                </c:pt>
                <c:pt idx="465">
                  <c:v>96.411565197863297</c:v>
                </c:pt>
                <c:pt idx="466">
                  <c:v>96.270436944852165</c:v>
                </c:pt>
                <c:pt idx="467">
                  <c:v>96.132363684340376</c:v>
                </c:pt>
                <c:pt idx="468">
                  <c:v>95.99728260218852</c:v>
                </c:pt>
                <c:pt idx="469">
                  <c:v>95.865131960900243</c:v>
                </c:pt>
                <c:pt idx="470">
                  <c:v>95.735851095556228</c:v>
                </c:pt>
                <c:pt idx="471">
                  <c:v>95.609380408636042</c:v>
                </c:pt>
                <c:pt idx="472">
                  <c:v>95.485661363822032</c:v>
                </c:pt>
                <c:pt idx="473">
                  <c:v>95.364636478872598</c:v>
                </c:pt>
                <c:pt idx="474">
                  <c:v>95.246249317649145</c:v>
                </c:pt>
                <c:pt idx="475">
                  <c:v>95.130444481372436</c:v>
                </c:pt>
                <c:pt idx="476">
                  <c:v>95.01716759918277</c:v>
                </c:pt>
                <c:pt idx="477">
                  <c:v>94.906365318070939</c:v>
                </c:pt>
                <c:pt idx="478">
                  <c:v>94.797985292244334</c:v>
                </c:pt>
                <c:pt idx="479">
                  <c:v>94.691976171987619</c:v>
                </c:pt>
                <c:pt idx="480">
                  <c:v>94.588287592073399</c:v>
                </c:pt>
                <c:pt idx="481">
                  <c:v>94.486870159775037</c:v>
                </c:pt>
                <c:pt idx="482">
                  <c:v>94.387675442529726</c:v>
                </c:pt>
                <c:pt idx="483">
                  <c:v>94.290655955297368</c:v>
                </c:pt>
                <c:pt idx="484">
                  <c:v>94.195765147656417</c:v>
                </c:pt>
                <c:pt idx="485">
                  <c:v>94.102957390676337</c:v>
                </c:pt>
                <c:pt idx="486">
                  <c:v>94.0121879636025</c:v>
                </c:pt>
                <c:pt idx="487">
                  <c:v>93.92341304038699</c:v>
                </c:pt>
                <c:pt idx="488">
                  <c:v>93.836589676096622</c:v>
                </c:pt>
                <c:pt idx="489">
                  <c:v>93.751675793226838</c:v>
                </c:pt>
                <c:pt idx="490">
                  <c:v>93.66863016794791</c:v>
                </c:pt>
                <c:pt idx="491">
                  <c:v>93.587412416308055</c:v>
                </c:pt>
                <c:pt idx="492">
                  <c:v>93.507982980416287</c:v>
                </c:pt>
                <c:pt idx="493">
                  <c:v>93.430303114625275</c:v>
                </c:pt>
                <c:pt idx="494">
                  <c:v>93.354334871733968</c:v>
                </c:pt>
                <c:pt idx="495">
                  <c:v>93.280041089226913</c:v>
                </c:pt>
                <c:pt idx="496">
                  <c:v>93.207385375566673</c:v>
                </c:pt>
                <c:pt idx="497">
                  <c:v>93.136332096553986</c:v>
                </c:pt>
                <c:pt idx="498">
                  <c:v>93.066846361768739</c:v>
                </c:pt>
                <c:pt idx="499">
                  <c:v>92.99889401110444</c:v>
                </c:pt>
                <c:pt idx="500">
                  <c:v>92.932441601406609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800192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00192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25.384472450917521</c:v>
                </c:pt>
                <c:pt idx="1">
                  <c:v>25.384094168409057</c:v>
                </c:pt>
                <c:pt idx="2">
                  <c:v>25.383698548809377</c:v>
                </c:pt>
                <c:pt idx="3">
                  <c:v>25.383284799230935</c:v>
                </c:pt>
                <c:pt idx="4">
                  <c:v>25.38285209068324</c:v>
                </c:pt>
                <c:pt idx="5">
                  <c:v>25.382399556443342</c:v>
                </c:pt>
                <c:pt idx="6">
                  <c:v>25.381926290354958</c:v>
                </c:pt>
                <c:pt idx="7">
                  <c:v>25.381431345052015</c:v>
                </c:pt>
                <c:pt idx="8">
                  <c:v>25.380913730104005</c:v>
                </c:pt>
                <c:pt idx="9">
                  <c:v>25.380372410079445</c:v>
                </c:pt>
                <c:pt idx="10">
                  <c:v>25.379806302524468</c:v>
                </c:pt>
                <c:pt idx="11">
                  <c:v>25.379214275853052</c:v>
                </c:pt>
                <c:pt idx="12">
                  <c:v>25.378595147144182</c:v>
                </c:pt>
                <c:pt idx="13">
                  <c:v>25.377947679843889</c:v>
                </c:pt>
                <c:pt idx="14">
                  <c:v>25.37727058136587</c:v>
                </c:pt>
                <c:pt idx="15">
                  <c:v>25.376562500589593</c:v>
                </c:pt>
                <c:pt idx="16">
                  <c:v>25.375822025248564</c:v>
                </c:pt>
                <c:pt idx="17">
                  <c:v>25.375047679206677</c:v>
                </c:pt>
                <c:pt idx="18">
                  <c:v>25.374237919617144</c:v>
                </c:pt>
                <c:pt idx="19">
                  <c:v>25.373391133958769</c:v>
                </c:pt>
                <c:pt idx="20">
                  <c:v>25.37250563694673</c:v>
                </c:pt>
                <c:pt idx="21">
                  <c:v>25.3715796673103</c:v>
                </c:pt>
                <c:pt idx="22">
                  <c:v>25.370611384434994</c:v>
                </c:pt>
                <c:pt idx="23">
                  <c:v>25.36959886486089</c:v>
                </c:pt>
                <c:pt idx="24">
                  <c:v>25.368540098635599</c:v>
                </c:pt>
                <c:pt idx="25">
                  <c:v>25.367432985512032</c:v>
                </c:pt>
                <c:pt idx="26">
                  <c:v>25.366275330988582</c:v>
                </c:pt>
                <c:pt idx="27">
                  <c:v>25.365064842184548</c:v>
                </c:pt>
                <c:pt idx="28">
                  <c:v>25.363799123543988</c:v>
                </c:pt>
                <c:pt idx="29">
                  <c:v>25.362475672363949</c:v>
                </c:pt>
                <c:pt idx="30">
                  <c:v>25.361091874138985</c:v>
                </c:pt>
                <c:pt idx="31">
                  <c:v>25.359644997715964</c:v>
                </c:pt>
                <c:pt idx="32">
                  <c:v>25.358132190253599</c:v>
                </c:pt>
                <c:pt idx="33">
                  <c:v>25.356550471978913</c:v>
                </c:pt>
                <c:pt idx="34">
                  <c:v>25.354896730734513</c:v>
                </c:pt>
                <c:pt idx="35">
                  <c:v>25.353167716310139</c:v>
                </c:pt>
                <c:pt idx="36">
                  <c:v>25.351360034551096</c:v>
                </c:pt>
                <c:pt idx="37">
                  <c:v>25.349470141236946</c:v>
                </c:pt>
                <c:pt idx="38">
                  <c:v>25.347494335723646</c:v>
                </c:pt>
                <c:pt idx="39">
                  <c:v>25.345428754342386</c:v>
                </c:pt>
                <c:pt idx="40">
                  <c:v>25.343269363547787</c:v>
                </c:pt>
                <c:pt idx="41">
                  <c:v>25.341011952808795</c:v>
                </c:pt>
                <c:pt idx="42">
                  <c:v>25.338652127235971</c:v>
                </c:pt>
                <c:pt idx="43">
                  <c:v>25.336185299938482</c:v>
                </c:pt>
                <c:pt idx="44">
                  <c:v>25.333606684103209</c:v>
                </c:pt>
                <c:pt idx="45">
                  <c:v>25.330911284791817</c:v>
                </c:pt>
                <c:pt idx="46">
                  <c:v>25.32809389044813</c:v>
                </c:pt>
                <c:pt idx="47">
                  <c:v>25.325149064111095</c:v>
                </c:pt>
                <c:pt idx="48">
                  <c:v>25.322071134327434</c:v>
                </c:pt>
                <c:pt idx="49">
                  <c:v>25.318854185759513</c:v>
                </c:pt>
                <c:pt idx="50">
                  <c:v>25.315492049485108</c:v>
                </c:pt>
                <c:pt idx="51">
                  <c:v>25.311978292982985</c:v>
                </c:pt>
                <c:pt idx="52">
                  <c:v>25.308306209803206</c:v>
                </c:pt>
                <c:pt idx="53">
                  <c:v>25.304468808920667</c:v>
                </c:pt>
                <c:pt idx="54">
                  <c:v>25.300458803767061</c:v>
                </c:pt>
                <c:pt idx="55">
                  <c:v>25.296268600945329</c:v>
                </c:pt>
                <c:pt idx="56">
                  <c:v>25.291890288623339</c:v>
                </c:pt>
                <c:pt idx="57">
                  <c:v>25.287315624611875</c:v>
                </c:pt>
                <c:pt idx="58">
                  <c:v>25.282536024128252</c:v>
                </c:pt>
                <c:pt idx="59">
                  <c:v>25.277542547251251</c:v>
                </c:pt>
                <c:pt idx="60">
                  <c:v>25.272325886074377</c:v>
                </c:pt>
                <c:pt idx="61">
                  <c:v>25.266876351563845</c:v>
                </c:pt>
                <c:pt idx="62">
                  <c:v>25.261183860134739</c:v>
                </c:pt>
                <c:pt idx="63">
                  <c:v>25.255237919955253</c:v>
                </c:pt>
                <c:pt idx="64">
                  <c:v>25.249027616994844</c:v>
                </c:pt>
                <c:pt idx="65">
                  <c:v>25.242541600835274</c:v>
                </c:pt>
                <c:pt idx="66">
                  <c:v>25.235768070262033</c:v>
                </c:pt>
                <c:pt idx="67">
                  <c:v>25.228694758663423</c:v>
                </c:pt>
                <c:pt idx="68">
                  <c:v>25.22130891926038</c:v>
                </c:pt>
                <c:pt idx="69">
                  <c:v>25.21359731020015</c:v>
                </c:pt>
                <c:pt idx="70">
                  <c:v>25.205546179546264</c:v>
                </c:pt>
                <c:pt idx="71">
                  <c:v>25.19714125020468</c:v>
                </c:pt>
                <c:pt idx="72">
                  <c:v>25.188367704826227</c:v>
                </c:pt>
                <c:pt idx="73">
                  <c:v>25.179210170735612</c:v>
                </c:pt>
                <c:pt idx="74">
                  <c:v>25.169652704935732</c:v>
                </c:pt>
                <c:pt idx="75">
                  <c:v>25.159678779247368</c:v>
                </c:pt>
                <c:pt idx="76">
                  <c:v>25.14927126564492</c:v>
                </c:pt>
                <c:pt idx="77">
                  <c:v>25.138412421856962</c:v>
                </c:pt>
                <c:pt idx="78">
                  <c:v>25.127083877306625</c:v>
                </c:pt>
                <c:pt idx="79">
                  <c:v>25.115266619470468</c:v>
                </c:pt>
                <c:pt idx="80">
                  <c:v>25.102940980744041</c:v>
                </c:pt>
                <c:pt idx="81">
                  <c:v>25.090086625906668</c:v>
                </c:pt>
                <c:pt idx="82">
                  <c:v>25.076682540285145</c:v>
                </c:pt>
                <c:pt idx="83">
                  <c:v>25.062707018723529</c:v>
                </c:pt>
                <c:pt idx="84">
                  <c:v>25.048137655472825</c:v>
                </c:pt>
                <c:pt idx="85">
                  <c:v>25.032951335120245</c:v>
                </c:pt>
                <c:pt idx="86">
                  <c:v>25.017124224685602</c:v>
                </c:pt>
                <c:pt idx="87">
                  <c:v>25.000631767020671</c:v>
                </c:pt>
                <c:pt idx="88">
                  <c:v>24.983448675648404</c:v>
                </c:pt>
                <c:pt idx="89">
                  <c:v>24.965548931193638</c:v>
                </c:pt>
                <c:pt idx="90">
                  <c:v>24.946905779553759</c:v>
                </c:pt>
                <c:pt idx="91">
                  <c:v>24.927491731970434</c:v>
                </c:pt>
                <c:pt idx="92">
                  <c:v>24.907278567164106</c:v>
                </c:pt>
                <c:pt idx="93">
                  <c:v>24.886237335698276</c:v>
                </c:pt>
                <c:pt idx="94">
                  <c:v>24.864338366744061</c:v>
                </c:pt>
                <c:pt idx="95">
                  <c:v>24.841551277417679</c:v>
                </c:pt>
                <c:pt idx="96">
                  <c:v>24.817844984863008</c:v>
                </c:pt>
                <c:pt idx="97">
                  <c:v>24.79318772125383</c:v>
                </c:pt>
                <c:pt idx="98">
                  <c:v>24.767547051885444</c:v>
                </c:pt>
                <c:pt idx="99">
                  <c:v>24.740889896523989</c:v>
                </c:pt>
                <c:pt idx="100">
                  <c:v>24.713182554175795</c:v>
                </c:pt>
                <c:pt idx="101">
                  <c:v>24.684390731431975</c:v>
                </c:pt>
                <c:pt idx="102">
                  <c:v>24.6544795745328</c:v>
                </c:pt>
                <c:pt idx="103">
                  <c:v>24.623413705286726</c:v>
                </c:pt>
                <c:pt idx="104">
                  <c:v>24.591157260963556</c:v>
                </c:pt>
                <c:pt idx="105">
                  <c:v>24.557673938263878</c:v>
                </c:pt>
                <c:pt idx="106">
                  <c:v>24.522927041448806</c:v>
                </c:pt>
                <c:pt idx="107">
                  <c:v>24.486879534691898</c:v>
                </c:pt>
                <c:pt idx="108">
                  <c:v>24.449494098689463</c:v>
                </c:pt>
                <c:pt idx="109">
                  <c:v>24.410733191537926</c:v>
                </c:pt>
                <c:pt idx="110">
                  <c:v>24.370559113858615</c:v>
                </c:pt>
                <c:pt idx="111">
                  <c:v>24.32893407811455</c:v>
                </c:pt>
                <c:pt idx="112">
                  <c:v>24.285820282032265</c:v>
                </c:pt>
                <c:pt idx="113">
                  <c:v>24.241179985999679</c:v>
                </c:pt>
                <c:pt idx="114">
                  <c:v>24.194975594277377</c:v>
                </c:pt>
                <c:pt idx="115">
                  <c:v>24.147169739813378</c:v>
                </c:pt>
                <c:pt idx="116">
                  <c:v>24.097725372415052</c:v>
                </c:pt>
                <c:pt idx="117">
                  <c:v>24.046605849984502</c:v>
                </c:pt>
                <c:pt idx="118">
                  <c:v>23.99377503248239</c:v>
                </c:pt>
                <c:pt idx="119">
                  <c:v>23.93919737824227</c:v>
                </c:pt>
                <c:pt idx="120">
                  <c:v>23.882838042214047</c:v>
                </c:pt>
                <c:pt idx="121">
                  <c:v>23.824662975675185</c:v>
                </c:pt>
                <c:pt idx="122">
                  <c:v>23.764639026910295</c:v>
                </c:pt>
                <c:pt idx="123">
                  <c:v>23.702734042323431</c:v>
                </c:pt>
                <c:pt idx="124">
                  <c:v>23.638916967414346</c:v>
                </c:pt>
                <c:pt idx="125">
                  <c:v>23.573157947026509</c:v>
                </c:pt>
                <c:pt idx="126">
                  <c:v>23.505428424244911</c:v>
                </c:pt>
                <c:pt idx="127">
                  <c:v>23.435701237312415</c:v>
                </c:pt>
                <c:pt idx="128">
                  <c:v>23.363950713915965</c:v>
                </c:pt>
                <c:pt idx="129">
                  <c:v>23.29015276219376</c:v>
                </c:pt>
                <c:pt idx="130">
                  <c:v>23.214284957815678</c:v>
                </c:pt>
                <c:pt idx="131">
                  <c:v>23.136326626499365</c:v>
                </c:pt>
                <c:pt idx="132">
                  <c:v>23.056258921343762</c:v>
                </c:pt>
                <c:pt idx="133">
                  <c:v>22.974064894384171</c:v>
                </c:pt>
                <c:pt idx="134">
                  <c:v>22.889729561810434</c:v>
                </c:pt>
                <c:pt idx="135">
                  <c:v>22.803239962326252</c:v>
                </c:pt>
                <c:pt idx="136">
                  <c:v>22.71458520817653</c:v>
                </c:pt>
                <c:pt idx="137">
                  <c:v>22.623756528424614</c:v>
                </c:pt>
                <c:pt idx="138">
                  <c:v>22.530747304119124</c:v>
                </c:pt>
                <c:pt idx="139">
                  <c:v>22.435553095056214</c:v>
                </c:pt>
                <c:pt idx="140">
                  <c:v>22.33817165791136</c:v>
                </c:pt>
                <c:pt idx="141">
                  <c:v>22.238602955587623</c:v>
                </c:pt>
                <c:pt idx="142">
                  <c:v>22.136849157701892</c:v>
                </c:pt>
                <c:pt idx="143">
                  <c:v>22.032914632205774</c:v>
                </c:pt>
                <c:pt idx="144">
                  <c:v>21.926805928214211</c:v>
                </c:pt>
                <c:pt idx="145">
                  <c:v>21.818531750189099</c:v>
                </c:pt>
                <c:pt idx="146">
                  <c:v>21.708102923698021</c:v>
                </c:pt>
                <c:pt idx="147">
                  <c:v>21.595532353037648</c:v>
                </c:pt>
                <c:pt idx="148">
                  <c:v>21.480834971076057</c:v>
                </c:pt>
                <c:pt idx="149">
                  <c:v>21.364027681729581</c:v>
                </c:pt>
                <c:pt idx="150">
                  <c:v>21.245129295541929</c:v>
                </c:pt>
                <c:pt idx="151">
                  <c:v>21.12416045888455</c:v>
                </c:pt>
                <c:pt idx="152">
                  <c:v>21.00114357733521</c:v>
                </c:pt>
                <c:pt idx="153">
                  <c:v>20.876102733826958</c:v>
                </c:pt>
                <c:pt idx="154">
                  <c:v>20.749063602185998</c:v>
                </c:pt>
                <c:pt idx="155">
                  <c:v>20.620053356693777</c:v>
                </c:pt>
                <c:pt idx="156">
                  <c:v>20.489100578322304</c:v>
                </c:pt>
                <c:pt idx="157">
                  <c:v>20.356235158291767</c:v>
                </c:pt>
                <c:pt idx="158">
                  <c:v>20.221488199599428</c:v>
                </c:pt>
                <c:pt idx="159">
                  <c:v>20.0848919171546</c:v>
                </c:pt>
                <c:pt idx="160">
                  <c:v>19.946479537141968</c:v>
                </c:pt>
                <c:pt idx="161">
                  <c:v>19.806285196209359</c:v>
                </c:pt>
                <c:pt idx="162">
                  <c:v>19.664343841051924</c:v>
                </c:pt>
                <c:pt idx="163">
                  <c:v>19.520691128930711</c:v>
                </c:pt>
                <c:pt idx="164">
                  <c:v>19.37536332963041</c:v>
                </c:pt>
                <c:pt idx="165">
                  <c:v>19.228397229320368</c:v>
                </c:pt>
                <c:pt idx="166">
                  <c:v>19.079830036745097</c:v>
                </c:pt>
                <c:pt idx="167">
                  <c:v>18.929699292126049</c:v>
                </c:pt>
                <c:pt idx="168">
                  <c:v>18.778042779114934</c:v>
                </c:pt>
                <c:pt idx="169">
                  <c:v>18.624898440095489</c:v>
                </c:pt>
                <c:pt idx="170">
                  <c:v>18.470304295086191</c:v>
                </c:pt>
                <c:pt idx="171">
                  <c:v>18.314298364455524</c:v>
                </c:pt>
                <c:pt idx="172">
                  <c:v>18.156918595620088</c:v>
                </c:pt>
                <c:pt idx="173">
                  <c:v>17.998202793855437</c:v>
                </c:pt>
                <c:pt idx="174">
                  <c:v>17.838188557313529</c:v>
                </c:pt>
                <c:pt idx="175">
                  <c:v>17.676913216302754</c:v>
                </c:pt>
                <c:pt idx="176">
                  <c:v>17.51441377685758</c:v>
                </c:pt>
                <c:pt idx="177">
                  <c:v>17.350726868590403</c:v>
                </c:pt>
                <c:pt idx="178">
                  <c:v>17.185888696792084</c:v>
                </c:pt>
                <c:pt idx="179">
                  <c:v>17.019934998724558</c:v>
                </c:pt>
                <c:pt idx="180">
                  <c:v>16.85290100402306</c:v>
                </c:pt>
                <c:pt idx="181">
                  <c:v>16.684821399109161</c:v>
                </c:pt>
                <c:pt idx="182">
                  <c:v>16.51573029549651</c:v>
                </c:pt>
                <c:pt idx="183">
                  <c:v>16.345661201859141</c:v>
                </c:pt>
                <c:pt idx="184">
                  <c:v>16.174646999718142</c:v>
                </c:pt>
                <c:pt idx="185">
                  <c:v>16.002719922594387</c:v>
                </c:pt>
                <c:pt idx="186">
                  <c:v>15.829911538466643</c:v>
                </c:pt>
                <c:pt idx="187">
                  <c:v>15.656252735370304</c:v>
                </c:pt>
                <c:pt idx="188">
                  <c:v>15.481773709966202</c:v>
                </c:pt>
                <c:pt idx="189">
                  <c:v>15.30650395890939</c:v>
                </c:pt>
                <c:pt idx="190">
                  <c:v>15.130472272845783</c:v>
                </c:pt>
                <c:pt idx="191">
                  <c:v>14.953706732866788</c:v>
                </c:pt>
                <c:pt idx="192">
                  <c:v>14.776234709252003</c:v>
                </c:pt>
                <c:pt idx="193">
                  <c:v>14.598082862336689</c:v>
                </c:pt>
                <c:pt idx="194">
                  <c:v>14.419277145341487</c:v>
                </c:pt>
                <c:pt idx="195">
                  <c:v>14.239842809007669</c:v>
                </c:pt>
                <c:pt idx="196">
                  <c:v>14.05980440788916</c:v>
                </c:pt>
                <c:pt idx="197">
                  <c:v>13.879185808152769</c:v>
                </c:pt>
                <c:pt idx="198">
                  <c:v>13.698010196751955</c:v>
                </c:pt>
                <c:pt idx="199">
                  <c:v>13.516300091838788</c:v>
                </c:pt>
                <c:pt idx="200">
                  <c:v>13.334077354291171</c:v>
                </c:pt>
                <c:pt idx="201">
                  <c:v>13.151363200235116</c:v>
                </c:pt>
                <c:pt idx="202">
                  <c:v>12.96817821445314</c:v>
                </c:pt>
                <c:pt idx="203">
                  <c:v>12.784542364572227</c:v>
                </c:pt>
                <c:pt idx="204">
                  <c:v>12.600475015935764</c:v>
                </c:pt>
                <c:pt idx="205">
                  <c:v>12.415994947068491</c:v>
                </c:pt>
                <c:pt idx="206">
                  <c:v>12.231120365650177</c:v>
                </c:pt>
                <c:pt idx="207">
                  <c:v>12.045868924921724</c:v>
                </c:pt>
                <c:pt idx="208">
                  <c:v>11.860257740452273</c:v>
                </c:pt>
                <c:pt idx="209">
                  <c:v>11.674303407202489</c:v>
                </c:pt>
                <c:pt idx="210">
                  <c:v>11.488022016825372</c:v>
                </c:pt>
                <c:pt idx="211">
                  <c:v>11.301429175150568</c:v>
                </c:pt>
                <c:pt idx="212">
                  <c:v>11.114540019804977</c:v>
                </c:pt>
                <c:pt idx="213">
                  <c:v>10.927369237926243</c:v>
                </c:pt>
                <c:pt idx="214">
                  <c:v>10.739931083930561</c:v>
                </c:pt>
                <c:pt idx="215">
                  <c:v>10.552239397301978</c:v>
                </c:pt>
                <c:pt idx="216">
                  <c:v>10.364307620373312</c:v>
                </c:pt>
                <c:pt idx="217">
                  <c:v>10.17614881607286</c:v>
                </c:pt>
                <c:pt idx="218">
                  <c:v>9.9877756856176205</c:v>
                </c:pt>
                <c:pt idx="219">
                  <c:v>9.7992005861305778</c:v>
                </c:pt>
                <c:pt idx="220">
                  <c:v>9.6104355481722958</c:v>
                </c:pt>
                <c:pt idx="221">
                  <c:v>9.4214922931717027</c:v>
                </c:pt>
                <c:pt idx="222">
                  <c:v>9.2323822507480617</c:v>
                </c:pt>
                <c:pt idx="223">
                  <c:v>9.0431165759189689</c:v>
                </c:pt>
                <c:pt idx="224">
                  <c:v>8.8537061661889229</c:v>
                </c:pt>
                <c:pt idx="225">
                  <c:v>8.6641616785182336</c:v>
                </c:pt>
                <c:pt idx="226">
                  <c:v>8.4744935461721163</c:v>
                </c:pt>
                <c:pt idx="227">
                  <c:v>8.2847119954533213</c:v>
                </c:pt>
                <c:pt idx="228">
                  <c:v>8.0948270623211087</c:v>
                </c:pt>
                <c:pt idx="229">
                  <c:v>7.9048486089040351</c:v>
                </c:pt>
                <c:pt idx="230">
                  <c:v>7.7147863399131635</c:v>
                </c:pt>
                <c:pt idx="231">
                  <c:v>7.5246498189641446</c:v>
                </c:pt>
                <c:pt idx="232">
                  <c:v>7.3344484848185365</c:v>
                </c:pt>
                <c:pt idx="233">
                  <c:v>7.1441916675556563</c:v>
                </c:pt>
                <c:pt idx="234">
                  <c:v>6.9538886046861803</c:v>
                </c:pt>
                <c:pt idx="235">
                  <c:v>6.7635484572220461</c:v>
                </c:pt>
                <c:pt idx="236">
                  <c:v>6.5731803257141808</c:v>
                </c:pt>
                <c:pt idx="237">
                  <c:v>6.3827932662749784</c:v>
                </c:pt>
                <c:pt idx="238">
                  <c:v>6.1923963065992389</c:v>
                </c:pt>
                <c:pt idx="239">
                  <c:v>6.0019984619999338</c:v>
                </c:pt>
                <c:pt idx="240">
                  <c:v>5.8116087514754184</c:v>
                </c:pt>
                <c:pt idx="241">
                  <c:v>5.621236213823062</c:v>
                </c:pt>
                <c:pt idx="242">
                  <c:v>5.4308899238192403</c:v>
                </c:pt>
                <c:pt idx="243">
                  <c:v>5.2405790084807453</c:v>
                </c:pt>
                <c:pt idx="244">
                  <c:v>5.050312663425613</c:v>
                </c:pt>
                <c:pt idx="245">
                  <c:v>4.8601001693518011</c:v>
                </c:pt>
                <c:pt idx="246">
                  <c:v>4.6699509086515638</c:v>
                </c:pt>
                <c:pt idx="247">
                  <c:v>4.4798743821778251</c:v>
                </c:pt>
                <c:pt idx="248">
                  <c:v>4.2898802261825777</c:v>
                </c:pt>
                <c:pt idx="249">
                  <c:v>4.0999782294431899</c:v>
                </c:pt>
                <c:pt idx="250">
                  <c:v>3.9101783505952841</c:v>
                </c:pt>
                <c:pt idx="251">
                  <c:v>3.7204907356885459</c:v>
                </c:pt>
                <c:pt idx="252">
                  <c:v>3.5309257359826796</c:v>
                </c:pt>
                <c:pt idx="253">
                  <c:v>3.3414939260003598</c:v>
                </c:pt>
                <c:pt idx="254">
                  <c:v>3.1522061218523154</c:v>
                </c:pt>
                <c:pt idx="255">
                  <c:v>2.9630733998506562</c:v>
                </c:pt>
                <c:pt idx="256">
                  <c:v>2.7741071154242776</c:v>
                </c:pt>
                <c:pt idx="257">
                  <c:v>2.5853189223503792</c:v>
                </c:pt>
                <c:pt idx="258">
                  <c:v>2.3967207923151017</c:v>
                </c:pt>
                <c:pt idx="259">
                  <c:v>2.2083250348152288</c:v>
                </c:pt>
                <c:pt idx="260">
                  <c:v>2.0201443174103324</c:v>
                </c:pt>
                <c:pt idx="261">
                  <c:v>1.8321916863363477</c:v>
                </c:pt>
                <c:pt idx="262">
                  <c:v>1.644480587485653</c:v>
                </c:pt>
                <c:pt idx="263">
                  <c:v>1.4570248877638656</c:v>
                </c:pt>
                <c:pt idx="264">
                  <c:v>1.269838896821355</c:v>
                </c:pt>
                <c:pt idx="265">
                  <c:v>1.0829373891688683</c:v>
                </c:pt>
                <c:pt idx="266">
                  <c:v>0.89633562667042965</c:v>
                </c:pt>
                <c:pt idx="267">
                  <c:v>0.71004938141581375</c:v>
                </c:pt>
                <c:pt idx="268">
                  <c:v>0.52409495896492198</c:v>
                </c:pt>
                <c:pt idx="269">
                  <c:v>0.33848922195617559</c:v>
                </c:pt>
                <c:pt idx="270">
                  <c:v>0.1532496140687199</c:v>
                </c:pt>
                <c:pt idx="271">
                  <c:v>-3.160581567739873E-2</c:v>
                </c:pt>
                <c:pt idx="272">
                  <c:v>-0.21605838830090554</c:v>
                </c:pt>
                <c:pt idx="273">
                  <c:v>-0.4000887699417488</c:v>
                </c:pt>
                <c:pt idx="274">
                  <c:v>-0.58367694667185099</c:v>
                </c:pt>
                <c:pt idx="275">
                  <c:v>-0.76680219906681457</c:v>
                </c:pt>
                <c:pt idx="276">
                  <c:v>-0.94944307657430238</c:v>
                </c:pt>
                <c:pt idx="277">
                  <c:v>-1.1315773717191364</c:v>
                </c:pt>
                <c:pt idx="278">
                  <c:v>-1.3131820941942505</c:v>
                </c:pt>
                <c:pt idx="279">
                  <c:v>-1.4942334448891086</c:v>
                </c:pt>
                <c:pt idx="280">
                  <c:v>-1.6747067899139374</c:v>
                </c:pt>
                <c:pt idx="281">
                  <c:v>-1.8545766346869894</c:v>
                </c:pt>
                <c:pt idx="282">
                  <c:v>-2.0338165981555423</c:v>
                </c:pt>
                <c:pt idx="283">
                  <c:v>-2.2123993872317476</c:v>
                </c:pt>
                <c:pt idx="284">
                  <c:v>-2.3902967715289023</c:v>
                </c:pt>
                <c:pt idx="285">
                  <c:v>-2.5674795584936887</c:v>
                </c:pt>
                <c:pt idx="286">
                  <c:v>-2.7439175690366775</c:v>
                </c:pt>
                <c:pt idx="287">
                  <c:v>-2.9195796137721661</c:v>
                </c:pt>
                <c:pt idx="288">
                  <c:v>-3.094433469986166</c:v>
                </c:pt>
                <c:pt idx="289">
                  <c:v>-3.2684458594602983</c:v>
                </c:pt>
                <c:pt idx="290">
                  <c:v>-3.441582427287269</c:v>
                </c:pt>
                <c:pt idx="291">
                  <c:v>-3.6138077218223961</c:v>
                </c:pt>
                <c:pt idx="292">
                  <c:v>-3.7850851759250101</c:v>
                </c:pt>
                <c:pt idx="293">
                  <c:v>-3.9553770896491609</c:v>
                </c:pt>
                <c:pt idx="294">
                  <c:v>-4.1246446145533273</c:v>
                </c:pt>
                <c:pt idx="295">
                  <c:v>-4.2928477398065086</c:v>
                </c:pt>
                <c:pt idx="296">
                  <c:v>-4.4599452802728781</c:v>
                </c:pt>
                <c:pt idx="297">
                  <c:v>-4.6258948667653881</c:v>
                </c:pt>
                <c:pt idx="298">
                  <c:v>-4.7906529386652155</c:v>
                </c:pt>
                <c:pt idx="299">
                  <c:v>-4.9541747391059374</c:v>
                </c:pt>
                <c:pt idx="300">
                  <c:v>-5.1164143129276995</c:v>
                </c:pt>
                <c:pt idx="301">
                  <c:v>-5.2773245076077222</c:v>
                </c:pt>
                <c:pt idx="302">
                  <c:v>-5.4368569773768662</c:v>
                </c:pt>
                <c:pt idx="303">
                  <c:v>-5.5949621907267657</c:v>
                </c:pt>
                <c:pt idx="304">
                  <c:v>-5.7515894415172495</c:v>
                </c:pt>
                <c:pt idx="305">
                  <c:v>-5.9066868638828165</c:v>
                </c:pt>
                <c:pt idx="306">
                  <c:v>-6.0602014511360123</c:v>
                </c:pt>
                <c:pt idx="307">
                  <c:v>-6.2120790788556519</c:v>
                </c:pt>
                <c:pt idx="308">
                  <c:v>-6.3622645323369023</c:v>
                </c:pt>
                <c:pt idx="309">
                  <c:v>-6.5107015385700908</c:v>
                </c:pt>
                <c:pt idx="310">
                  <c:v>-6.6573328028970398</c:v>
                </c:pt>
                <c:pt idx="311">
                  <c:v>-6.8021000504776143</c:v>
                </c:pt>
                <c:pt idx="312">
                  <c:v>-6.9449440726795997</c:v>
                </c:pt>
                <c:pt idx="313">
                  <c:v>-7.0858047784806555</c:v>
                </c:pt>
                <c:pt idx="314">
                  <c:v>-7.2246212509467842</c:v>
                </c:pt>
                <c:pt idx="315">
                  <c:v>-7.3613318088233983</c:v>
                </c:pt>
                <c:pt idx="316">
                  <c:v>-7.4958740732451359</c:v>
                </c:pt>
                <c:pt idx="317">
                  <c:v>-7.6281850395393311</c:v>
                </c:pt>
                <c:pt idx="318">
                  <c:v>-7.7582011540609139</c:v>
                </c:pt>
                <c:pt idx="319">
                  <c:v>-7.8858583959652941</c:v>
                </c:pt>
                <c:pt idx="320">
                  <c:v>-8.0110923637831881</c:v>
                </c:pt>
                <c:pt idx="321">
                  <c:v>-8.1338383666289911</c:v>
                </c:pt>
                <c:pt idx="322">
                  <c:v>-8.2540315198306864</c:v>
                </c:pt>
                <c:pt idx="323">
                  <c:v>-8.3716068447350445</c:v>
                </c:pt>
                <c:pt idx="324">
                  <c:v>-8.486499372401008</c:v>
                </c:pt>
                <c:pt idx="325">
                  <c:v>-8.5986442508568022</c:v>
                </c:pt>
                <c:pt idx="326">
                  <c:v>-8.7079768555652937</c:v>
                </c:pt>
                <c:pt idx="327">
                  <c:v>-8.8144329027029276</c:v>
                </c:pt>
                <c:pt idx="328">
                  <c:v>-8.9179485648301497</c:v>
                </c:pt>
                <c:pt idx="329">
                  <c:v>-9.0184605885042899</c:v>
                </c:pt>
                <c:pt idx="330">
                  <c:v>-9.1159064133591219</c:v>
                </c:pt>
                <c:pt idx="331">
                  <c:v>-9.2102242921585891</c:v>
                </c:pt>
                <c:pt idx="332">
                  <c:v>-9.3013534113150076</c:v>
                </c:pt>
                <c:pt idx="333">
                  <c:v>-9.3892340113501103</c:v>
                </c:pt>
                <c:pt idx="334">
                  <c:v>-9.4738075067764207</c:v>
                </c:pt>
                <c:pt idx="335">
                  <c:v>-9.5550166048685128</c:v>
                </c:pt>
                <c:pt idx="336">
                  <c:v>-9.6328054228051467</c:v>
                </c:pt>
                <c:pt idx="337">
                  <c:v>-9.7071196026658964</c:v>
                </c:pt>
                <c:pt idx="338">
                  <c:v>-9.7779064237853657</c:v>
                </c:pt>
                <c:pt idx="339">
                  <c:v>-9.8451149119817902</c:v>
                </c:pt>
                <c:pt idx="340">
                  <c:v>-9.9086959452010266</c:v>
                </c:pt>
                <c:pt idx="341">
                  <c:v>-9.9686023551428455</c:v>
                </c:pt>
                <c:pt idx="342">
                  <c:v>-10.024789024462777</c:v>
                </c:pt>
                <c:pt idx="343">
                  <c:v>-10.077212979174186</c:v>
                </c:pt>
                <c:pt idx="344">
                  <c:v>-10.125833475908586</c:v>
                </c:pt>
                <c:pt idx="345">
                  <c:v>-10.170612083721981</c:v>
                </c:pt>
                <c:pt idx="346">
                  <c:v>-10.211512760170651</c:v>
                </c:pt>
                <c:pt idx="347">
                  <c:v>-10.248501921409805</c:v>
                </c:pt>
                <c:pt idx="348">
                  <c:v>-10.28154850610181</c:v>
                </c:pt>
                <c:pt idx="349">
                  <c:v>-10.310624032947677</c:v>
                </c:pt>
                <c:pt idx="350">
                  <c:v>-10.335702651685283</c:v>
                </c:pt>
                <c:pt idx="351">
                  <c:v>-10.356761187419215</c:v>
                </c:pt>
                <c:pt idx="352">
                  <c:v>-10.373779178172926</c:v>
                </c:pt>
                <c:pt idx="353">
                  <c:v>-10.386738905569491</c:v>
                </c:pt>
                <c:pt idx="354">
                  <c:v>-10.395625418565402</c:v>
                </c:pt>
                <c:pt idx="355">
                  <c:v>-10.400426550175402</c:v>
                </c:pt>
                <c:pt idx="356">
                  <c:v>-10.401132927136462</c:v>
                </c:pt>
                <c:pt idx="357">
                  <c:v>-10.397737972469386</c:v>
                </c:pt>
                <c:pt idx="358">
                  <c:v>-10.390237900903278</c:v>
                </c:pt>
                <c:pt idx="359">
                  <c:v>-10.378631707134867</c:v>
                </c:pt>
                <c:pt idx="360">
                  <c:v>-10.3629211469007</c:v>
                </c:pt>
                <c:pt idx="361">
                  <c:v>-10.343110710846268</c:v>
                </c:pt>
                <c:pt idx="362">
                  <c:v>-10.319207591183046</c:v>
                </c:pt>
                <c:pt idx="363">
                  <c:v>-10.291221641132291</c:v>
                </c:pt>
                <c:pt idx="364">
                  <c:v>-10.259165327162696</c:v>
                </c:pt>
                <c:pt idx="365">
                  <c:v>-10.223053674044898</c:v>
                </c:pt>
                <c:pt idx="366">
                  <c:v>-10.182904202752738</c:v>
                </c:pt>
                <c:pt idx="367">
                  <c:v>-10.138736861266647</c:v>
                </c:pt>
                <c:pt idx="368">
                  <c:v>-10.090573948346233</c:v>
                </c:pt>
                <c:pt idx="369">
                  <c:v>-10.038440030364402</c:v>
                </c:pt>
                <c:pt idx="370">
                  <c:v>-9.9823618513218975</c:v>
                </c:pt>
                <c:pt idx="371">
                  <c:v>-9.9223682361818692</c:v>
                </c:pt>
                <c:pt idx="372">
                  <c:v>-9.8584899876987677</c:v>
                </c:pt>
                <c:pt idx="373">
                  <c:v>-9.7907597769388239</c:v>
                </c:pt>
                <c:pt idx="374">
                  <c:v>-9.7192120277262433</c:v>
                </c:pt>
                <c:pt idx="375">
                  <c:v>-9.6438827952718089</c:v>
                </c:pt>
                <c:pt idx="376">
                  <c:v>-9.5648096392762909</c:v>
                </c:pt>
                <c:pt idx="377">
                  <c:v>-9.4820314918230526</c:v>
                </c:pt>
                <c:pt idx="378">
                  <c:v>-9.395588520404635</c:v>
                </c:pt>
                <c:pt idx="379">
                  <c:v>-9.3055219864465233</c:v>
                </c:pt>
                <c:pt idx="380">
                  <c:v>-9.2118740997125279</c:v>
                </c:pt>
                <c:pt idx="381">
                  <c:v>-9.11468786898965</c:v>
                </c:pt>
                <c:pt idx="382">
                  <c:v>-9.0140069494623685</c:v>
                </c:pt>
                <c:pt idx="383">
                  <c:v>-8.9098754871896961</c:v>
                </c:pt>
                <c:pt idx="384">
                  <c:v>-8.8023379610970736</c:v>
                </c:pt>
                <c:pt idx="385">
                  <c:v>-8.6914390228945404</c:v>
                </c:pt>
                <c:pt idx="386">
                  <c:v>-8.5772233353147271</c:v>
                </c:pt>
                <c:pt idx="387">
                  <c:v>-8.4597354090513512</c:v>
                </c:pt>
                <c:pt idx="388">
                  <c:v>-8.3390194387552157</c:v>
                </c:pt>
                <c:pt idx="389">
                  <c:v>-8.2151191384180464</c:v>
                </c:pt>
                <c:pt idx="390">
                  <c:v>-8.088077576437497</c:v>
                </c:pt>
                <c:pt idx="391">
                  <c:v>-7.9579370106250424</c:v>
                </c:pt>
                <c:pt idx="392">
                  <c:v>-7.8247387233704675</c:v>
                </c:pt>
                <c:pt idx="393">
                  <c:v>-7.6885228571348598</c:v>
                </c:pt>
                <c:pt idx="394">
                  <c:v>-7.5493282503905723</c:v>
                </c:pt>
                <c:pt idx="395">
                  <c:v>-7.4071922740780796</c:v>
                </c:pt>
                <c:pt idx="396">
                  <c:v>-7.2621506685891335</c:v>
                </c:pt>
                <c:pt idx="397">
                  <c:v>-7.1142373812324369</c:v>
                </c:pt>
                <c:pt idx="398">
                  <c:v>-6.9634844040744968</c:v>
                </c:pt>
                <c:pt idx="399">
                  <c:v>-6.8099216119895942</c:v>
                </c:pt>
                <c:pt idx="400">
                  <c:v>-6.6535766006887691</c:v>
                </c:pt>
                <c:pt idx="401">
                  <c:v>-6.4944745244333237</c:v>
                </c:pt>
                <c:pt idx="402">
                  <c:v>-6.3326379330756488</c:v>
                </c:pt>
                <c:pt idx="403">
                  <c:v>-6.1680866080023931</c:v>
                </c:pt>
                <c:pt idx="404">
                  <c:v>-6.0008373964889632</c:v>
                </c:pt>
                <c:pt idx="405">
                  <c:v>-5.8309040439085456</c:v>
                </c:pt>
                <c:pt idx="406">
                  <c:v>-5.6582970231683181</c:v>
                </c:pt>
                <c:pt idx="407">
                  <c:v>-5.4830233606781489</c:v>
                </c:pt>
                <c:pt idx="408">
                  <c:v>-5.3050864580845563</c:v>
                </c:pt>
                <c:pt idx="409">
                  <c:v>-5.1244859089317849</c:v>
                </c:pt>
                <c:pt idx="410">
                  <c:v>-4.9412173093370546</c:v>
                </c:pt>
                <c:pt idx="411">
                  <c:v>-4.7552720616921391</c:v>
                </c:pt>
                <c:pt idx="412">
                  <c:v>-4.5666371703214859</c:v>
                </c:pt>
                <c:pt idx="413">
                  <c:v>-4.3752950279511928</c:v>
                </c:pt>
                <c:pt idx="414">
                  <c:v>-4.1812231917530438</c:v>
                </c:pt>
                <c:pt idx="415">
                  <c:v>-3.9843941476470772</c:v>
                </c:pt>
                <c:pt idx="416">
                  <c:v>-3.7847750614516737</c:v>
                </c:pt>
                <c:pt idx="417">
                  <c:v>-3.5823275153801504</c:v>
                </c:pt>
                <c:pt idx="418">
                  <c:v>-3.3770072282905099</c:v>
                </c:pt>
                <c:pt idx="419">
                  <c:v>-3.1687637579984291</c:v>
                </c:pt>
                <c:pt idx="420">
                  <c:v>-2.9575401838723678</c:v>
                </c:pt>
                <c:pt idx="421">
                  <c:v>-2.743272767839569</c:v>
                </c:pt>
                <c:pt idx="422">
                  <c:v>-2.5258905918524714</c:v>
                </c:pt>
                <c:pt idx="423">
                  <c:v>-2.3053151697942704</c:v>
                </c:pt>
                <c:pt idx="424">
                  <c:v>-2.0814600317588288</c:v>
                </c:pt>
                <c:pt idx="425">
                  <c:v>-1.8542302786182139</c:v>
                </c:pt>
                <c:pt idx="426">
                  <c:v>-1.6235221048244577</c:v>
                </c:pt>
                <c:pt idx="427">
                  <c:v>-1.3892222874791018</c:v>
                </c:pt>
                <c:pt idx="428">
                  <c:v>-1.1512076398855884</c:v>
                </c:pt>
                <c:pt idx="429">
                  <c:v>-0.90934442810128435</c:v>
                </c:pt>
                <c:pt idx="430">
                  <c:v>-0.66348774947560918</c:v>
                </c:pt>
                <c:pt idx="431">
                  <c:v>-0.41348087285938745</c:v>
                </c:pt>
                <c:pt idx="432">
                  <c:v>-0.15915454118294733</c:v>
                </c:pt>
                <c:pt idx="433">
                  <c:v>9.9673761469196556E-2</c:v>
                </c:pt>
                <c:pt idx="434">
                  <c:v>0.36320057415561796</c:v>
                </c:pt>
                <c:pt idx="435">
                  <c:v>0.6316372478423794</c:v>
                </c:pt>
                <c:pt idx="436">
                  <c:v>0.90521074791967493</c:v>
                </c:pt>
                <c:pt idx="437">
                  <c:v>1.1841644545359191</c:v>
                </c:pt>
                <c:pt idx="438">
                  <c:v>1.4687589377063468</c:v>
                </c:pt>
                <c:pt idx="439">
                  <c:v>1.7592726744730824</c:v>
                </c:pt>
                <c:pt idx="440">
                  <c:v>2.0560026622422005</c:v>
                </c:pt>
                <c:pt idx="441">
                  <c:v>2.3592648645718213</c:v>
                </c:pt>
                <c:pt idx="442">
                  <c:v>2.6693944014273563</c:v>
                </c:pt>
                <c:pt idx="443">
                  <c:v>2.9867453629862428</c:v>
                </c:pt>
                <c:pt idx="444">
                  <c:v>3.3116900813090515</c:v>
                </c:pt>
                <c:pt idx="445">
                  <c:v>3.6446176333278855</c:v>
                </c:pt>
                <c:pt idx="446">
                  <c:v>3.9859312658111019</c:v>
                </c:pt>
                <c:pt idx="447">
                  <c:v>4.3360443203559429</c:v>
                </c:pt>
                <c:pt idx="448">
                  <c:v>4.6953740833981286</c:v>
                </c:pt>
                <c:pt idx="449">
                  <c:v>5.0643327785431316</c:v>
                </c:pt>
                <c:pt idx="450">
                  <c:v>5.4433146376972754</c:v>
                </c:pt>
                <c:pt idx="451">
                  <c:v>5.8326776099130306</c:v>
                </c:pt>
                <c:pt idx="452">
                  <c:v>6.2327177639887701</c:v>
                </c:pt>
                <c:pt idx="453">
                  <c:v>6.6436337809659927</c:v>
                </c:pt>
                <c:pt idx="454">
                  <c:v>7.0654780868385245</c:v>
                </c:pt>
                <c:pt idx="455">
                  <c:v>7.4980901324194633</c:v>
                </c:pt>
                <c:pt idx="456">
                  <c:v>7.9410061227998883</c:v>
                </c:pt>
                <c:pt idx="457">
                  <c:v>8.3933382781096295</c:v>
                </c:pt>
                <c:pt idx="458">
                  <c:v>8.8536158345150859</c:v>
                </c:pt>
                <c:pt idx="459">
                  <c:v>9.319580239325914</c:v>
                </c:pt>
                <c:pt idx="460">
                  <c:v>9.7879298098157683</c:v>
                </c:pt>
                <c:pt idx="461">
                  <c:v>10.254016974871739</c:v>
                </c:pt>
                <c:pt idx="462">
                  <c:v>10.711517731027362</c:v>
                </c:pt>
                <c:pt idx="463">
                  <c:v>11.152122290901188</c:v>
                </c:pt>
                <c:pt idx="464">
                  <c:v>11.565340165671838</c:v>
                </c:pt>
                <c:pt idx="465">
                  <c:v>11.938565906521216</c:v>
                </c:pt>
                <c:pt idx="466">
                  <c:v>12.257589362019326</c:v>
                </c:pt>
                <c:pt idx="467">
                  <c:v>12.507708559569522</c:v>
                </c:pt>
                <c:pt idx="468">
                  <c:v>12.675457736953074</c:v>
                </c:pt>
                <c:pt idx="469">
                  <c:v>12.750687965425797</c:v>
                </c:pt>
                <c:pt idx="470">
                  <c:v>12.72844151603918</c:v>
                </c:pt>
                <c:pt idx="471">
                  <c:v>12.609960911327928</c:v>
                </c:pt>
                <c:pt idx="472">
                  <c:v>12.40242883057066</c:v>
                </c:pt>
                <c:pt idx="473">
                  <c:v>12.117545945225721</c:v>
                </c:pt>
                <c:pt idx="474">
                  <c:v>11.769494620666357</c:v>
                </c:pt>
                <c:pt idx="475">
                  <c:v>11.37294565860434</c:v>
                </c:pt>
                <c:pt idx="476">
                  <c:v>10.941559847863084</c:v>
                </c:pt>
                <c:pt idx="477">
                  <c:v>10.487126280722967</c:v>
                </c:pt>
                <c:pt idx="478">
                  <c:v>10.019250404372055</c:v>
                </c:pt>
                <c:pt idx="479">
                  <c:v>9.5454120705465897</c:v>
                </c:pt>
                <c:pt idx="480">
                  <c:v>9.0712202215047881</c:v>
                </c:pt>
                <c:pt idx="481">
                  <c:v>8.6007389713082052</c:v>
                </c:pt>
                <c:pt idx="482">
                  <c:v>8.1368110277821142</c:v>
                </c:pt>
                <c:pt idx="483">
                  <c:v>7.681342854581934</c:v>
                </c:pt>
                <c:pt idx="484">
                  <c:v>7.2355397827755672</c:v>
                </c:pt>
                <c:pt idx="485">
                  <c:v>6.8000918677597983</c:v>
                </c:pt>
                <c:pt idx="486">
                  <c:v>6.3753167747295079</c:v>
                </c:pt>
                <c:pt idx="487">
                  <c:v>5.9612675431954365</c:v>
                </c:pt>
                <c:pt idx="488">
                  <c:v>5.5578127552464913</c:v>
                </c:pt>
                <c:pt idx="489">
                  <c:v>5.1646955575474802</c:v>
                </c:pt>
                <c:pt idx="490">
                  <c:v>4.7815767446472472</c:v>
                </c:pt>
                <c:pt idx="491">
                  <c:v>4.4080659609427633</c:v>
                </c:pt>
                <c:pt idx="492">
                  <c:v>4.0437441127108293</c:v>
                </c:pt>
                <c:pt idx="493">
                  <c:v>3.6881793121745239</c:v>
                </c:pt>
                <c:pt idx="494">
                  <c:v>3.3409380816162102</c:v>
                </c:pt>
                <c:pt idx="495">
                  <c:v>3.0015930959554868</c:v>
                </c:pt>
                <c:pt idx="496">
                  <c:v>2.6697284060738897</c:v>
                </c:pt>
                <c:pt idx="497">
                  <c:v>2.3449428358143161</c:v>
                </c:pt>
                <c:pt idx="498">
                  <c:v>2.0268520614692638</c:v>
                </c:pt>
                <c:pt idx="499">
                  <c:v>1.7150897469965813</c:v>
                </c:pt>
                <c:pt idx="500">
                  <c:v>1.395954993860079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4D19-9DBC-690DDB1D00CA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64.279744907659207</c:v>
                </c:pt>
                <c:pt idx="1">
                  <c:v>64.089117815883611</c:v>
                </c:pt>
                <c:pt idx="2">
                  <c:v>63.898273063899452</c:v>
                </c:pt>
                <c:pt idx="3">
                  <c:v>63.70721841815201</c:v>
                </c:pt>
                <c:pt idx="4">
                  <c:v>63.515961274186736</c:v>
                </c:pt>
                <c:pt idx="5">
                  <c:v>63.324508667336374</c:v>
                </c:pt>
                <c:pt idx="6">
                  <c:v>63.132867283029711</c:v>
                </c:pt>
                <c:pt idx="7">
                  <c:v>62.941043466715428</c:v>
                </c:pt>
                <c:pt idx="8">
                  <c:v>62.749043233397316</c:v>
                </c:pt>
                <c:pt idx="9">
                  <c:v>62.5568722767769</c:v>
                </c:pt>
                <c:pt idx="10">
                  <c:v>62.364535978002181</c:v>
                </c:pt>
                <c:pt idx="11">
                  <c:v>62.172039414020318</c:v>
                </c:pt>
                <c:pt idx="12">
                  <c:v>61.979387365533292</c:v>
                </c:pt>
                <c:pt idx="13">
                  <c:v>61.786584324557623</c:v>
                </c:pt>
                <c:pt idx="14">
                  <c:v>61.593634501586656</c:v>
                </c:pt>
                <c:pt idx="15">
                  <c:v>61.400541832358961</c:v>
                </c:pt>
                <c:pt idx="16">
                  <c:v>61.207309984231458</c:v>
                </c:pt>
                <c:pt idx="17">
                  <c:v>61.013942362160662</c:v>
                </c:pt>
                <c:pt idx="18">
                  <c:v>60.820442114293293</c:v>
                </c:pt>
                <c:pt idx="19">
                  <c:v>60.626812137167498</c:v>
                </c:pt>
                <c:pt idx="20">
                  <c:v>60.43305508052876</c:v>
                </c:pt>
                <c:pt idx="21">
                  <c:v>60.239173351760307</c:v>
                </c:pt>
                <c:pt idx="22">
                  <c:v>60.045169119932417</c:v>
                </c:pt>
                <c:pt idx="23">
                  <c:v>59.851044319470702</c:v>
                </c:pt>
                <c:pt idx="24">
                  <c:v>59.656800653448535</c:v>
                </c:pt>
                <c:pt idx="25">
                  <c:v>59.46243959650166</c:v>
                </c:pt>
                <c:pt idx="26">
                  <c:v>59.267962397371264</c:v>
                </c:pt>
                <c:pt idx="27">
                  <c:v>59.073370081074984</c:v>
                </c:pt>
                <c:pt idx="28">
                  <c:v>58.878663450707052</c:v>
                </c:pt>
                <c:pt idx="29">
                  <c:v>58.683843088872059</c:v>
                </c:pt>
                <c:pt idx="30">
                  <c:v>58.488909358751066</c:v>
                </c:pt>
                <c:pt idx="31">
                  <c:v>58.293862404802425</c:v>
                </c:pt>
                <c:pt idx="32">
                  <c:v>58.098702153099246</c:v>
                </c:pt>
                <c:pt idx="33">
                  <c:v>57.903428311302861</c:v>
                </c:pt>
                <c:pt idx="34">
                  <c:v>57.708040368274894</c:v>
                </c:pt>
                <c:pt idx="35">
                  <c:v>57.51253759332738</c:v>
                </c:pt>
                <c:pt idx="36">
                  <c:v>57.316919035112107</c:v>
                </c:pt>
                <c:pt idx="37">
                  <c:v>57.121183520149245</c:v>
                </c:pt>
                <c:pt idx="38">
                  <c:v>56.92532965099646</c:v>
                </c:pt>
                <c:pt idx="39">
                  <c:v>56.729355804057207</c:v>
                </c:pt>
                <c:pt idx="40">
                  <c:v>56.533260127030744</c:v>
                </c:pt>
                <c:pt idx="41">
                  <c:v>56.337040536000728</c:v>
                </c:pt>
                <c:pt idx="42">
                  <c:v>56.14069471216618</c:v>
                </c:pt>
                <c:pt idx="43">
                  <c:v>55.94422009821308</c:v>
                </c:pt>
                <c:pt idx="44">
                  <c:v>55.74761389432625</c:v>
                </c:pt>
                <c:pt idx="45">
                  <c:v>55.550873053843929</c:v>
                </c:pt>
                <c:pt idx="46">
                  <c:v>55.353994278554531</c:v>
                </c:pt>
                <c:pt idx="47">
                  <c:v>55.15697401363655</c:v>
                </c:pt>
                <c:pt idx="48">
                  <c:v>54.959808442242888</c:v>
                </c:pt>
                <c:pt idx="49">
                  <c:v>54.76249347973139</c:v>
                </c:pt>
                <c:pt idx="50">
                  <c:v>54.565024767544266</c:v>
                </c:pt>
                <c:pt idx="51">
                  <c:v>54.367397666737247</c:v>
                </c:pt>
                <c:pt idx="52">
                  <c:v>54.16960725116332</c:v>
                </c:pt>
                <c:pt idx="53">
                  <c:v>53.971648300315898</c:v>
                </c:pt>
                <c:pt idx="54">
                  <c:v>53.773515291832638</c:v>
                </c:pt>
                <c:pt idx="55">
                  <c:v>53.575202393670892</c:v>
                </c:pt>
                <c:pt idx="56">
                  <c:v>53.376703455956857</c:v>
                </c:pt>
                <c:pt idx="57">
                  <c:v>53.178012002520106</c:v>
                </c:pt>
                <c:pt idx="58">
                  <c:v>52.97912122212135</c:v>
                </c:pt>
                <c:pt idx="59">
                  <c:v>52.780023959384749</c:v>
                </c:pt>
                <c:pt idx="60">
                  <c:v>52.580712705448441</c:v>
                </c:pt>
                <c:pt idx="61">
                  <c:v>52.381179588345574</c:v>
                </c:pt>
                <c:pt idx="62">
                  <c:v>52.181416363136073</c:v>
                </c:pt>
                <c:pt idx="63">
                  <c:v>51.981414401804685</c:v>
                </c:pt>
                <c:pt idx="64">
                  <c:v>51.781164682948258</c:v>
                </c:pt>
                <c:pt idx="65">
                  <c:v>51.580657781277019</c:v>
                </c:pt>
                <c:pt idx="66">
                  <c:v>51.379883856953725</c:v>
                </c:pt>
                <c:pt idx="67">
                  <c:v>51.178832644805482</c:v>
                </c:pt>
                <c:pt idx="68">
                  <c:v>50.977493443436174</c:v>
                </c:pt>
                <c:pt idx="69">
                  <c:v>50.775855104281035</c:v>
                </c:pt>
                <c:pt idx="70">
                  <c:v>50.573906020641104</c:v>
                </c:pt>
                <c:pt idx="71">
                  <c:v>50.371634116745355</c:v>
                </c:pt>
                <c:pt idx="72">
                  <c:v>50.169026836886111</c:v>
                </c:pt>
                <c:pt idx="73">
                  <c:v>49.966071134686629</c:v>
                </c:pt>
                <c:pt idx="74">
                  <c:v>49.762753462555068</c:v>
                </c:pt>
                <c:pt idx="75">
                  <c:v>49.559059761393016</c:v>
                </c:pt>
                <c:pt idx="76">
                  <c:v>49.354975450625886</c:v>
                </c:pt>
                <c:pt idx="77">
                  <c:v>49.150485418631547</c:v>
                </c:pt>
                <c:pt idx="78">
                  <c:v>48.945574013649534</c:v>
                </c:pt>
                <c:pt idx="79">
                  <c:v>48.740225035256174</c:v>
                </c:pt>
                <c:pt idx="80">
                  <c:v>48.534421726503041</c:v>
                </c:pt>
                <c:pt idx="81">
                  <c:v>48.32814676681658</c:v>
                </c:pt>
                <c:pt idx="82">
                  <c:v>48.121382265768531</c:v>
                </c:pt>
                <c:pt idx="83">
                  <c:v>47.91410975782982</c:v>
                </c:pt>
                <c:pt idx="84">
                  <c:v>47.706310198231535</c:v>
                </c:pt>
                <c:pt idx="85">
                  <c:v>47.497963960058613</c:v>
                </c:pt>
                <c:pt idx="86">
                  <c:v>47.289050832713073</c:v>
                </c:pt>
                <c:pt idx="87">
                  <c:v>47.079550021889389</c:v>
                </c:pt>
                <c:pt idx="88">
                  <c:v>46.869440151207073</c:v>
                </c:pt>
                <c:pt idx="89">
                  <c:v>46.658699265659727</c:v>
                </c:pt>
                <c:pt idx="90">
                  <c:v>46.447304837037194</c:v>
                </c:pt>
                <c:pt idx="91">
                  <c:v>46.235233771488225</c:v>
                </c:pt>
                <c:pt idx="92">
                  <c:v>46.022462419394806</c:v>
                </c:pt>
                <c:pt idx="93">
                  <c:v>45.80896658773009</c:v>
                </c:pt>
                <c:pt idx="94">
                  <c:v>45.594721555079474</c:v>
                </c:pt>
                <c:pt idx="95">
                  <c:v>45.37970208950351</c:v>
                </c:pt>
                <c:pt idx="96">
                  <c:v>45.163882469421196</c:v>
                </c:pt>
                <c:pt idx="97">
                  <c:v>44.947236507694683</c:v>
                </c:pt>
                <c:pt idx="98">
                  <c:v>44.729737579091108</c:v>
                </c:pt>
                <c:pt idx="99">
                  <c:v>44.511358651294834</c:v>
                </c:pt>
                <c:pt idx="100">
                  <c:v>44.292072319637285</c:v>
                </c:pt>
                <c:pt idx="101">
                  <c:v>44.071850845703992</c:v>
                </c:pt>
                <c:pt idx="102">
                  <c:v>43.850666199966639</c:v>
                </c:pt>
                <c:pt idx="103">
                  <c:v>43.62849010857758</c:v>
                </c:pt>
                <c:pt idx="104">
                  <c:v>43.405294104448309</c:v>
                </c:pt>
                <c:pt idx="105">
                  <c:v>43.181049582714415</c:v>
                </c:pt>
                <c:pt idx="106">
                  <c:v>42.955727860671047</c:v>
                </c:pt>
                <c:pt idx="107">
                  <c:v>42.729300242238892</c:v>
                </c:pt>
                <c:pt idx="108">
                  <c:v>42.501738086993655</c:v>
                </c:pt>
                <c:pt idx="109">
                  <c:v>42.273012883763798</c:v>
                </c:pt>
                <c:pt idx="110">
                  <c:v>42.043096328769735</c:v>
                </c:pt>
                <c:pt idx="111">
                  <c:v>41.811960408241724</c:v>
                </c:pt>
                <c:pt idx="112">
                  <c:v>41.579577485418916</c:v>
                </c:pt>
                <c:pt idx="113">
                  <c:v>41.34592039178807</c:v>
                </c:pt>
                <c:pt idx="114">
                  <c:v>41.110962522385044</c:v>
                </c:pt>
                <c:pt idx="115">
                  <c:v>40.874677934930936</c:v>
                </c:pt>
                <c:pt idx="116">
                  <c:v>40.637041452536842</c:v>
                </c:pt>
                <c:pt idx="117">
                  <c:v>40.398028769659959</c:v>
                </c:pt>
                <c:pt idx="118">
                  <c:v>40.157616560949037</c:v>
                </c:pt>
                <c:pt idx="119">
                  <c:v>39.915782592571617</c:v>
                </c:pt>
                <c:pt idx="120">
                  <c:v>39.672505835566774</c:v>
                </c:pt>
                <c:pt idx="121">
                  <c:v>39.427766580724487</c:v>
                </c:pt>
                <c:pt idx="122">
                  <c:v>39.181546554449483</c:v>
                </c:pt>
                <c:pt idx="123">
                  <c:v>38.933829035026505</c:v>
                </c:pt>
                <c:pt idx="124">
                  <c:v>38.684598968666826</c:v>
                </c:pt>
                <c:pt idx="125">
                  <c:v>38.43384308468562</c:v>
                </c:pt>
                <c:pt idx="126">
                  <c:v>38.181550009127008</c:v>
                </c:pt>
                <c:pt idx="127">
                  <c:v>37.927710376135664</c:v>
                </c:pt>
                <c:pt idx="128">
                  <c:v>37.672316936352935</c:v>
                </c:pt>
                <c:pt idx="129">
                  <c:v>37.415364661608876</c:v>
                </c:pt>
                <c:pt idx="130">
                  <c:v>37.156850845173203</c:v>
                </c:pt>
                <c:pt idx="131">
                  <c:v>36.89677519683751</c:v>
                </c:pt>
                <c:pt idx="132">
                  <c:v>36.635139932108231</c:v>
                </c:pt>
                <c:pt idx="133">
                  <c:v>36.371949854807688</c:v>
                </c:pt>
                <c:pt idx="134">
                  <c:v>36.107212432412496</c:v>
                </c:pt>
                <c:pt idx="135">
                  <c:v>35.840937863485038</c:v>
                </c:pt>
                <c:pt idx="136">
                  <c:v>35.573139136598741</c:v>
                </c:pt>
                <c:pt idx="137">
                  <c:v>35.303832080203222</c:v>
                </c:pt>
                <c:pt idx="138">
                  <c:v>35.033035402930153</c:v>
                </c:pt>
                <c:pt idx="139">
                  <c:v>34.760770723896357</c:v>
                </c:pt>
                <c:pt idx="140">
                  <c:v>34.487062592628121</c:v>
                </c:pt>
                <c:pt idx="141">
                  <c:v>34.211938498291744</c:v>
                </c:pt>
                <c:pt idx="142">
                  <c:v>33.935428867992677</c:v>
                </c:pt>
                <c:pt idx="143">
                  <c:v>33.657567053969494</c:v>
                </c:pt>
                <c:pt idx="144">
                  <c:v>33.378389309588115</c:v>
                </c:pt>
                <c:pt idx="145">
                  <c:v>33.097934754108827</c:v>
                </c:pt>
                <c:pt idx="146">
                  <c:v>32.816245326275379</c:v>
                </c:pt>
                <c:pt idx="147">
                  <c:v>32.533365726840728</c:v>
                </c:pt>
                <c:pt idx="148">
                  <c:v>32.249343350213451</c:v>
                </c:pt>
                <c:pt idx="149">
                  <c:v>31.964228205473752</c:v>
                </c:pt>
                <c:pt idx="150">
                  <c:v>31.678072827063097</c:v>
                </c:pt>
                <c:pt idx="151">
                  <c:v>31.390932175513267</c:v>
                </c:pt>
                <c:pt idx="152">
                  <c:v>31.102863528625505</c:v>
                </c:pt>
                <c:pt idx="153">
                  <c:v>30.813926363559546</c:v>
                </c:pt>
                <c:pt idx="154">
                  <c:v>30.524182230331366</c:v>
                </c:pt>
                <c:pt idx="155">
                  <c:v>30.233694617252876</c:v>
                </c:pt>
                <c:pt idx="156">
                  <c:v>29.9425288088797</c:v>
                </c:pt>
                <c:pt idx="157">
                  <c:v>29.6507517370557</c:v>
                </c:pt>
                <c:pt idx="158">
                  <c:v>29.358431825667228</c:v>
                </c:pt>
                <c:pt idx="159">
                  <c:v>29.065638829733881</c:v>
                </c:pt>
                <c:pt idx="160">
                  <c:v>28.772443669479564</c:v>
                </c:pt>
                <c:pt idx="161">
                  <c:v>28.478918260036224</c:v>
                </c:pt>
                <c:pt idx="162">
                  <c:v>28.185135337440656</c:v>
                </c:pt>
                <c:pt idx="163">
                  <c:v>27.891168281591803</c:v>
                </c:pt>
                <c:pt idx="164">
                  <c:v>27.597090936839123</c:v>
                </c:pt>
                <c:pt idx="165">
                  <c:v>27.30297743087484</c:v>
                </c:pt>
                <c:pt idx="166">
                  <c:v>27.008901992607218</c:v>
                </c:pt>
                <c:pt idx="167">
                  <c:v>26.714938769689169</c:v>
                </c:pt>
                <c:pt idx="168">
                  <c:v>26.421161646380149</c:v>
                </c:pt>
                <c:pt idx="169">
                  <c:v>26.127644062418106</c:v>
                </c:pt>
                <c:pt idx="170">
                  <c:v>25.834458833575212</c:v>
                </c:pt>
                <c:pt idx="171">
                  <c:v>25.541677974573432</c:v>
                </c:pt>
                <c:pt idx="172">
                  <c:v>25.249372525029344</c:v>
                </c:pt>
                <c:pt idx="173">
                  <c:v>24.957612379096307</c:v>
                </c:pt>
                <c:pt idx="174">
                  <c:v>24.666466119465369</c:v>
                </c:pt>
                <c:pt idx="175">
                  <c:v>24.376000856377665</c:v>
                </c:pt>
                <c:pt idx="176">
                  <c:v>24.086282072292661</c:v>
                </c:pt>
                <c:pt idx="177">
                  <c:v>23.797373472841841</c:v>
                </c:pt>
                <c:pt idx="178">
                  <c:v>23.509336844679083</c:v>
                </c:pt>
                <c:pt idx="179">
                  <c:v>23.222231920822004</c:v>
                </c:pt>
                <c:pt idx="180">
                  <c:v>22.936116254048578</c:v>
                </c:pt>
                <c:pt idx="181">
                  <c:v>22.65104509888695</c:v>
                </c:pt>
                <c:pt idx="182">
                  <c:v>22.367071302698392</c:v>
                </c:pt>
                <c:pt idx="183">
                  <c:v>22.084245206316197</c:v>
                </c:pt>
                <c:pt idx="184">
                  <c:v>21.802614554656088</c:v>
                </c:pt>
                <c:pt idx="185">
                  <c:v>21.522224417663018</c:v>
                </c:pt>
                <c:pt idx="186">
                  <c:v>21.243117121906888</c:v>
                </c:pt>
                <c:pt idx="187">
                  <c:v>20.965332193077227</c:v>
                </c:pt>
                <c:pt idx="188">
                  <c:v>20.688906309564977</c:v>
                </c:pt>
                <c:pt idx="189">
                  <c:v>20.413873267252036</c:v>
                </c:pt>
                <c:pt idx="190">
                  <c:v>20.140263955560204</c:v>
                </c:pt>
                <c:pt idx="191">
                  <c:v>19.868106344738987</c:v>
                </c:pt>
                <c:pt idx="192">
                  <c:v>19.597425484299428</c:v>
                </c:pt>
                <c:pt idx="193">
                  <c:v>19.32824351242915</c:v>
                </c:pt>
                <c:pt idx="194">
                  <c:v>19.06057967615158</c:v>
                </c:pt>
                <c:pt idx="195">
                  <c:v>18.794450361921655</c:v>
                </c:pt>
                <c:pt idx="196">
                  <c:v>18.529869136286166</c:v>
                </c:pt>
                <c:pt idx="197">
                  <c:v>18.266846796168679</c:v>
                </c:pt>
                <c:pt idx="198">
                  <c:v>18.005391428286792</c:v>
                </c:pt>
                <c:pt idx="199">
                  <c:v>17.745508477148739</c:v>
                </c:pt>
                <c:pt idx="200">
                  <c:v>17.487200821036154</c:v>
                </c:pt>
                <c:pt idx="201">
                  <c:v>17.230468855332177</c:v>
                </c:pt>
                <c:pt idx="202">
                  <c:v>16.975310582527353</c:v>
                </c:pt>
                <c:pt idx="203">
                  <c:v>16.721721708202615</c:v>
                </c:pt>
                <c:pt idx="204">
                  <c:v>16.469695742274599</c:v>
                </c:pt>
                <c:pt idx="205">
                  <c:v>16.219224104775108</c:v>
                </c:pt>
                <c:pt idx="206">
                  <c:v>15.970296235432059</c:v>
                </c:pt>
                <c:pt idx="207">
                  <c:v>15.722899706324775</c:v>
                </c:pt>
                <c:pt idx="208">
                  <c:v>15.477020336893933</c:v>
                </c:pt>
                <c:pt idx="209">
                  <c:v>15.232642310605296</c:v>
                </c:pt>
                <c:pt idx="210">
                  <c:v>14.989748292588022</c:v>
                </c:pt>
                <c:pt idx="211">
                  <c:v>14.748319547595933</c:v>
                </c:pt>
                <c:pt idx="212">
                  <c:v>14.508336057674855</c:v>
                </c:pt>
                <c:pt idx="213">
                  <c:v>14.269776638953189</c:v>
                </c:pt>
                <c:pt idx="214">
                  <c:v>14.032619057015051</c:v>
                </c:pt>
                <c:pt idx="215">
                  <c:v>13.796840140357846</c:v>
                </c:pt>
                <c:pt idx="216">
                  <c:v>13.562415891480729</c:v>
                </c:pt>
                <c:pt idx="217">
                  <c:v>13.329321595195188</c:v>
                </c:pt>
                <c:pt idx="218">
                  <c:v>13.097531923800602</c:v>
                </c:pt>
                <c:pt idx="219">
                  <c:v>12.867021038805339</c:v>
                </c:pt>
                <c:pt idx="220">
                  <c:v>12.637762688931666</c:v>
                </c:pt>
                <c:pt idx="221">
                  <c:v>12.409730304178881</c:v>
                </c:pt>
                <c:pt idx="222">
                  <c:v>12.182897085766227</c:v>
                </c:pt>
                <c:pt idx="223">
                  <c:v>11.95723609182124</c:v>
                </c:pt>
                <c:pt idx="224">
                  <c:v>11.732720318715083</c:v>
                </c:pt>
                <c:pt idx="225">
                  <c:v>11.5093227779874</c:v>
                </c:pt>
                <c:pt idx="226">
                  <c:v>11.287016568834552</c:v>
                </c:pt>
                <c:pt idx="227">
                  <c:v>11.065774946172805</c:v>
                </c:pt>
                <c:pt idx="228">
                  <c:v>10.845571384309123</c:v>
                </c:pt>
                <c:pt idx="229">
                  <c:v>10.626379636287934</c:v>
                </c:pt>
                <c:pt idx="230">
                  <c:v>10.408173788998708</c:v>
                </c:pt>
                <c:pt idx="231">
                  <c:v>10.190928314152446</c:v>
                </c:pt>
                <c:pt idx="232">
                  <c:v>9.9746181152548576</c:v>
                </c:pt>
                <c:pt idx="233">
                  <c:v>9.7592185707161878</c:v>
                </c:pt>
                <c:pt idx="234">
                  <c:v>9.544705573251985</c:v>
                </c:pt>
                <c:pt idx="235">
                  <c:v>9.3310555657413037</c:v>
                </c:pt>
                <c:pt idx="236">
                  <c:v>9.1182455737118051</c:v>
                </c:pt>
                <c:pt idx="237">
                  <c:v>8.9062532346338514</c:v>
                </c:pt>
                <c:pt idx="238">
                  <c:v>8.6950568242040056</c:v>
                </c:pt>
                <c:pt idx="239">
                  <c:v>8.4846352798045448</c:v>
                </c:pt>
                <c:pt idx="240">
                  <c:v>8.274968221325409</c:v>
                </c:pt>
                <c:pt idx="241">
                  <c:v>8.0660359695311641</c:v>
                </c:pt>
                <c:pt idx="242">
                  <c:v>7.8578195621606701</c:v>
                </c:pt>
                <c:pt idx="243">
                  <c:v>7.6503007679373907</c:v>
                </c:pt>
                <c:pt idx="244">
                  <c:v>7.4434620986667905</c:v>
                </c:pt>
                <c:pt idx="245">
                  <c:v>7.237286819593554</c:v>
                </c:pt>
                <c:pt idx="246">
                  <c:v>7.0317589581864759</c:v>
                </c:pt>
                <c:pt idx="247">
                  <c:v>6.8268633115073269</c:v>
                </c:pt>
                <c:pt idx="248">
                  <c:v>6.6225854523234728</c:v>
                </c:pt>
                <c:pt idx="249">
                  <c:v>6.4189117341054063</c:v>
                </c:pt>
                <c:pt idx="250">
                  <c:v>6.2158292950556149</c:v>
                </c:pt>
                <c:pt idx="251">
                  <c:v>6.0133260612953077</c:v>
                </c:pt>
                <c:pt idx="252">
                  <c:v>5.8113907493404513</c:v>
                </c:pt>
                <c:pt idx="253">
                  <c:v>5.610012867980319</c:v>
                </c:pt>
                <c:pt idx="254">
                  <c:v>5.4091827196726205</c:v>
                </c:pt>
                <c:pt idx="255">
                  <c:v>5.208891401556528</c:v>
                </c:pt>
                <c:pt idx="256">
                  <c:v>5.0091308061795647</c:v>
                </c:pt>
                <c:pt idx="257">
                  <c:v>4.8098936220265074</c:v>
                </c:pt>
                <c:pt idx="258">
                  <c:v>4.6111733339320393</c:v>
                </c:pt>
                <c:pt idx="259">
                  <c:v>4.4129642234513984</c:v>
                </c:pt>
                <c:pt idx="260">
                  <c:v>4.2152613692540584</c:v>
                </c:pt>
                <c:pt idx="261">
                  <c:v>4.0180606476030931</c:v>
                </c:pt>
                <c:pt idx="262">
                  <c:v>3.8213587329714391</c:v>
                </c:pt>
                <c:pt idx="263">
                  <c:v>3.6251530988438718</c:v>
                </c:pt>
                <c:pt idx="264">
                  <c:v>3.4294420187412866</c:v>
                </c:pt>
                <c:pt idx="265">
                  <c:v>3.2342245675065371</c:v>
                </c:pt>
                <c:pt idx="266">
                  <c:v>3.0395006228725823</c:v>
                </c:pt>
                <c:pt idx="267">
                  <c:v>2.8452708673401008</c:v>
                </c:pt>
                <c:pt idx="268">
                  <c:v>2.6515367903755336</c:v>
                </c:pt>
                <c:pt idx="269">
                  <c:v>2.4583006909386973</c:v>
                </c:pt>
                <c:pt idx="270">
                  <c:v>2.2655656803447597</c:v>
                </c:pt>
                <c:pt idx="271">
                  <c:v>2.0733356854542109</c:v>
                </c:pt>
                <c:pt idx="272">
                  <c:v>1.8816154521822841</c:v>
                </c:pt>
                <c:pt idx="273">
                  <c:v>1.6904105493112951</c:v>
                </c:pt>
                <c:pt idx="274">
                  <c:v>1.4997273725844795</c:v>
                </c:pt>
                <c:pt idx="275">
                  <c:v>1.3095731490509872</c:v>
                </c:pt>
                <c:pt idx="276">
                  <c:v>1.1199559416277141</c:v>
                </c:pt>
                <c:pt idx="277">
                  <c:v>0.93088465383758834</c:v>
                </c:pt>
                <c:pt idx="278">
                  <c:v>0.7423690346734273</c:v>
                </c:pt>
                <c:pt idx="279">
                  <c:v>0.55441968353410065</c:v>
                </c:pt>
                <c:pt idx="280">
                  <c:v>0.36704805517153583</c:v>
                </c:pt>
                <c:pt idx="281">
                  <c:v>0.18026646457771633</c:v>
                </c:pt>
                <c:pt idx="282">
                  <c:v>-5.9119082615572971E-3</c:v>
                </c:pt>
                <c:pt idx="283">
                  <c:v>-0.19147301383192961</c:v>
                </c:pt>
                <c:pt idx="284">
                  <c:v>-0.3764019288622471</c:v>
                </c:pt>
                <c:pt idx="285">
                  <c:v>-0.56068285250265415</c:v>
                </c:pt>
                <c:pt idx="286">
                  <c:v>-0.74429910301226454</c:v>
                </c:pt>
                <c:pt idx="287">
                  <c:v>-0.92723311506939532</c:v>
                </c:pt>
                <c:pt idx="288">
                  <c:v>-1.1094664378232557</c:v>
                </c:pt>
                <c:pt idx="289">
                  <c:v>-1.2909797338141462</c:v>
                </c:pt>
                <c:pt idx="290">
                  <c:v>-1.4717527788943396</c:v>
                </c:pt>
                <c:pt idx="291">
                  <c:v>-1.6517644632906747</c:v>
                </c:pt>
                <c:pt idx="292">
                  <c:v>-1.8309927939558199</c:v>
                </c:pt>
                <c:pt idx="293">
                  <c:v>-2.0094148983592852</c:v>
                </c:pt>
                <c:pt idx="294">
                  <c:v>-2.1870070298763715</c:v>
                </c:pt>
                <c:pt idx="295">
                  <c:v>-2.3637445749385213</c:v>
                </c:pt>
                <c:pt idx="296">
                  <c:v>-2.5396020621113657</c:v>
                </c:pt>
                <c:pt idx="297">
                  <c:v>-2.714553173268595</c:v>
                </c:pt>
                <c:pt idx="298">
                  <c:v>-2.8885707570373658</c:v>
                </c:pt>
                <c:pt idx="299">
                  <c:v>-3.0616268446838406</c:v>
                </c:pt>
                <c:pt idx="300">
                  <c:v>-3.2336926686142897</c:v>
                </c:pt>
                <c:pt idx="301">
                  <c:v>-3.4047386836615563</c:v>
                </c:pt>
                <c:pt idx="302">
                  <c:v>-3.5747345913245714</c:v>
                </c:pt>
                <c:pt idx="303">
                  <c:v>-3.7436493671212947</c:v>
                </c:pt>
                <c:pt idx="304">
                  <c:v>-3.9114512912120927</c:v>
                </c:pt>
                <c:pt idx="305">
                  <c:v>-4.0781079824367961</c:v>
                </c:pt>
                <c:pt idx="306">
                  <c:v>-4.2435864359001449</c:v>
                </c:pt>
                <c:pt idx="307">
                  <c:v>-4.407853064225292</c:v>
                </c:pt>
                <c:pt idx="308">
                  <c:v>-4.5708737425770209</c:v>
                </c:pt>
                <c:pt idx="309">
                  <c:v>-4.7326138575411703</c:v>
                </c:pt>
                <c:pt idx="310">
                  <c:v>-4.8930383599195277</c:v>
                </c:pt>
                <c:pt idx="311">
                  <c:v>-5.0521118214795671</c:v>
                </c:pt>
                <c:pt idx="312">
                  <c:v>-5.2097984956690091</c:v>
                </c:pt>
                <c:pt idx="313">
                  <c:v>-5.3660623822753912</c:v>
                </c:pt>
                <c:pt idx="314">
                  <c:v>-5.5208672959789595</c:v>
                </c:pt>
                <c:pt idx="315">
                  <c:v>-5.6741769387128276</c:v>
                </c:pt>
                <c:pt idx="316">
                  <c:v>-5.8259549757052298</c:v>
                </c:pt>
                <c:pt idx="317">
                  <c:v>-5.9761651150433241</c:v>
                </c:pt>
                <c:pt idx="318">
                  <c:v>-6.1247711905532176</c:v>
                </c:pt>
                <c:pt idx="319">
                  <c:v>-6.2717372477533564</c:v>
                </c:pt>
                <c:pt idx="320">
                  <c:v>-6.4170276325916999</c:v>
                </c:pt>
                <c:pt idx="321">
                  <c:v>-6.5606070826382643</c:v>
                </c:pt>
                <c:pt idx="322">
                  <c:v>-6.7024408203578911</c:v>
                </c:pt>
                <c:pt idx="323">
                  <c:v>-6.842494648051149</c:v>
                </c:pt>
                <c:pt idx="324">
                  <c:v>-6.9807350440056801</c:v>
                </c:pt>
                <c:pt idx="325">
                  <c:v>-7.1171292593661732</c:v>
                </c:pt>
                <c:pt idx="326">
                  <c:v>-7.2516454151963927</c:v>
                </c:pt>
                <c:pt idx="327">
                  <c:v>-7.3842525991706651</c:v>
                </c:pt>
                <c:pt idx="328">
                  <c:v>-7.5149209613110397</c:v>
                </c:pt>
                <c:pt idx="329">
                  <c:v>-7.6436218081599137</c:v>
                </c:pt>
                <c:pt idx="330">
                  <c:v>-7.7703276947619919</c:v>
                </c:pt>
                <c:pt idx="331">
                  <c:v>-7.8950125138224818</c:v>
                </c:pt>
                <c:pt idx="332">
                  <c:v>-8.0176515814005871</c:v>
                </c:pt>
                <c:pt idx="333">
                  <c:v>-8.1382217185006578</c:v>
                </c:pt>
                <c:pt idx="334">
                  <c:v>-8.2567013279429968</c:v>
                </c:pt>
                <c:pt idx="335">
                  <c:v>-8.3730704658999215</c:v>
                </c:pt>
                <c:pt idx="336">
                  <c:v>-8.4873109075256501</c:v>
                </c:pt>
                <c:pt idx="337">
                  <c:v>-8.5994062061291263</c:v>
                </c:pt>
                <c:pt idx="338">
                  <c:v>-8.7093417453887536</c:v>
                </c:pt>
                <c:pt idx="339">
                  <c:v>-8.8171047841528196</c:v>
                </c:pt>
                <c:pt idx="340">
                  <c:v>-8.922684493424331</c:v>
                </c:pt>
                <c:pt idx="341">
                  <c:v>-9.0260719851926403</c:v>
                </c:pt>
                <c:pt idx="342">
                  <c:v>-9.1272603328362898</c:v>
                </c:pt>
                <c:pt idx="343">
                  <c:v>-9.2262445828924129</c:v>
                </c:pt>
                <c:pt idx="344">
                  <c:v>-9.323021758064435</c:v>
                </c:pt>
                <c:pt idx="345">
                  <c:v>-9.4175908514091482</c:v>
                </c:pt>
                <c:pt idx="346">
                  <c:v>-9.5099528117250092</c:v>
                </c:pt>
                <c:pt idx="347">
                  <c:v>-9.6001105202353312</c:v>
                </c:pt>
                <c:pt idx="348">
                  <c:v>-9.6880687587382717</c:v>
                </c:pt>
                <c:pt idx="349">
                  <c:v>-9.773834169460919</c:v>
                </c:pt>
                <c:pt idx="350">
                  <c:v>-9.8574152069307264</c:v>
                </c:pt>
                <c:pt idx="351">
                  <c:v>-9.938822082229569</c:v>
                </c:pt>
                <c:pt idx="352">
                  <c:v>-10.018066700065859</c:v>
                </c:pt>
                <c:pt idx="353">
                  <c:v>-10.095162589137889</c:v>
                </c:pt>
                <c:pt idx="354">
                  <c:v>-10.170124826314993</c:v>
                </c:pt>
                <c:pt idx="355">
                  <c:v>-10.242969955193065</c:v>
                </c:pt>
                <c:pt idx="356">
                  <c:v>-10.313715899611784</c:v>
                </c:pt>
                <c:pt idx="357">
                  <c:v>-10.382381872738414</c:v>
                </c:pt>
                <c:pt idx="358">
                  <c:v>-10.448988282335916</c:v>
                </c:pt>
                <c:pt idx="359">
                  <c:v>-10.513556632833797</c:v>
                </c:pt>
                <c:pt idx="360">
                  <c:v>-10.576109424818155</c:v>
                </c:pt>
                <c:pt idx="361">
                  <c:v>-10.636670052541904</c:v>
                </c:pt>
                <c:pt idx="362">
                  <c:v>-10.69526270003937</c:v>
                </c:pt>
                <c:pt idx="363">
                  <c:v>-10.751912236401248</c:v>
                </c:pt>
                <c:pt idx="364">
                  <c:v>-10.806644110735487</c:v>
                </c:pt>
                <c:pt idx="365">
                  <c:v>-10.859484247305652</c:v>
                </c:pt>
                <c:pt idx="366">
                  <c:v>-10.910458941291429</c:v>
                </c:pt>
                <c:pt idx="367">
                  <c:v>-10.959594755581449</c:v>
                </c:pt>
                <c:pt idx="368">
                  <c:v>-11.006918418954537</c:v>
                </c:pt>
                <c:pt idx="369">
                  <c:v>-11.052456725961504</c:v>
                </c:pt>
                <c:pt idx="370">
                  <c:v>-11.096236438774191</c:v>
                </c:pt>
                <c:pt idx="371">
                  <c:v>-11.138284191212923</c:v>
                </c:pt>
                <c:pt idx="372">
                  <c:v>-11.178626395124327</c:v>
                </c:pt>
                <c:pt idx="373">
                  <c:v>-11.217289149227238</c:v>
                </c:pt>
                <c:pt idx="374">
                  <c:v>-11.254298150507932</c:v>
                </c:pt>
                <c:pt idx="375">
                  <c:v>-11.289678608194677</c:v>
                </c:pt>
                <c:pt idx="376">
                  <c:v>-11.323455160309846</c:v>
                </c:pt>
                <c:pt idx="377">
                  <c:v>-11.35565179275434</c:v>
                </c:pt>
                <c:pt idx="378">
                  <c:v>-11.386291760849073</c:v>
                </c:pt>
                <c:pt idx="379">
                  <c:v>-11.415397513224281</c:v>
                </c:pt>
                <c:pt idx="380">
                  <c:v>-11.4429906179202</c:v>
                </c:pt>
                <c:pt idx="381">
                  <c:v>-11.469091690535741</c:v>
                </c:pt>
                <c:pt idx="382">
                  <c:v>-11.493720324242053</c:v>
                </c:pt>
                <c:pt idx="383">
                  <c:v>-11.516895021454028</c:v>
                </c:pt>
                <c:pt idx="384">
                  <c:v>-11.538633126935402</c:v>
                </c:pt>
                <c:pt idx="385">
                  <c:v>-11.558950762101325</c:v>
                </c:pt>
                <c:pt idx="386">
                  <c:v>-11.577862760261569</c:v>
                </c:pt>
                <c:pt idx="387">
                  <c:v>-11.595382602539971</c:v>
                </c:pt>
                <c:pt idx="388">
                  <c:v>-11.611522354191607</c:v>
                </c:pt>
                <c:pt idx="389">
                  <c:v>-11.62629260103051</c:v>
                </c:pt>
                <c:pt idx="390">
                  <c:v>-11.639702385666981</c:v>
                </c:pt>
                <c:pt idx="391">
                  <c:v>-11.651759143248045</c:v>
                </c:pt>
                <c:pt idx="392">
                  <c:v>-11.662468636380552</c:v>
                </c:pt>
                <c:pt idx="393">
                  <c:v>-11.671834888908474</c:v>
                </c:pt>
                <c:pt idx="394">
                  <c:v>-11.679860118202811</c:v>
                </c:pt>
                <c:pt idx="395">
                  <c:v>-11.686544665612843</c:v>
                </c:pt>
                <c:pt idx="396">
                  <c:v>-11.691886924710065</c:v>
                </c:pt>
                <c:pt idx="397">
                  <c:v>-11.695883266947497</c:v>
                </c:pt>
                <c:pt idx="398">
                  <c:v>-11.698527964332662</c:v>
                </c:pt>
                <c:pt idx="399">
                  <c:v>-11.699813108702738</c:v>
                </c:pt>
                <c:pt idx="400">
                  <c:v>-11.699728527162423</c:v>
                </c:pt>
                <c:pt idx="401">
                  <c:v>-11.698261693227131</c:v>
                </c:pt>
                <c:pt idx="402">
                  <c:v>-11.695397633186317</c:v>
                </c:pt>
                <c:pt idx="403">
                  <c:v>-11.69111882717495</c:v>
                </c:pt>
                <c:pt idx="404">
                  <c:v>-11.685405104407536</c:v>
                </c:pt>
                <c:pt idx="405">
                  <c:v>-11.678233531997334</c:v>
                </c:pt>
                <c:pt idx="406">
                  <c:v>-11.669578296743893</c:v>
                </c:pt>
                <c:pt idx="407">
                  <c:v>-11.659410579229309</c:v>
                </c:pt>
                <c:pt idx="408">
                  <c:v>-11.64769841951982</c:v>
                </c:pt>
                <c:pt idx="409">
                  <c:v>-11.634406573716529</c:v>
                </c:pt>
                <c:pt idx="410">
                  <c:v>-11.619496360545927</c:v>
                </c:pt>
                <c:pt idx="411">
                  <c:v>-11.602925497123177</c:v>
                </c:pt>
                <c:pt idx="412">
                  <c:v>-11.584647922950577</c:v>
                </c:pt>
                <c:pt idx="413">
                  <c:v>-11.564613611152573</c:v>
                </c:pt>
                <c:pt idx="414">
                  <c:v>-11.542768365865689</c:v>
                </c:pt>
                <c:pt idx="415">
                  <c:v>-11.519053604630152</c:v>
                </c:pt>
                <c:pt idx="416">
                  <c:v>-11.49340612453882</c:v>
                </c:pt>
                <c:pt idx="417">
                  <c:v>-11.46575785081475</c:v>
                </c:pt>
                <c:pt idx="418">
                  <c:v>-11.436035566396299</c:v>
                </c:pt>
                <c:pt idx="419">
                  <c:v>-11.404160621013151</c:v>
                </c:pt>
                <c:pt idx="420">
                  <c:v>-11.370048618145411</c:v>
                </c:pt>
                <c:pt idx="421">
                  <c:v>-11.333609078163441</c:v>
                </c:pt>
                <c:pt idx="422">
                  <c:v>-11.294745075866365</c:v>
                </c:pt>
                <c:pt idx="423">
                  <c:v>-11.253352850559217</c:v>
                </c:pt>
                <c:pt idx="424">
                  <c:v>-11.209321386764222</c:v>
                </c:pt>
                <c:pt idx="425">
                  <c:v>-11.162531963630164</c:v>
                </c:pt>
                <c:pt idx="426">
                  <c:v>-11.112857671135234</c:v>
                </c:pt>
                <c:pt idx="427">
                  <c:v>-11.060162891255816</c:v>
                </c:pt>
                <c:pt idx="428">
                  <c:v>-11.004302742451202</c:v>
                </c:pt>
                <c:pt idx="429">
                  <c:v>-10.945122486109199</c:v>
                </c:pt>
                <c:pt idx="430">
                  <c:v>-10.882456894057507</c:v>
                </c:pt>
                <c:pt idx="431">
                  <c:v>-10.816129576941361</c:v>
                </c:pt>
                <c:pt idx="432">
                  <c:v>-10.745952274271072</c:v>
                </c:pt>
                <c:pt idx="433">
                  <c:v>-10.671724108367062</c:v>
                </c:pt>
                <c:pt idx="434">
                  <c:v>-10.593230806426387</c:v>
                </c:pt>
                <c:pt idx="435">
                  <c:v>-10.51024389770474</c:v>
                </c:pt>
                <c:pt idx="436">
                  <c:v>-10.422519896605191</c:v>
                </c:pt>
                <c:pt idx="437">
                  <c:v>-10.329799487686419</c:v>
                </c:pt>
                <c:pt idx="438">
                  <c:v>-10.231806735698783</c:v>
                </c:pt>
                <c:pt idx="439">
                  <c:v>-10.128248353435589</c:v>
                </c:pt>
                <c:pt idx="440">
                  <c:v>-10.018813073330335</c:v>
                </c:pt>
                <c:pt idx="441">
                  <c:v>-9.9031711865777812</c:v>
                </c:pt>
                <c:pt idx="442">
                  <c:v>-9.7809743378110827</c:v>
                </c:pt>
                <c:pt idx="443">
                  <c:v>-9.6518556962928859</c:v>
                </c:pt>
                <c:pt idx="444">
                  <c:v>-9.5154306693445285</c:v>
                </c:pt>
                <c:pt idx="445">
                  <c:v>-9.3712983845941586</c:v>
                </c:pt>
                <c:pt idx="446">
                  <c:v>-9.2190442504162888</c:v>
                </c:pt>
                <c:pt idx="447">
                  <c:v>-9.058244016538076</c:v>
                </c:pt>
                <c:pt idx="448">
                  <c:v>-8.8884699098458633</c:v>
                </c:pt>
                <c:pt idx="449">
                  <c:v>-8.7092996281089263</c:v>
                </c:pt>
                <c:pt idx="450">
                  <c:v>-8.5203292551586021</c:v>
                </c:pt>
                <c:pt idx="451">
                  <c:v>-8.3211915386243707</c:v>
                </c:pt>
                <c:pt idx="452">
                  <c:v>-8.1115814741993262</c:v>
                </c:pt>
                <c:pt idx="453">
                  <c:v>-7.8912918003005474</c:v>
                </c:pt>
                <c:pt idx="454">
                  <c:v>-7.6602618528214634</c:v>
                </c:pt>
                <c:pt idx="455">
                  <c:v>-7.4186442730339053</c:v>
                </c:pt>
                <c:pt idx="456">
                  <c:v>-7.1668952662123866</c:v>
                </c:pt>
                <c:pt idx="457">
                  <c:v>-6.905895329273104</c:v>
                </c:pt>
                <c:pt idx="458">
                  <c:v>-6.6371082384948785</c:v>
                </c:pt>
                <c:pt idx="459">
                  <c:v>-6.3627858434504709</c:v>
                </c:pt>
                <c:pt idx="460">
                  <c:v>-6.0862233975436268</c:v>
                </c:pt>
                <c:pt idx="461">
                  <c:v>-5.8120623060346901</c:v>
                </c:pt>
                <c:pt idx="462">
                  <c:v>-5.546620659998899</c:v>
                </c:pt>
                <c:pt idx="463">
                  <c:v>-5.2982025781908053</c:v>
                </c:pt>
                <c:pt idx="464">
                  <c:v>-5.0772931151821972</c:v>
                </c:pt>
                <c:pt idx="465">
                  <c:v>-4.8964925108360795</c:v>
                </c:pt>
                <c:pt idx="466">
                  <c:v>-4.770005924138383</c:v>
                </c:pt>
                <c:pt idx="467">
                  <c:v>-4.7125305432647373</c:v>
                </c:pt>
                <c:pt idx="468">
                  <c:v>-4.7375275458361763</c:v>
                </c:pt>
                <c:pt idx="469">
                  <c:v>-4.8551414679061864</c:v>
                </c:pt>
                <c:pt idx="470">
                  <c:v>-5.0703258299998097</c:v>
                </c:pt>
                <c:pt idx="471">
                  <c:v>-5.3818340780568619</c:v>
                </c:pt>
                <c:pt idx="472">
                  <c:v>-5.7824796710658752</c:v>
                </c:pt>
                <c:pt idx="473">
                  <c:v>-6.2605582387795025</c:v>
                </c:pt>
                <c:pt idx="474">
                  <c:v>-6.8018838733815379</c:v>
                </c:pt>
                <c:pt idx="475">
                  <c:v>-7.3917823807087153</c:v>
                </c:pt>
                <c:pt idx="476">
                  <c:v>-8.0165897233584058</c:v>
                </c:pt>
                <c:pt idx="477">
                  <c:v>-8.6645136984559574</c:v>
                </c:pt>
                <c:pt idx="478">
                  <c:v>-9.3259458805370912</c:v>
                </c:pt>
                <c:pt idx="479">
                  <c:v>-9.9934035664579426</c:v>
                </c:pt>
                <c:pt idx="480">
                  <c:v>-10.661275084180165</c:v>
                </c:pt>
                <c:pt idx="481">
                  <c:v>-11.325493706451487</c:v>
                </c:pt>
                <c:pt idx="482">
                  <c:v>-11.983214224002667</c:v>
                </c:pt>
                <c:pt idx="483">
                  <c:v>-12.632527778827971</c:v>
                </c:pt>
                <c:pt idx="484">
                  <c:v>-13.272226748132756</c:v>
                </c:pt>
                <c:pt idx="485">
                  <c:v>-13.901618883123595</c:v>
                </c:pt>
                <c:pt idx="486">
                  <c:v>-14.52038441941642</c:v>
                </c:pt>
                <c:pt idx="487">
                  <c:v>-15.128468308560322</c:v>
                </c:pt>
                <c:pt idx="488">
                  <c:v>-15.726000045976104</c:v>
                </c:pt>
                <c:pt idx="489">
                  <c:v>-16.31323464531183</c:v>
                </c:pt>
                <c:pt idx="490">
                  <c:v>-16.890509551636061</c:v>
                </c:pt>
                <c:pt idx="491">
                  <c:v>-17.458213436116658</c:v>
                </c:pt>
                <c:pt idx="492">
                  <c:v>-18.016763780769082</c:v>
                </c:pt>
                <c:pt idx="493">
                  <c:v>-18.566590931301629</c:v>
                </c:pt>
                <c:pt idx="494">
                  <c:v>-19.108126890040616</c:v>
                </c:pt>
                <c:pt idx="495">
                  <c:v>-19.641797570512715</c:v>
                </c:pt>
                <c:pt idx="496">
                  <c:v>-20.168017571397716</c:v>
                </c:pt>
                <c:pt idx="497">
                  <c:v>-20.68718677691907</c:v>
                </c:pt>
                <c:pt idx="498">
                  <c:v>-21.19968827485453</c:v>
                </c:pt>
                <c:pt idx="499">
                  <c:v>-21.705887218922665</c:v>
                </c:pt>
                <c:pt idx="500">
                  <c:v>-22.219483376645016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1-4D19-9DBC-690DDB1D00CA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38.895272456741687</c:v>
                </c:pt>
                <c:pt idx="1">
                  <c:v>38.705023647474562</c:v>
                </c:pt>
                <c:pt idx="2">
                  <c:v>38.514574515090075</c:v>
                </c:pt>
                <c:pt idx="3">
                  <c:v>38.323933618921075</c:v>
                </c:pt>
                <c:pt idx="4">
                  <c:v>38.133109183503493</c:v>
                </c:pt>
                <c:pt idx="5">
                  <c:v>37.942109110893028</c:v>
                </c:pt>
                <c:pt idx="6">
                  <c:v>37.750940992674749</c:v>
                </c:pt>
                <c:pt idx="7">
                  <c:v>37.559612121663413</c:v>
                </c:pt>
                <c:pt idx="8">
                  <c:v>37.368129503293311</c:v>
                </c:pt>
                <c:pt idx="9">
                  <c:v>37.176499866697455</c:v>
                </c:pt>
                <c:pt idx="10">
                  <c:v>36.984729675477716</c:v>
                </c:pt>
                <c:pt idx="11">
                  <c:v>36.792825138167267</c:v>
                </c:pt>
                <c:pt idx="12">
                  <c:v>36.60079221838911</c:v>
                </c:pt>
                <c:pt idx="13">
                  <c:v>36.408636644713738</c:v>
                </c:pt>
                <c:pt idx="14">
                  <c:v>36.216363920220786</c:v>
                </c:pt>
                <c:pt idx="15">
                  <c:v>36.023979331769368</c:v>
                </c:pt>
                <c:pt idx="16">
                  <c:v>35.831487958982898</c:v>
                </c:pt>
                <c:pt idx="17">
                  <c:v>35.638894682953982</c:v>
                </c:pt>
                <c:pt idx="18">
                  <c:v>35.446204194676149</c:v>
                </c:pt>
                <c:pt idx="19">
                  <c:v>35.253421003208729</c:v>
                </c:pt>
                <c:pt idx="20">
                  <c:v>35.060549443582033</c:v>
                </c:pt>
                <c:pt idx="21">
                  <c:v>34.867593684450007</c:v>
                </c:pt>
                <c:pt idx="22">
                  <c:v>34.674557735497423</c:v>
                </c:pt>
                <c:pt idx="23">
                  <c:v>34.481445454609812</c:v>
                </c:pt>
                <c:pt idx="24">
                  <c:v>34.288260554812936</c:v>
                </c:pt>
                <c:pt idx="25">
                  <c:v>34.095006610989628</c:v>
                </c:pt>
                <c:pt idx="26">
                  <c:v>33.901687066382685</c:v>
                </c:pt>
                <c:pt idx="27">
                  <c:v>33.708305238890439</c:v>
                </c:pt>
                <c:pt idx="28">
                  <c:v>33.51486432716306</c:v>
                </c:pt>
                <c:pt idx="29">
                  <c:v>33.32136741650811</c:v>
                </c:pt>
                <c:pt idx="30">
                  <c:v>33.127817484612081</c:v>
                </c:pt>
                <c:pt idx="31">
                  <c:v>32.934217407086464</c:v>
                </c:pt>
                <c:pt idx="32">
                  <c:v>32.740569962845647</c:v>
                </c:pt>
                <c:pt idx="33">
                  <c:v>32.546877839323948</c:v>
                </c:pt>
                <c:pt idx="34">
                  <c:v>32.353143637540377</c:v>
                </c:pt>
                <c:pt idx="35">
                  <c:v>32.159369877017241</c:v>
                </c:pt>
                <c:pt idx="36">
                  <c:v>31.965559000561015</c:v>
                </c:pt>
                <c:pt idx="37">
                  <c:v>31.771713378912303</c:v>
                </c:pt>
                <c:pt idx="38">
                  <c:v>31.577835315272811</c:v>
                </c:pt>
                <c:pt idx="39">
                  <c:v>31.383927049714821</c:v>
                </c:pt>
                <c:pt idx="40">
                  <c:v>31.18999076348296</c:v>
                </c:pt>
                <c:pt idx="41">
                  <c:v>30.996028583191929</c:v>
                </c:pt>
                <c:pt idx="42">
                  <c:v>30.802042584930213</c:v>
                </c:pt>
                <c:pt idx="43">
                  <c:v>30.608034798274602</c:v>
                </c:pt>
                <c:pt idx="44">
                  <c:v>30.414007210223041</c:v>
                </c:pt>
                <c:pt idx="45">
                  <c:v>30.219961769052116</c:v>
                </c:pt>
                <c:pt idx="46">
                  <c:v>30.0259003881064</c:v>
                </c:pt>
                <c:pt idx="47">
                  <c:v>29.831824949525455</c:v>
                </c:pt>
                <c:pt idx="48">
                  <c:v>29.637737307915451</c:v>
                </c:pt>
                <c:pt idx="49">
                  <c:v>29.443639293971877</c:v>
                </c:pt>
                <c:pt idx="50">
                  <c:v>29.249532718059157</c:v>
                </c:pt>
                <c:pt idx="51">
                  <c:v>29.055419373754262</c:v>
                </c:pt>
                <c:pt idx="52">
                  <c:v>28.861301041360115</c:v>
                </c:pt>
                <c:pt idx="53">
                  <c:v>28.667179491395231</c:v>
                </c:pt>
                <c:pt idx="54">
                  <c:v>28.473056488065573</c:v>
                </c:pt>
                <c:pt idx="55">
                  <c:v>28.27893379272556</c:v>
                </c:pt>
                <c:pt idx="56">
                  <c:v>28.084813167333522</c:v>
                </c:pt>
                <c:pt idx="57">
                  <c:v>27.890696377908235</c:v>
                </c:pt>
                <c:pt idx="58">
                  <c:v>27.696585197993102</c:v>
                </c:pt>
                <c:pt idx="59">
                  <c:v>27.502481412133495</c:v>
                </c:pt>
                <c:pt idx="60">
                  <c:v>27.308386819374064</c:v>
                </c:pt>
                <c:pt idx="61">
                  <c:v>27.11430323678173</c:v>
                </c:pt>
                <c:pt idx="62">
                  <c:v>26.920232503001333</c:v>
                </c:pt>
                <c:pt idx="63">
                  <c:v>26.726176481849432</c:v>
                </c:pt>
                <c:pt idx="64">
                  <c:v>26.53213706595341</c:v>
                </c:pt>
                <c:pt idx="65">
                  <c:v>26.338116180441745</c:v>
                </c:pt>
                <c:pt idx="66">
                  <c:v>26.144115786691696</c:v>
                </c:pt>
                <c:pt idx="67">
                  <c:v>25.950137886142059</c:v>
                </c:pt>
                <c:pt idx="68">
                  <c:v>25.756184524175794</c:v>
                </c:pt>
                <c:pt idx="69">
                  <c:v>25.562257794080882</c:v>
                </c:pt>
                <c:pt idx="70">
                  <c:v>25.36835984109484</c:v>
                </c:pt>
                <c:pt idx="71">
                  <c:v>25.174492866540675</c:v>
                </c:pt>
                <c:pt idx="72">
                  <c:v>24.980659132059884</c:v>
                </c:pt>
                <c:pt idx="73">
                  <c:v>24.786860963951018</c:v>
                </c:pt>
                <c:pt idx="74">
                  <c:v>24.593100757619339</c:v>
                </c:pt>
                <c:pt idx="75">
                  <c:v>24.399380982145651</c:v>
                </c:pt>
                <c:pt idx="76">
                  <c:v>24.205704184980966</c:v>
                </c:pt>
                <c:pt idx="77">
                  <c:v>24.012072996774585</c:v>
                </c:pt>
                <c:pt idx="78">
                  <c:v>23.818490136342913</c:v>
                </c:pt>
                <c:pt idx="79">
                  <c:v>23.624958415785709</c:v>
                </c:pt>
                <c:pt idx="80">
                  <c:v>23.431480745758996</c:v>
                </c:pt>
                <c:pt idx="81">
                  <c:v>23.238060140909912</c:v>
                </c:pt>
                <c:pt idx="82">
                  <c:v>23.044699725483383</c:v>
                </c:pt>
                <c:pt idx="83">
                  <c:v>22.851402739106291</c:v>
                </c:pt>
                <c:pt idx="84">
                  <c:v>22.658172542758713</c:v>
                </c:pt>
                <c:pt idx="85">
                  <c:v>22.465012624938371</c:v>
                </c:pt>
                <c:pt idx="86">
                  <c:v>22.271926608027471</c:v>
                </c:pt>
                <c:pt idx="87">
                  <c:v>22.078918254868722</c:v>
                </c:pt>
                <c:pt idx="88">
                  <c:v>21.885991475558665</c:v>
                </c:pt>
                <c:pt idx="89">
                  <c:v>21.69315033446609</c:v>
                </c:pt>
                <c:pt idx="90">
                  <c:v>21.500399057483435</c:v>
                </c:pt>
                <c:pt idx="91">
                  <c:v>21.307742039517791</c:v>
                </c:pt>
                <c:pt idx="92">
                  <c:v>21.1151838522307</c:v>
                </c:pt>
                <c:pt idx="93">
                  <c:v>20.922729252031814</c:v>
                </c:pt>
                <c:pt idx="94">
                  <c:v>20.730383188335416</c:v>
                </c:pt>
                <c:pt idx="95">
                  <c:v>20.538150812085828</c:v>
                </c:pt>
                <c:pt idx="96">
                  <c:v>20.346037484558185</c:v>
                </c:pt>
                <c:pt idx="97">
                  <c:v>20.154048786440853</c:v>
                </c:pt>
                <c:pt idx="98">
                  <c:v>19.962190527205664</c:v>
                </c:pt>
                <c:pt idx="99">
                  <c:v>19.770468754770846</c:v>
                </c:pt>
                <c:pt idx="100">
                  <c:v>19.57888976546149</c:v>
                </c:pt>
                <c:pt idx="101">
                  <c:v>19.38746011427202</c:v>
                </c:pt>
                <c:pt idx="102">
                  <c:v>19.196186625433842</c:v>
                </c:pt>
                <c:pt idx="103">
                  <c:v>19.005076403290857</c:v>
                </c:pt>
                <c:pt idx="104">
                  <c:v>18.814136843484754</c:v>
                </c:pt>
                <c:pt idx="105">
                  <c:v>18.623375644450537</c:v>
                </c:pt>
                <c:pt idx="106">
                  <c:v>18.432800819222244</c:v>
                </c:pt>
                <c:pt idx="107">
                  <c:v>18.242420707546991</c:v>
                </c:pt>
                <c:pt idx="108">
                  <c:v>18.052243988304191</c:v>
                </c:pt>
                <c:pt idx="109">
                  <c:v>17.862279692225872</c:v>
                </c:pt>
                <c:pt idx="110">
                  <c:v>17.672537214911124</c:v>
                </c:pt>
                <c:pt idx="111">
                  <c:v>17.483026330127174</c:v>
                </c:pt>
                <c:pt idx="112">
                  <c:v>17.293757203386651</c:v>
                </c:pt>
                <c:pt idx="113">
                  <c:v>17.104740405788391</c:v>
                </c:pt>
                <c:pt idx="114">
                  <c:v>16.915986928107667</c:v>
                </c:pt>
                <c:pt idx="115">
                  <c:v>16.727508195117558</c:v>
                </c:pt>
                <c:pt idx="116">
                  <c:v>16.53931608012179</c:v>
                </c:pt>
                <c:pt idx="117">
                  <c:v>16.351422919675457</c:v>
                </c:pt>
                <c:pt idx="118">
                  <c:v>16.163841528466648</c:v>
                </c:pt>
                <c:pt idx="119">
                  <c:v>15.976585214329351</c:v>
                </c:pt>
                <c:pt idx="120">
                  <c:v>15.789667793352729</c:v>
                </c:pt>
                <c:pt idx="121">
                  <c:v>15.603103605049302</c:v>
                </c:pt>
                <c:pt idx="122">
                  <c:v>15.416907527539184</c:v>
                </c:pt>
                <c:pt idx="123">
                  <c:v>15.231094992703076</c:v>
                </c:pt>
                <c:pt idx="124">
                  <c:v>15.045682001252478</c:v>
                </c:pt>
                <c:pt idx="125">
                  <c:v>14.860685137659111</c:v>
                </c:pt>
                <c:pt idx="126">
                  <c:v>14.676121584882099</c:v>
                </c:pt>
                <c:pt idx="127">
                  <c:v>14.492009138823249</c:v>
                </c:pt>
                <c:pt idx="128">
                  <c:v>14.308366222436968</c:v>
                </c:pt>
                <c:pt idx="129">
                  <c:v>14.125211899415113</c:v>
                </c:pt>
                <c:pt idx="130">
                  <c:v>13.942565887357524</c:v>
                </c:pt>
                <c:pt idx="131">
                  <c:v>13.760448570338145</c:v>
                </c:pt>
                <c:pt idx="132">
                  <c:v>13.578881010764469</c:v>
                </c:pt>
                <c:pt idx="133">
                  <c:v>13.397884960423518</c:v>
                </c:pt>
                <c:pt idx="134">
                  <c:v>13.217482870602062</c:v>
                </c:pt>
                <c:pt idx="135">
                  <c:v>13.037697901158785</c:v>
                </c:pt>
                <c:pt idx="136">
                  <c:v>12.858553928422207</c:v>
                </c:pt>
                <c:pt idx="137">
                  <c:v>12.680075551778611</c:v>
                </c:pt>
                <c:pt idx="138">
                  <c:v>12.502288098811027</c:v>
                </c:pt>
                <c:pt idx="139">
                  <c:v>12.325217628840146</c:v>
                </c:pt>
                <c:pt idx="140">
                  <c:v>12.148890934716761</c:v>
                </c:pt>
                <c:pt idx="141">
                  <c:v>11.973335542704124</c:v>
                </c:pt>
                <c:pt idx="142">
                  <c:v>11.798579710290785</c:v>
                </c:pt>
                <c:pt idx="143">
                  <c:v>11.62465242176372</c:v>
                </c:pt>
                <c:pt idx="144">
                  <c:v>11.451583381373903</c:v>
                </c:pt>
                <c:pt idx="145">
                  <c:v>11.279403003919731</c:v>
                </c:pt>
                <c:pt idx="146">
                  <c:v>11.108142402577357</c:v>
                </c:pt>
                <c:pt idx="147">
                  <c:v>10.93783337380308</c:v>
                </c:pt>
                <c:pt idx="148">
                  <c:v>10.768508379137398</c:v>
                </c:pt>
                <c:pt idx="149">
                  <c:v>10.600200523744171</c:v>
                </c:pt>
                <c:pt idx="150">
                  <c:v>10.432943531521166</c:v>
                </c:pt>
                <c:pt idx="151">
                  <c:v>10.266771716628718</c:v>
                </c:pt>
                <c:pt idx="152">
                  <c:v>10.101719951290296</c:v>
                </c:pt>
                <c:pt idx="153">
                  <c:v>9.9378236297325877</c:v>
                </c:pt>
                <c:pt idx="154">
                  <c:v>9.7751186281453677</c:v>
                </c:pt>
                <c:pt idx="155">
                  <c:v>9.6136412605590991</c:v>
                </c:pt>
                <c:pt idx="156">
                  <c:v>9.453428230557396</c:v>
                </c:pt>
                <c:pt idx="157">
                  <c:v>9.2945165787639326</c:v>
                </c:pt>
                <c:pt idx="158">
                  <c:v>9.1369436260678007</c:v>
                </c:pt>
                <c:pt idx="159">
                  <c:v>8.9807469125792814</c:v>
                </c:pt>
                <c:pt idx="160">
                  <c:v>8.8259641323375941</c:v>
                </c:pt>
                <c:pt idx="161">
                  <c:v>8.6726330638268667</c:v>
                </c:pt>
                <c:pt idx="162">
                  <c:v>8.5207914963887319</c:v>
                </c:pt>
                <c:pt idx="163">
                  <c:v>8.3704771526610937</c:v>
                </c:pt>
                <c:pt idx="164">
                  <c:v>8.2217276072087149</c:v>
                </c:pt>
                <c:pt idx="165">
                  <c:v>8.0745802015544736</c:v>
                </c:pt>
                <c:pt idx="166">
                  <c:v>7.9290719558621205</c:v>
                </c:pt>
                <c:pt idx="167">
                  <c:v>7.7852394775631204</c:v>
                </c:pt>
                <c:pt idx="168">
                  <c:v>7.6431188672652173</c:v>
                </c:pt>
                <c:pt idx="169">
                  <c:v>7.5027456223226183</c:v>
                </c:pt>
                <c:pt idx="170">
                  <c:v>7.3641545384890232</c:v>
                </c:pt>
                <c:pt idx="171">
                  <c:v>7.2273796101179073</c:v>
                </c:pt>
                <c:pt idx="172">
                  <c:v>7.0924539294092543</c:v>
                </c:pt>
                <c:pt idx="173">
                  <c:v>6.9594095852408708</c:v>
                </c:pt>
                <c:pt idx="174">
                  <c:v>6.8282775621518415</c:v>
                </c:pt>
                <c:pt idx="175">
                  <c:v>6.6990876400749109</c:v>
                </c:pt>
                <c:pt idx="176">
                  <c:v>6.5718682954350811</c:v>
                </c:pt>
                <c:pt idx="177">
                  <c:v>6.4466466042514368</c:v>
                </c:pt>
                <c:pt idx="178">
                  <c:v>6.3234481478869986</c:v>
                </c:pt>
                <c:pt idx="179">
                  <c:v>6.2022969220974478</c:v>
                </c:pt>
                <c:pt idx="180">
                  <c:v>6.0832152500255177</c:v>
                </c:pt>
                <c:pt idx="181">
                  <c:v>5.9662236997777898</c:v>
                </c:pt>
                <c:pt idx="182">
                  <c:v>5.8513410072018832</c:v>
                </c:pt>
                <c:pt idx="183">
                  <c:v>5.7385840044570564</c:v>
                </c:pt>
                <c:pt idx="184">
                  <c:v>5.6279675549379444</c:v>
                </c:pt>
                <c:pt idx="185">
                  <c:v>5.5195044950686301</c:v>
                </c:pt>
                <c:pt idx="186">
                  <c:v>5.4132055834402451</c:v>
                </c:pt>
                <c:pt idx="187">
                  <c:v>5.3090794577069245</c:v>
                </c:pt>
                <c:pt idx="188">
                  <c:v>5.2071325995987756</c:v>
                </c:pt>
                <c:pt idx="189">
                  <c:v>5.107369308342645</c:v>
                </c:pt>
                <c:pt idx="190">
                  <c:v>5.0097916827144218</c:v>
                </c:pt>
                <c:pt idx="191">
                  <c:v>4.9143996118721986</c:v>
                </c:pt>
                <c:pt idx="192">
                  <c:v>4.821190775047425</c:v>
                </c:pt>
                <c:pt idx="193">
                  <c:v>4.7301606500924622</c:v>
                </c:pt>
                <c:pt idx="194">
                  <c:v>4.6413025308100924</c:v>
                </c:pt>
                <c:pt idx="195">
                  <c:v>4.5546075529139847</c:v>
                </c:pt>
                <c:pt idx="196">
                  <c:v>4.4700647283970065</c:v>
                </c:pt>
                <c:pt idx="197">
                  <c:v>4.3876609880159094</c:v>
                </c:pt>
                <c:pt idx="198">
                  <c:v>4.3073812315348361</c:v>
                </c:pt>
                <c:pt idx="199">
                  <c:v>4.2292083853099527</c:v>
                </c:pt>
                <c:pt idx="200">
                  <c:v>4.1531234667449821</c:v>
                </c:pt>
                <c:pt idx="201">
                  <c:v>4.0791056550970612</c:v>
                </c:pt>
                <c:pt idx="202">
                  <c:v>4.0071323680742132</c:v>
                </c:pt>
                <c:pt idx="203">
                  <c:v>3.9371793436303877</c:v>
                </c:pt>
                <c:pt idx="204">
                  <c:v>3.8692207263388356</c:v>
                </c:pt>
                <c:pt idx="205">
                  <c:v>3.8032291577066166</c:v>
                </c:pt>
                <c:pt idx="206">
                  <c:v>3.7391758697818811</c:v>
                </c:pt>
                <c:pt idx="207">
                  <c:v>3.6770307814030501</c:v>
                </c:pt>
                <c:pt idx="208">
                  <c:v>3.616762596441661</c:v>
                </c:pt>
                <c:pt idx="209">
                  <c:v>3.5583389034028086</c:v>
                </c:pt>
                <c:pt idx="210">
                  <c:v>3.5017262757626506</c:v>
                </c:pt>
                <c:pt idx="211">
                  <c:v>3.4468903724453654</c:v>
                </c:pt>
                <c:pt idx="212">
                  <c:v>3.3937960378698779</c:v>
                </c:pt>
                <c:pt idx="213">
                  <c:v>3.342407401026946</c:v>
                </c:pt>
                <c:pt idx="214">
                  <c:v>3.2926879730844894</c:v>
                </c:pt>
                <c:pt idx="215">
                  <c:v>3.2446007430558681</c:v>
                </c:pt>
                <c:pt idx="216">
                  <c:v>3.1981082711074169</c:v>
                </c:pt>
                <c:pt idx="217">
                  <c:v>3.1531727791223267</c:v>
                </c:pt>
                <c:pt idx="218">
                  <c:v>3.1097562381829813</c:v>
                </c:pt>
                <c:pt idx="219">
                  <c:v>3.067820452674761</c:v>
                </c:pt>
                <c:pt idx="220">
                  <c:v>3.0273271407593705</c:v>
                </c:pt>
                <c:pt idx="221">
                  <c:v>2.9882380110071787</c:v>
                </c:pt>
                <c:pt idx="222">
                  <c:v>2.9505148350181649</c:v>
                </c:pt>
                <c:pt idx="223">
                  <c:v>2.9141195159022724</c:v>
                </c:pt>
                <c:pt idx="224">
                  <c:v>2.8790141525261603</c:v>
                </c:pt>
                <c:pt idx="225">
                  <c:v>2.8451610994691654</c:v>
                </c:pt>
                <c:pt idx="226">
                  <c:v>2.8125230226624369</c:v>
                </c:pt>
                <c:pt idx="227">
                  <c:v>2.781062950719484</c:v>
                </c:pt>
                <c:pt idx="228">
                  <c:v>2.7507443219880141</c:v>
                </c:pt>
                <c:pt idx="229">
                  <c:v>2.7215310273838988</c:v>
                </c:pt>
                <c:pt idx="230">
                  <c:v>2.6933874490855447</c:v>
                </c:pt>
                <c:pt idx="231">
                  <c:v>2.6662784951883012</c:v>
                </c:pt>
                <c:pt idx="232">
                  <c:v>2.6401696304363216</c:v>
                </c:pt>
                <c:pt idx="233">
                  <c:v>2.6150269031605315</c:v>
                </c:pt>
                <c:pt idx="234">
                  <c:v>2.5908169685658038</c:v>
                </c:pt>
                <c:pt idx="235">
                  <c:v>2.567507108519258</c:v>
                </c:pt>
                <c:pt idx="236">
                  <c:v>2.5450652479976239</c:v>
                </c:pt>
                <c:pt idx="237">
                  <c:v>2.5234599683588721</c:v>
                </c:pt>
                <c:pt idx="238">
                  <c:v>2.5026605176047672</c:v>
                </c:pt>
                <c:pt idx="239">
                  <c:v>2.4826368178046114</c:v>
                </c:pt>
                <c:pt idx="240">
                  <c:v>2.463359469849991</c:v>
                </c:pt>
                <c:pt idx="241">
                  <c:v>2.4447997557081029</c:v>
                </c:pt>
                <c:pt idx="242">
                  <c:v>2.4269296383414298</c:v>
                </c:pt>
                <c:pt idx="243">
                  <c:v>2.4097217594566454</c:v>
                </c:pt>
                <c:pt idx="244">
                  <c:v>2.3931494352411775</c:v>
                </c:pt>
                <c:pt idx="245">
                  <c:v>2.3771866502417529</c:v>
                </c:pt>
                <c:pt idx="246">
                  <c:v>2.3618080495349116</c:v>
                </c:pt>
                <c:pt idx="247">
                  <c:v>2.3469889293295019</c:v>
                </c:pt>
                <c:pt idx="248">
                  <c:v>2.3327052261408951</c:v>
                </c:pt>
                <c:pt idx="249">
                  <c:v>2.3189335046622164</c:v>
                </c:pt>
                <c:pt idx="250">
                  <c:v>2.3056509444603308</c:v>
                </c:pt>
                <c:pt idx="251">
                  <c:v>2.2928353256067613</c:v>
                </c:pt>
                <c:pt idx="252">
                  <c:v>2.2804650133577717</c:v>
                </c:pt>
                <c:pt idx="253">
                  <c:v>2.2685189419799592</c:v>
                </c:pt>
                <c:pt idx="254">
                  <c:v>2.2569765978203051</c:v>
                </c:pt>
                <c:pt idx="255">
                  <c:v>2.2458180017058722</c:v>
                </c:pt>
                <c:pt idx="256">
                  <c:v>2.2350236907552876</c:v>
                </c:pt>
                <c:pt idx="257">
                  <c:v>2.2245746996761278</c:v>
                </c:pt>
                <c:pt idx="258">
                  <c:v>2.2144525416169376</c:v>
                </c:pt>
                <c:pt idx="259">
                  <c:v>2.20463918863617</c:v>
                </c:pt>
                <c:pt idx="260">
                  <c:v>2.195117051843726</c:v>
                </c:pt>
                <c:pt idx="261">
                  <c:v>2.1858689612667455</c:v>
                </c:pt>
                <c:pt idx="262">
                  <c:v>2.176878145485786</c:v>
                </c:pt>
                <c:pt idx="263">
                  <c:v>2.1681282110800062</c:v>
                </c:pt>
                <c:pt idx="264">
                  <c:v>2.1596031219199316</c:v>
                </c:pt>
                <c:pt idx="265">
                  <c:v>2.151287178337669</c:v>
                </c:pt>
                <c:pt idx="266">
                  <c:v>2.1431649962021524</c:v>
                </c:pt>
                <c:pt idx="267">
                  <c:v>2.1352214859242871</c:v>
                </c:pt>
                <c:pt idx="268">
                  <c:v>2.1274418314106116</c:v>
                </c:pt>
                <c:pt idx="269">
                  <c:v>2.1198114689825216</c:v>
                </c:pt>
                <c:pt idx="270">
                  <c:v>2.1123160662760396</c:v>
                </c:pt>
                <c:pt idx="271">
                  <c:v>2.1049415011316097</c:v>
                </c:pt>
                <c:pt idx="272">
                  <c:v>2.0976738404831896</c:v>
                </c:pt>
                <c:pt idx="273">
                  <c:v>2.0904993192530439</c:v>
                </c:pt>
                <c:pt idx="274">
                  <c:v>2.0834043192563305</c:v>
                </c:pt>
                <c:pt idx="275">
                  <c:v>2.0763753481178018</c:v>
                </c:pt>
                <c:pt idx="276">
                  <c:v>2.0693990182020165</c:v>
                </c:pt>
                <c:pt idx="277">
                  <c:v>2.0624620255567248</c:v>
                </c:pt>
                <c:pt idx="278">
                  <c:v>2.0555511288676778</c:v>
                </c:pt>
                <c:pt idx="279">
                  <c:v>2.0486531284232092</c:v>
                </c:pt>
                <c:pt idx="280">
                  <c:v>2.0417548450854732</c:v>
                </c:pt>
                <c:pt idx="281">
                  <c:v>2.0348430992647057</c:v>
                </c:pt>
                <c:pt idx="282">
                  <c:v>2.027904689893985</c:v>
                </c:pt>
                <c:pt idx="283">
                  <c:v>2.020926373399818</c:v>
                </c:pt>
                <c:pt idx="284">
                  <c:v>2.0138948426666552</c:v>
                </c:pt>
                <c:pt idx="285">
                  <c:v>2.0067967059910345</c:v>
                </c:pt>
                <c:pt idx="286">
                  <c:v>1.999618466024413</c:v>
                </c:pt>
                <c:pt idx="287">
                  <c:v>1.9923464987027708</c:v>
                </c:pt>
                <c:pt idx="288">
                  <c:v>1.9849670321629103</c:v>
                </c:pt>
                <c:pt idx="289">
                  <c:v>1.9774661256461521</c:v>
                </c:pt>
                <c:pt idx="290">
                  <c:v>1.9698296483929294</c:v>
                </c:pt>
                <c:pt idx="291">
                  <c:v>1.9620432585317213</c:v>
                </c:pt>
                <c:pt idx="292">
                  <c:v>1.9540923819691902</c:v>
                </c:pt>
                <c:pt idx="293">
                  <c:v>1.9459621912898759</c:v>
                </c:pt>
                <c:pt idx="294">
                  <c:v>1.9376375846769558</c:v>
                </c:pt>
                <c:pt idx="295">
                  <c:v>1.9291031648679873</c:v>
                </c:pt>
                <c:pt idx="296">
                  <c:v>1.9203432181615123</c:v>
                </c:pt>
                <c:pt idx="297">
                  <c:v>1.9113416934967931</c:v>
                </c:pt>
                <c:pt idx="298">
                  <c:v>1.9020821816278499</c:v>
                </c:pt>
                <c:pt idx="299">
                  <c:v>1.8925478944220966</c:v>
                </c:pt>
                <c:pt idx="300">
                  <c:v>1.88272164431341</c:v>
                </c:pt>
                <c:pt idx="301">
                  <c:v>1.8725858239461659</c:v>
                </c:pt>
                <c:pt idx="302">
                  <c:v>1.8621223860522949</c:v>
                </c:pt>
                <c:pt idx="303">
                  <c:v>1.8513128236054712</c:v>
                </c:pt>
                <c:pt idx="304">
                  <c:v>1.8401381503051568</c:v>
                </c:pt>
                <c:pt idx="305">
                  <c:v>1.8285788814460209</c:v>
                </c:pt>
                <c:pt idx="306">
                  <c:v>1.8166150152358673</c:v>
                </c:pt>
                <c:pt idx="307">
                  <c:v>1.8042260146303601</c:v>
                </c:pt>
                <c:pt idx="308">
                  <c:v>1.7913907897598811</c:v>
                </c:pt>
                <c:pt idx="309">
                  <c:v>1.7780876810289203</c:v>
                </c:pt>
                <c:pt idx="310">
                  <c:v>1.7642944429775123</c:v>
                </c:pt>
                <c:pt idx="311">
                  <c:v>1.7499882289980477</c:v>
                </c:pt>
                <c:pt idx="312">
                  <c:v>1.7351455770105908</c:v>
                </c:pt>
                <c:pt idx="313">
                  <c:v>1.719742396205264</c:v>
                </c:pt>
                <c:pt idx="314">
                  <c:v>1.7037539549678242</c:v>
                </c:pt>
                <c:pt idx="315">
                  <c:v>1.6871548701105703</c:v>
                </c:pt>
                <c:pt idx="316">
                  <c:v>1.6699190975399056</c:v>
                </c:pt>
                <c:pt idx="317">
                  <c:v>1.6520199244960068</c:v>
                </c:pt>
                <c:pt idx="318">
                  <c:v>1.6334299635076965</c:v>
                </c:pt>
                <c:pt idx="319">
                  <c:v>1.6141211482119378</c:v>
                </c:pt>
                <c:pt idx="320">
                  <c:v>1.5940647311914882</c:v>
                </c:pt>
                <c:pt idx="321">
                  <c:v>1.5732312839907268</c:v>
                </c:pt>
                <c:pt idx="322">
                  <c:v>1.5515906994727953</c:v>
                </c:pt>
                <c:pt idx="323">
                  <c:v>1.5291121966838954</c:v>
                </c:pt>
                <c:pt idx="324">
                  <c:v>1.5057643283953279</c:v>
                </c:pt>
                <c:pt idx="325">
                  <c:v>1.4815149914906292</c:v>
                </c:pt>
                <c:pt idx="326">
                  <c:v>1.4563314403689007</c:v>
                </c:pt>
                <c:pt idx="327">
                  <c:v>1.4301803035322624</c:v>
                </c:pt>
                <c:pt idx="328">
                  <c:v>1.40302760351911</c:v>
                </c:pt>
                <c:pt idx="329">
                  <c:v>1.3748387803443767</c:v>
                </c:pt>
                <c:pt idx="330">
                  <c:v>1.3455787185971302</c:v>
                </c:pt>
                <c:pt idx="331">
                  <c:v>1.3152117783361073</c:v>
                </c:pt>
                <c:pt idx="332">
                  <c:v>1.2837018299144212</c:v>
                </c:pt>
                <c:pt idx="333">
                  <c:v>1.251012292849452</c:v>
                </c:pt>
                <c:pt idx="334">
                  <c:v>1.2171061788334234</c:v>
                </c:pt>
                <c:pt idx="335">
                  <c:v>1.1819461389685912</c:v>
                </c:pt>
                <c:pt idx="336">
                  <c:v>1.1454945152794969</c:v>
                </c:pt>
                <c:pt idx="337">
                  <c:v>1.1077133965367703</c:v>
                </c:pt>
                <c:pt idx="338">
                  <c:v>1.0685646783966123</c:v>
                </c:pt>
                <c:pt idx="339">
                  <c:v>1.0280101278289713</c:v>
                </c:pt>
                <c:pt idx="340">
                  <c:v>0.9860114517766948</c:v>
                </c:pt>
                <c:pt idx="341">
                  <c:v>0.94253036995020456</c:v>
                </c:pt>
                <c:pt idx="342">
                  <c:v>0.8975286916264863</c:v>
                </c:pt>
                <c:pt idx="343">
                  <c:v>0.85096839628177279</c:v>
                </c:pt>
                <c:pt idx="344">
                  <c:v>0.80281171784414984</c:v>
                </c:pt>
                <c:pt idx="345">
                  <c:v>0.75302123231283291</c:v>
                </c:pt>
                <c:pt idx="346">
                  <c:v>0.70155994844564151</c:v>
                </c:pt>
                <c:pt idx="347">
                  <c:v>0.64839140117447402</c:v>
                </c:pt>
                <c:pt idx="348">
                  <c:v>0.59347974736353881</c:v>
                </c:pt>
                <c:pt idx="349">
                  <c:v>0.53678986348675894</c:v>
                </c:pt>
                <c:pt idx="350">
                  <c:v>0.47828744475455742</c:v>
                </c:pt>
                <c:pt idx="351">
                  <c:v>0.4179391051896465</c:v>
                </c:pt>
                <c:pt idx="352">
                  <c:v>0.35571247810706663</c:v>
                </c:pt>
                <c:pt idx="353">
                  <c:v>0.2915763164316012</c:v>
                </c:pt>
                <c:pt idx="354">
                  <c:v>0.22550059225040936</c:v>
                </c:pt>
                <c:pt idx="355">
                  <c:v>0.15745659498233758</c:v>
                </c:pt>
                <c:pt idx="356">
                  <c:v>8.7417027524678267E-2</c:v>
                </c:pt>
                <c:pt idx="357">
                  <c:v>1.5356099730972309E-2</c:v>
                </c:pt>
                <c:pt idx="358">
                  <c:v>-5.8750381432638443E-2</c:v>
                </c:pt>
                <c:pt idx="359">
                  <c:v>-0.13492492569893025</c:v>
                </c:pt>
                <c:pt idx="360">
                  <c:v>-0.21318827791745576</c:v>
                </c:pt>
                <c:pt idx="361">
                  <c:v>-0.29355934169563497</c:v>
                </c:pt>
                <c:pt idx="362">
                  <c:v>-0.37605510885632376</c:v>
                </c:pt>
                <c:pt idx="363">
                  <c:v>-0.46069059526895656</c:v>
                </c:pt>
                <c:pt idx="364">
                  <c:v>-0.54747878357279001</c:v>
                </c:pt>
                <c:pt idx="365">
                  <c:v>-0.63643057326075325</c:v>
                </c:pt>
                <c:pt idx="366">
                  <c:v>-0.72755473853869146</c:v>
                </c:pt>
                <c:pt idx="367">
                  <c:v>-0.82085789431480283</c:v>
                </c:pt>
                <c:pt idx="368">
                  <c:v>-0.91634447060830548</c:v>
                </c:pt>
                <c:pt idx="369">
                  <c:v>-1.0140166955971013</c:v>
                </c:pt>
                <c:pt idx="370">
                  <c:v>-1.113874587452294</c:v>
                </c:pt>
                <c:pt idx="371">
                  <c:v>-1.2159159550310537</c:v>
                </c:pt>
                <c:pt idx="372">
                  <c:v>-1.3201364074255604</c:v>
                </c:pt>
                <c:pt idx="373">
                  <c:v>-1.4265293722884134</c:v>
                </c:pt>
                <c:pt idx="374">
                  <c:v>-1.5350861227816885</c:v>
                </c:pt>
                <c:pt idx="375">
                  <c:v>-1.6457958129228676</c:v>
                </c:pt>
                <c:pt idx="376">
                  <c:v>-1.7586455210335561</c:v>
                </c:pt>
                <c:pt idx="377">
                  <c:v>-1.8736203009312871</c:v>
                </c:pt>
                <c:pt idx="378">
                  <c:v>-1.9907032404444378</c:v>
                </c:pt>
                <c:pt idx="379">
                  <c:v>-2.1098755267777585</c:v>
                </c:pt>
                <c:pt idx="380">
                  <c:v>-2.2311165182076724</c:v>
                </c:pt>
                <c:pt idx="381">
                  <c:v>-2.3544038215460907</c:v>
                </c:pt>
                <c:pt idx="382">
                  <c:v>-2.4797133747796853</c:v>
                </c:pt>
                <c:pt idx="383">
                  <c:v>-2.6070195342643321</c:v>
                </c:pt>
                <c:pt idx="384">
                  <c:v>-2.7362951658383272</c:v>
                </c:pt>
                <c:pt idx="385">
                  <c:v>-2.8675117392067855</c:v>
                </c:pt>
                <c:pt idx="386">
                  <c:v>-3.0006394249468418</c:v>
                </c:pt>
                <c:pt idx="387">
                  <c:v>-3.1356471934886203</c:v>
                </c:pt>
                <c:pt idx="388">
                  <c:v>-3.2725029154363905</c:v>
                </c:pt>
                <c:pt idx="389">
                  <c:v>-3.4111734626124646</c:v>
                </c:pt>
                <c:pt idx="390">
                  <c:v>-3.5516248092294838</c:v>
                </c:pt>
                <c:pt idx="391">
                  <c:v>-3.6938221326230023</c:v>
                </c:pt>
                <c:pt idx="392">
                  <c:v>-3.8377299130100839</c:v>
                </c:pt>
                <c:pt idx="393">
                  <c:v>-3.9833120317736137</c:v>
                </c:pt>
                <c:pt idx="394">
                  <c:v>-4.1305318678122376</c:v>
                </c:pt>
                <c:pt idx="395">
                  <c:v>-4.279352391534764</c:v>
                </c:pt>
                <c:pt idx="396">
                  <c:v>-4.4297362561209308</c:v>
                </c:pt>
                <c:pt idx="397">
                  <c:v>-4.5816458857150613</c:v>
                </c:pt>
                <c:pt idx="398">
                  <c:v>-4.7350435602581662</c:v>
                </c:pt>
                <c:pt idx="399">
                  <c:v>-4.8898914967131439</c:v>
                </c:pt>
                <c:pt idx="400">
                  <c:v>-5.0461519264736534</c:v>
                </c:pt>
                <c:pt idx="401">
                  <c:v>-5.2037871687938084</c:v>
                </c:pt>
                <c:pt idx="402">
                  <c:v>-5.3627597001106677</c:v>
                </c:pt>
                <c:pt idx="403">
                  <c:v>-5.5230322191725563</c:v>
                </c:pt>
                <c:pt idx="404">
                  <c:v>-5.684567707918573</c:v>
                </c:pt>
                <c:pt idx="405">
                  <c:v>-5.8473294880887883</c:v>
                </c:pt>
                <c:pt idx="406">
                  <c:v>-6.0112812735755758</c:v>
                </c:pt>
                <c:pt idx="407">
                  <c:v>-6.1763872185511595</c:v>
                </c:pt>
                <c:pt idx="408">
                  <c:v>-6.3426119614352627</c:v>
                </c:pt>
                <c:pt idx="409">
                  <c:v>-6.509920664784743</c:v>
                </c:pt>
                <c:pt idx="410">
                  <c:v>-6.6782790512088717</c:v>
                </c:pt>
                <c:pt idx="411">
                  <c:v>-6.847653435431039</c:v>
                </c:pt>
                <c:pt idx="412">
                  <c:v>-7.01801075262909</c:v>
                </c:pt>
                <c:pt idx="413">
                  <c:v>-7.1893185832013806</c:v>
                </c:pt>
                <c:pt idx="414">
                  <c:v>-7.3615451741126448</c:v>
                </c:pt>
                <c:pt idx="415">
                  <c:v>-7.5346594569830749</c:v>
                </c:pt>
                <c:pt idx="416">
                  <c:v>-7.7086310630871466</c:v>
                </c:pt>
                <c:pt idx="417">
                  <c:v>-7.8834303354345998</c:v>
                </c:pt>
                <c:pt idx="418">
                  <c:v>-8.0590283381057883</c:v>
                </c:pt>
                <c:pt idx="419">
                  <c:v>-8.2353968630147225</c:v>
                </c:pt>
                <c:pt idx="420">
                  <c:v>-8.4125084342730432</c:v>
                </c:pt>
                <c:pt idx="421">
                  <c:v>-8.5903363103238721</c:v>
                </c:pt>
                <c:pt idx="422">
                  <c:v>-8.7688544840138931</c:v>
                </c:pt>
                <c:pt idx="423">
                  <c:v>-8.9480376807649478</c:v>
                </c:pt>
                <c:pt idx="424">
                  <c:v>-9.1278613550053933</c:v>
                </c:pt>
                <c:pt idx="425">
                  <c:v>-9.3083016850119495</c:v>
                </c:pt>
                <c:pt idx="426">
                  <c:v>-9.4893355663107766</c:v>
                </c:pt>
                <c:pt idx="427">
                  <c:v>-9.6709406037767138</c:v>
                </c:pt>
                <c:pt idx="428">
                  <c:v>-9.8530951025656126</c:v>
                </c:pt>
                <c:pt idx="429">
                  <c:v>-10.035778058007914</c:v>
                </c:pt>
                <c:pt idx="430">
                  <c:v>-10.218969144581898</c:v>
                </c:pt>
                <c:pt idx="431">
                  <c:v>-10.402648704081972</c:v>
                </c:pt>
                <c:pt idx="432">
                  <c:v>-10.586797733088126</c:v>
                </c:pt>
                <c:pt idx="433">
                  <c:v>-10.771397869836258</c:v>
                </c:pt>
                <c:pt idx="434">
                  <c:v>-10.956431380582005</c:v>
                </c:pt>
                <c:pt idx="435">
                  <c:v>-11.141881145547119</c:v>
                </c:pt>
                <c:pt idx="436">
                  <c:v>-11.327730644524866</c:v>
                </c:pt>
                <c:pt idx="437">
                  <c:v>-11.513963942222338</c:v>
                </c:pt>
                <c:pt idx="438">
                  <c:v>-11.70056567340513</c:v>
                </c:pt>
                <c:pt idx="439">
                  <c:v>-11.887521027908672</c:v>
                </c:pt>
                <c:pt idx="440">
                  <c:v>-12.074815735572535</c:v>
                </c:pt>
                <c:pt idx="441">
                  <c:v>-12.262436051149603</c:v>
                </c:pt>
                <c:pt idx="442">
                  <c:v>-12.450368739238439</c:v>
                </c:pt>
                <c:pt idx="443">
                  <c:v>-12.638601059279129</c:v>
                </c:pt>
                <c:pt idx="444">
                  <c:v>-12.827120750653581</c:v>
                </c:pt>
                <c:pt idx="445">
                  <c:v>-13.015916017922045</c:v>
                </c:pt>
                <c:pt idx="446">
                  <c:v>-13.204975516227391</c:v>
                </c:pt>
                <c:pt idx="447">
                  <c:v>-13.394288336894018</c:v>
                </c:pt>
                <c:pt idx="448">
                  <c:v>-13.583843993243992</c:v>
                </c:pt>
                <c:pt idx="449">
                  <c:v>-13.773632406652057</c:v>
                </c:pt>
                <c:pt idx="450">
                  <c:v>-13.963643892855877</c:v>
                </c:pt>
                <c:pt idx="451">
                  <c:v>-14.153869148537401</c:v>
                </c:pt>
                <c:pt idx="452">
                  <c:v>-14.344299238188096</c:v>
                </c:pt>
                <c:pt idx="453">
                  <c:v>-14.53492558126654</c:v>
                </c:pt>
                <c:pt idx="454">
                  <c:v>-14.725739939659988</c:v>
                </c:pt>
                <c:pt idx="455">
                  <c:v>-14.916734405453369</c:v>
                </c:pt>
                <c:pt idx="456">
                  <c:v>-15.107901389012275</c:v>
                </c:pt>
                <c:pt idx="457">
                  <c:v>-15.299233607382734</c:v>
                </c:pt>
                <c:pt idx="458">
                  <c:v>-15.490724073009964</c:v>
                </c:pt>
                <c:pt idx="459">
                  <c:v>-15.682366082776385</c:v>
                </c:pt>
                <c:pt idx="460">
                  <c:v>-15.874153207359395</c:v>
                </c:pt>
                <c:pt idx="461">
                  <c:v>-16.066079280906429</c:v>
                </c:pt>
                <c:pt idx="462">
                  <c:v>-16.258138391026261</c:v>
                </c:pt>
                <c:pt idx="463">
                  <c:v>-16.450324869091993</c:v>
                </c:pt>
                <c:pt idx="464">
                  <c:v>-16.642633280854035</c:v>
                </c:pt>
                <c:pt idx="465">
                  <c:v>-16.835058417357295</c:v>
                </c:pt>
                <c:pt idx="466">
                  <c:v>-17.027595286157709</c:v>
                </c:pt>
                <c:pt idx="467">
                  <c:v>-17.22023910283426</c:v>
                </c:pt>
                <c:pt idx="468">
                  <c:v>-17.412985282789251</c:v>
                </c:pt>
                <c:pt idx="469">
                  <c:v>-17.605829433331984</c:v>
                </c:pt>
                <c:pt idx="470">
                  <c:v>-17.798767346038989</c:v>
                </c:pt>
                <c:pt idx="471">
                  <c:v>-17.99179498938479</c:v>
                </c:pt>
                <c:pt idx="472">
                  <c:v>-18.184908501636535</c:v>
                </c:pt>
                <c:pt idx="473">
                  <c:v>-18.378104184005224</c:v>
                </c:pt>
                <c:pt idx="474">
                  <c:v>-18.571378494047895</c:v>
                </c:pt>
                <c:pt idx="475">
                  <c:v>-18.764728039313056</c:v>
                </c:pt>
                <c:pt idx="476">
                  <c:v>-18.95814957122149</c:v>
                </c:pt>
                <c:pt idx="477">
                  <c:v>-19.151639979178924</c:v>
                </c:pt>
                <c:pt idx="478">
                  <c:v>-19.345196284909147</c:v>
                </c:pt>
                <c:pt idx="479">
                  <c:v>-19.538815637004532</c:v>
                </c:pt>
                <c:pt idx="480">
                  <c:v>-19.732495305684953</c:v>
                </c:pt>
                <c:pt idx="481">
                  <c:v>-19.926232677759693</c:v>
                </c:pt>
                <c:pt idx="482">
                  <c:v>-20.120025251784782</c:v>
                </c:pt>
                <c:pt idx="483">
                  <c:v>-20.313870633409906</c:v>
                </c:pt>
                <c:pt idx="484">
                  <c:v>-20.507766530908324</c:v>
                </c:pt>
                <c:pt idx="485">
                  <c:v>-20.701710750883393</c:v>
                </c:pt>
                <c:pt idx="486">
                  <c:v>-20.895701194145929</c:v>
                </c:pt>
                <c:pt idx="487">
                  <c:v>-21.089735851755758</c:v>
                </c:pt>
                <c:pt idx="488">
                  <c:v>-21.283812801222595</c:v>
                </c:pt>
                <c:pt idx="489">
                  <c:v>-21.477930202859312</c:v>
                </c:pt>
                <c:pt idx="490">
                  <c:v>-21.672086296283307</c:v>
                </c:pt>
                <c:pt idx="491">
                  <c:v>-21.866279397059422</c:v>
                </c:pt>
                <c:pt idx="492">
                  <c:v>-22.060507893479912</c:v>
                </c:pt>
                <c:pt idx="493">
                  <c:v>-22.254770243476152</c:v>
                </c:pt>
                <c:pt idx="494">
                  <c:v>-22.449064971656824</c:v>
                </c:pt>
                <c:pt idx="495">
                  <c:v>-22.6433906664682</c:v>
                </c:pt>
                <c:pt idx="496">
                  <c:v>-22.837745977471606</c:v>
                </c:pt>
                <c:pt idx="497">
                  <c:v>-23.032129612733385</c:v>
                </c:pt>
                <c:pt idx="498">
                  <c:v>-23.226540336323794</c:v>
                </c:pt>
                <c:pt idx="499">
                  <c:v>-23.420976965919248</c:v>
                </c:pt>
                <c:pt idx="500">
                  <c:v>-23.615438370505096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41-4D19-9DBC-690DDB1D00CA}"/>
            </c:ext>
          </c:extLst>
        </c:ser>
        <c:ser>
          <c:idx val="0"/>
          <c:order val="6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Signal'!$J$511:$J$612</c:f>
              <c:numCache>
                <c:formatCode>General</c:formatCode>
                <c:ptCount val="102"/>
                <c:pt idx="0">
                  <c:v>37.660600000000002</c:v>
                </c:pt>
                <c:pt idx="1">
                  <c:v>40.938000000000002</c:v>
                </c:pt>
                <c:pt idx="2">
                  <c:v>45.019300000000001</c:v>
                </c:pt>
                <c:pt idx="3">
                  <c:v>41.562100000000001</c:v>
                </c:pt>
                <c:pt idx="4">
                  <c:v>43.169699999999999</c:v>
                </c:pt>
                <c:pt idx="5">
                  <c:v>42.245800000000003</c:v>
                </c:pt>
                <c:pt idx="6">
                  <c:v>41.420299999999997</c:v>
                </c:pt>
                <c:pt idx="7">
                  <c:v>41.924500000000002</c:v>
                </c:pt>
                <c:pt idx="8">
                  <c:v>40.187199999999997</c:v>
                </c:pt>
                <c:pt idx="9">
                  <c:v>38.4514</c:v>
                </c:pt>
                <c:pt idx="10">
                  <c:v>36.996499999999997</c:v>
                </c:pt>
                <c:pt idx="11">
                  <c:v>35.101599999999998</c:v>
                </c:pt>
                <c:pt idx="12">
                  <c:v>33.128500000000003</c:v>
                </c:pt>
                <c:pt idx="13">
                  <c:v>31.1892</c:v>
                </c:pt>
                <c:pt idx="14">
                  <c:v>29.313400000000001</c:v>
                </c:pt>
                <c:pt idx="15">
                  <c:v>27.4208</c:v>
                </c:pt>
                <c:pt idx="16">
                  <c:v>25.543299999999999</c:v>
                </c:pt>
                <c:pt idx="17">
                  <c:v>23.7925</c:v>
                </c:pt>
                <c:pt idx="18">
                  <c:v>22.151800000000001</c:v>
                </c:pt>
                <c:pt idx="19">
                  <c:v>20.708300000000001</c:v>
                </c:pt>
                <c:pt idx="20">
                  <c:v>19.408200000000001</c:v>
                </c:pt>
                <c:pt idx="21">
                  <c:v>18.206299999999999</c:v>
                </c:pt>
                <c:pt idx="22">
                  <c:v>16.799600000000002</c:v>
                </c:pt>
                <c:pt idx="23">
                  <c:v>15.136699999999999</c:v>
                </c:pt>
                <c:pt idx="24">
                  <c:v>13.201000000000001</c:v>
                </c:pt>
                <c:pt idx="25">
                  <c:v>11.1213</c:v>
                </c:pt>
                <c:pt idx="26">
                  <c:v>9.0173299999999994</c:v>
                </c:pt>
                <c:pt idx="27">
                  <c:v>6.94102</c:v>
                </c:pt>
                <c:pt idx="28">
                  <c:v>4.9103399999999997</c:v>
                </c:pt>
                <c:pt idx="29">
                  <c:v>2.9131499999999999</c:v>
                </c:pt>
                <c:pt idx="30">
                  <c:v>0.95159800000000005</c:v>
                </c:pt>
                <c:pt idx="31">
                  <c:v>-0.97999400000000003</c:v>
                </c:pt>
                <c:pt idx="32">
                  <c:v>-3.0378500000000002</c:v>
                </c:pt>
                <c:pt idx="33">
                  <c:v>-5.0957600000000003</c:v>
                </c:pt>
                <c:pt idx="34">
                  <c:v>-6.9738800000000003</c:v>
                </c:pt>
                <c:pt idx="35">
                  <c:v>-8.6015200000000007</c:v>
                </c:pt>
                <c:pt idx="36">
                  <c:v>-9.9493500000000008</c:v>
                </c:pt>
                <c:pt idx="37">
                  <c:v>-10.9834</c:v>
                </c:pt>
                <c:pt idx="38">
                  <c:v>-11.75</c:v>
                </c:pt>
                <c:pt idx="39">
                  <c:v>-12.6732</c:v>
                </c:pt>
                <c:pt idx="40">
                  <c:v>-13.494400000000001</c:v>
                </c:pt>
                <c:pt idx="41">
                  <c:v>-14.252599999999999</c:v>
                </c:pt>
                <c:pt idx="42">
                  <c:v>-14.984500000000001</c:v>
                </c:pt>
                <c:pt idx="43">
                  <c:v>-15.6913</c:v>
                </c:pt>
                <c:pt idx="44">
                  <c:v>-16.584</c:v>
                </c:pt>
                <c:pt idx="45">
                  <c:v>-18.080200000000001</c:v>
                </c:pt>
                <c:pt idx="46">
                  <c:v>-23.304200000000002</c:v>
                </c:pt>
                <c:pt idx="47">
                  <c:v>-38.991999999999997</c:v>
                </c:pt>
                <c:pt idx="48">
                  <c:v>-30.333600000000001</c:v>
                </c:pt>
                <c:pt idx="49">
                  <c:v>-25.927700000000002</c:v>
                </c:pt>
                <c:pt idx="50">
                  <c:v>-25.588000000000001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1-4D19-9DBC-690DDB1D00CA}"/>
            </c:ext>
          </c:extLst>
        </c:ser>
        <c:ser>
          <c:idx val="8"/>
          <c:order val="8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Signal'!$N$511:$N$612</c:f>
              <c:numCache>
                <c:formatCode>General</c:formatCode>
                <c:ptCount val="102"/>
                <c:pt idx="0">
                  <c:v>18.21</c:v>
                </c:pt>
                <c:pt idx="1">
                  <c:v>18.2605</c:v>
                </c:pt>
                <c:pt idx="2">
                  <c:v>18.195399999999999</c:v>
                </c:pt>
                <c:pt idx="3">
                  <c:v>18.6417</c:v>
                </c:pt>
                <c:pt idx="4">
                  <c:v>18.401</c:v>
                </c:pt>
                <c:pt idx="5">
                  <c:v>18.456</c:v>
                </c:pt>
                <c:pt idx="6">
                  <c:v>18.449200000000001</c:v>
                </c:pt>
                <c:pt idx="7">
                  <c:v>18.566299999999998</c:v>
                </c:pt>
                <c:pt idx="8">
                  <c:v>18.429400000000001</c:v>
                </c:pt>
                <c:pt idx="9">
                  <c:v>18.380700000000001</c:v>
                </c:pt>
                <c:pt idx="10">
                  <c:v>18.421800000000001</c:v>
                </c:pt>
                <c:pt idx="11">
                  <c:v>18.415299999999998</c:v>
                </c:pt>
                <c:pt idx="12">
                  <c:v>18.372299999999999</c:v>
                </c:pt>
                <c:pt idx="13">
                  <c:v>18.3811</c:v>
                </c:pt>
                <c:pt idx="14">
                  <c:v>18.360399999999998</c:v>
                </c:pt>
                <c:pt idx="15">
                  <c:v>18.352900000000002</c:v>
                </c:pt>
                <c:pt idx="16">
                  <c:v>18.329999999999998</c:v>
                </c:pt>
                <c:pt idx="17">
                  <c:v>18.350000000000001</c:v>
                </c:pt>
                <c:pt idx="18">
                  <c:v>18.415500000000002</c:v>
                </c:pt>
                <c:pt idx="19">
                  <c:v>18.587599999999998</c:v>
                </c:pt>
                <c:pt idx="20">
                  <c:v>18.744800000000001</c:v>
                </c:pt>
                <c:pt idx="21">
                  <c:v>18.844999999999999</c:v>
                </c:pt>
                <c:pt idx="22">
                  <c:v>18.576599999999999</c:v>
                </c:pt>
                <c:pt idx="23">
                  <c:v>17.8185</c:v>
                </c:pt>
                <c:pt idx="24">
                  <c:v>16.533100000000001</c:v>
                </c:pt>
                <c:pt idx="25">
                  <c:v>14.869</c:v>
                </c:pt>
                <c:pt idx="26">
                  <c:v>13.0419</c:v>
                </c:pt>
                <c:pt idx="27">
                  <c:v>11.1648</c:v>
                </c:pt>
                <c:pt idx="28">
                  <c:v>9.2243700000000004</c:v>
                </c:pt>
                <c:pt idx="29">
                  <c:v>7.2900400000000003</c:v>
                </c:pt>
                <c:pt idx="30">
                  <c:v>5.4023700000000003</c:v>
                </c:pt>
                <c:pt idx="31">
                  <c:v>3.5295200000000002</c:v>
                </c:pt>
                <c:pt idx="32">
                  <c:v>1.69167</c:v>
                </c:pt>
                <c:pt idx="33">
                  <c:v>-7.7088799999999999E-2</c:v>
                </c:pt>
                <c:pt idx="34">
                  <c:v>-1.73281</c:v>
                </c:pt>
                <c:pt idx="35">
                  <c:v>-3.2250700000000001</c:v>
                </c:pt>
                <c:pt idx="36">
                  <c:v>-4.5564999999999998</c:v>
                </c:pt>
                <c:pt idx="37">
                  <c:v>-5.5935600000000001</c:v>
                </c:pt>
                <c:pt idx="38">
                  <c:v>-6.4191700000000003</c:v>
                </c:pt>
                <c:pt idx="39">
                  <c:v>-6.9911099999999999</c:v>
                </c:pt>
                <c:pt idx="40">
                  <c:v>-7.3113000000000001</c:v>
                </c:pt>
                <c:pt idx="41">
                  <c:v>-7.4893900000000002</c:v>
                </c:pt>
                <c:pt idx="42">
                  <c:v>-7.4759000000000002</c:v>
                </c:pt>
                <c:pt idx="43">
                  <c:v>-7.1994300000000004</c:v>
                </c:pt>
                <c:pt idx="44">
                  <c:v>-6.92408</c:v>
                </c:pt>
                <c:pt idx="45">
                  <c:v>-6.6042899999999998</c:v>
                </c:pt>
                <c:pt idx="46">
                  <c:v>-8.0669299999999993</c:v>
                </c:pt>
                <c:pt idx="47">
                  <c:v>-13.757400000000001</c:v>
                </c:pt>
                <c:pt idx="48">
                  <c:v>-23.852499999999999</c:v>
                </c:pt>
                <c:pt idx="49">
                  <c:v>-23.9956</c:v>
                </c:pt>
                <c:pt idx="50">
                  <c:v>-14.6715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41-4D19-9DBC-690DDB1D00CA}"/>
            </c:ext>
          </c:extLst>
        </c:ser>
        <c:ser>
          <c:idx val="10"/>
          <c:order val="10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Signal'!$R$511:$R$612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6288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-2.5087331263047794</c:v>
                </c:pt>
                <c:pt idx="1">
                  <c:v>-2.5656182432177244</c:v>
                </c:pt>
                <c:pt idx="2">
                  <c:v>-2.6237897445182443</c:v>
                </c:pt>
                <c:pt idx="3">
                  <c:v>-2.683276478440638</c:v>
                </c:pt>
                <c:pt idx="4">
                  <c:v>-2.7441079233537997</c:v>
                </c:pt>
                <c:pt idx="5">
                  <c:v>-2.8063142003507244</c:v>
                </c:pt>
                <c:pt idx="6">
                  <c:v>-2.8699260860064739</c:v>
                </c:pt>
                <c:pt idx="7">
                  <c:v>-2.934975025299277</c:v>
                </c:pt>
                <c:pt idx="8">
                  <c:v>-3.0014931446908104</c:v>
                </c:pt>
                <c:pt idx="9">
                  <c:v>-3.0695132653596167</c:v>
                </c:pt>
                <c:pt idx="10">
                  <c:v>-3.1390689165816261</c:v>
                </c:pt>
                <c:pt idx="11">
                  <c:v>-3.2101943492508411</c:v>
                </c:pt>
                <c:pt idx="12">
                  <c:v>-3.2829245495317041</c:v>
                </c:pt>
                <c:pt idx="13">
                  <c:v>-3.3572952526353439</c:v>
                </c:pt>
                <c:pt idx="14">
                  <c:v>-3.4333429567087945</c:v>
                </c:pt>
                <c:pt idx="15">
                  <c:v>-3.5111049368276586</c:v>
                </c:pt>
                <c:pt idx="16">
                  <c:v>-3.5906192590785384</c:v>
                </c:pt>
                <c:pt idx="17">
                  <c:v>-3.6719247947198479</c:v>
                </c:pt>
                <c:pt idx="18">
                  <c:v>-3.7550612344060528</c:v>
                </c:pt>
                <c:pt idx="19">
                  <c:v>-3.8400691024577562</c:v>
                </c:pt>
                <c:pt idx="20">
                  <c:v>-3.9269897711638024</c:v>
                </c:pt>
                <c:pt idx="21">
                  <c:v>-4.0158654750930571</c:v>
                </c:pt>
                <c:pt idx="22">
                  <c:v>-4.1067393253974256</c:v>
                </c:pt>
                <c:pt idx="23">
                  <c:v>-4.1996553240830945</c:v>
                </c:pt>
                <c:pt idx="24">
                  <c:v>-4.2946583782255425</c:v>
                </c:pt>
                <c:pt idx="25">
                  <c:v>-4.3917943141025795</c:v>
                </c:pt>
                <c:pt idx="26">
                  <c:v>-4.4911098912160838</c:v>
                </c:pt>
                <c:pt idx="27">
                  <c:v>-4.5926528161725146</c:v>
                </c:pt>
                <c:pt idx="28">
                  <c:v>-4.6964717563883438</c:v>
                </c:pt>
                <c:pt idx="29">
                  <c:v>-4.8026163535846917</c:v>
                </c:pt>
                <c:pt idx="30">
                  <c:v>-4.9111372370325483</c:v>
                </c:pt>
                <c:pt idx="31">
                  <c:v>-5.0220860365068747</c:v>
                </c:pt>
                <c:pt idx="32">
                  <c:v>-5.1355153949048571</c:v>
                </c:pt>
                <c:pt idx="33">
                  <c:v>-5.2514789804800301</c:v>
                </c:pt>
                <c:pt idx="34">
                  <c:v>-5.3700314986414384</c:v>
                </c:pt>
                <c:pt idx="35">
                  <c:v>-5.4912287032612026</c:v>
                </c:pt>
                <c:pt idx="36">
                  <c:v>-5.615127407432527</c:v>
                </c:pt>
                <c:pt idx="37">
                  <c:v>-5.7417854936138237</c:v>
                </c:pt>
                <c:pt idx="38">
                  <c:v>-5.8712619230917946</c:v>
                </c:pt>
                <c:pt idx="39">
                  <c:v>-6.0036167446908228</c:v>
                </c:pt>
                <c:pt idx="40">
                  <c:v>-6.1389111026507619</c:v>
                </c:pt>
                <c:pt idx="41">
                  <c:v>-6.2772072435922563</c:v>
                </c:pt>
                <c:pt idx="42">
                  <c:v>-6.4185685224799576</c:v>
                </c:pt>
                <c:pt idx="43">
                  <c:v>-6.5630594074916688</c:v>
                </c:pt>
                <c:pt idx="44">
                  <c:v>-6.7107454836931026</c:v>
                </c:pt>
                <c:pt idx="45">
                  <c:v>-6.861693455413163</c:v>
                </c:pt>
                <c:pt idx="46">
                  <c:v>-7.0159711472081998</c:v>
                </c:pt>
                <c:pt idx="47">
                  <c:v>-7.1736475032947817</c:v>
                </c:pt>
                <c:pt idx="48">
                  <c:v>-7.3347925853274143</c:v>
                </c:pt>
                <c:pt idx="49">
                  <c:v>-7.4994775683860073</c:v>
                </c:pt>
                <c:pt idx="50">
                  <c:v>-7.6677747350344374</c:v>
                </c:pt>
                <c:pt idx="51">
                  <c:v>-7.8397574672991643</c:v>
                </c:pt>
                <c:pt idx="52">
                  <c:v>-8.0155002364134837</c:v>
                </c:pt>
                <c:pt idx="53">
                  <c:v>-8.1950785901613674</c:v>
                </c:pt>
                <c:pt idx="54">
                  <c:v>-8.3785691376461084</c:v>
                </c:pt>
                <c:pt idx="55">
                  <c:v>-8.5660495313043601</c:v>
                </c:pt>
                <c:pt idx="56">
                  <c:v>-8.7575984459704443</c:v>
                </c:pt>
                <c:pt idx="57">
                  <c:v>-8.9532955547923212</c:v>
                </c:pt>
                <c:pt idx="58">
                  <c:v>-9.1532215017898668</c:v>
                </c:pt>
                <c:pt idx="59">
                  <c:v>-9.357457870833624</c:v>
                </c:pt>
                <c:pt idx="60">
                  <c:v>-9.5660871508188929</c:v>
                </c:pt>
                <c:pt idx="61">
                  <c:v>-9.7791926967929914</c:v>
                </c:pt>
                <c:pt idx="62">
                  <c:v>-9.9968586867922955</c:v>
                </c:pt>
                <c:pt idx="63">
                  <c:v>-10.219170074130417</c:v>
                </c:pt>
                <c:pt idx="64">
                  <c:v>-10.446212534871096</c:v>
                </c:pt>
                <c:pt idx="65">
                  <c:v>-10.678072410216606</c:v>
                </c:pt>
                <c:pt idx="66">
                  <c:v>-10.914836643522838</c:v>
                </c:pt>
                <c:pt idx="67">
                  <c:v>-11.156592711658766</c:v>
                </c:pt>
                <c:pt idx="68">
                  <c:v>-11.403428550408492</c:v>
                </c:pt>
                <c:pt idx="69">
                  <c:v>-11.655432473616322</c:v>
                </c:pt>
                <c:pt idx="70">
                  <c:v>-11.912693085767387</c:v>
                </c:pt>
                <c:pt idx="71">
                  <c:v>-12.175299187692508</c:v>
                </c:pt>
                <c:pt idx="72">
                  <c:v>-12.443339675082585</c:v>
                </c:pt>
                <c:pt idx="73">
                  <c:v>-12.716903429500286</c:v>
                </c:pt>
                <c:pt idx="74">
                  <c:v>-12.996079201574355</c:v>
                </c:pt>
                <c:pt idx="75">
                  <c:v>-13.280955486064975</c:v>
                </c:pt>
                <c:pt idx="76">
                  <c:v>-13.57162038849717</c:v>
                </c:pt>
                <c:pt idx="77">
                  <c:v>-13.868161483061556</c:v>
                </c:pt>
                <c:pt idx="78">
                  <c:v>-14.170665661498846</c:v>
                </c:pt>
                <c:pt idx="79">
                  <c:v>-14.479218972691083</c:v>
                </c:pt>
                <c:pt idx="80">
                  <c:v>-14.793906452706969</c:v>
                </c:pt>
                <c:pt idx="81">
                  <c:v>-15.114811945062948</c:v>
                </c:pt>
                <c:pt idx="82">
                  <c:v>-15.442017910991659</c:v>
                </c:pt>
                <c:pt idx="83">
                  <c:v>-15.77560522953674</c:v>
                </c:pt>
                <c:pt idx="84">
                  <c:v>-16.115652987327831</c:v>
                </c:pt>
                <c:pt idx="85">
                  <c:v>-16.462238257926607</c:v>
                </c:pt>
                <c:pt idx="86">
                  <c:v>-16.815435870684791</c:v>
                </c:pt>
                <c:pt idx="87">
                  <c:v>-17.175318169100073</c:v>
                </c:pt>
                <c:pt idx="88">
                  <c:v>-17.541954758714585</c:v>
                </c:pt>
                <c:pt idx="89">
                  <c:v>-17.915412244666463</c:v>
                </c:pt>
                <c:pt idx="90">
                  <c:v>-18.295753959067028</c:v>
                </c:pt>
                <c:pt idx="91">
                  <c:v>-18.683039678462876</c:v>
                </c:pt>
                <c:pt idx="92">
                  <c:v>-19.077325331711247</c:v>
                </c:pt>
                <c:pt idx="93">
                  <c:v>-19.478662698703975</c:v>
                </c:pt>
                <c:pt idx="94">
                  <c:v>-19.887099100454964</c:v>
                </c:pt>
                <c:pt idx="95">
                  <c:v>-20.302677081180573</c:v>
                </c:pt>
                <c:pt idx="96">
                  <c:v>-20.725434083109707</c:v>
                </c:pt>
                <c:pt idx="97">
                  <c:v>-21.155402114874196</c:v>
                </c:pt>
                <c:pt idx="98">
                  <c:v>-21.592607414452431</c:v>
                </c:pt>
                <c:pt idx="99">
                  <c:v>-22.037070107769853</c:v>
                </c:pt>
                <c:pt idx="100">
                  <c:v>-22.488803864182824</c:v>
                </c:pt>
                <c:pt idx="101">
                  <c:v>-22.947815550217889</c:v>
                </c:pt>
                <c:pt idx="102">
                  <c:v>-23.414104883060499</c:v>
                </c:pt>
                <c:pt idx="103">
                  <c:v>-23.88766408544226</c:v>
                </c:pt>
                <c:pt idx="104">
                  <c:v>-24.368477543692915</c:v>
                </c:pt>
                <c:pt idx="105">
                  <c:v>-24.856521470877453</c:v>
                </c:pt>
                <c:pt idx="106">
                  <c:v>-25.351763577048899</c:v>
                </c:pt>
                <c:pt idx="107">
                  <c:v>-25.85416274879158</c:v>
                </c:pt>
                <c:pt idx="108">
                  <c:v>-26.363668740330002</c:v>
                </c:pt>
                <c:pt idx="109">
                  <c:v>-26.880221878588021</c:v>
                </c:pt>
                <c:pt idx="110">
                  <c:v>-27.403752784680215</c:v>
                </c:pt>
                <c:pt idx="111">
                  <c:v>-27.934182114383646</c:v>
                </c:pt>
                <c:pt idx="112">
                  <c:v>-28.471420320207702</c:v>
                </c:pt>
                <c:pt idx="113">
                  <c:v>-29.015367437701595</c:v>
                </c:pt>
                <c:pt idx="114">
                  <c:v>-29.56591289866881</c:v>
                </c:pt>
                <c:pt idx="115">
                  <c:v>-30.122935373934965</c:v>
                </c:pt>
                <c:pt idx="116">
                  <c:v>-30.686302648275408</c:v>
                </c:pt>
                <c:pt idx="117">
                  <c:v>-31.255871530044409</c:v>
                </c:pt>
                <c:pt idx="118">
                  <c:v>-31.831487797939971</c:v>
                </c:pt>
                <c:pt idx="119">
                  <c:v>-32.412986187205249</c:v>
                </c:pt>
                <c:pt idx="120">
                  <c:v>-33.00019041739364</c:v>
                </c:pt>
                <c:pt idx="121">
                  <c:v>-33.59291326362932</c:v>
                </c:pt>
                <c:pt idx="122">
                  <c:v>-34.190956673044994</c:v>
                </c:pt>
                <c:pt idx="123">
                  <c:v>-34.794111927812594</c:v>
                </c:pt>
                <c:pt idx="124">
                  <c:v>-35.402159855878864</c:v>
                </c:pt>
                <c:pt idx="125">
                  <c:v>-36.014871090178467</c:v>
                </c:pt>
                <c:pt idx="126">
                  <c:v>-36.632006376736378</c:v>
                </c:pt>
                <c:pt idx="127">
                  <c:v>-37.253316931687039</c:v>
                </c:pt>
                <c:pt idx="128">
                  <c:v>-37.878544846827566</c:v>
                </c:pt>
                <c:pt idx="129">
                  <c:v>-38.507423542902352</c:v>
                </c:pt>
                <c:pt idx="130">
                  <c:v>-39.139678269387225</c:v>
                </c:pt>
                <c:pt idx="131">
                  <c:v>-39.775026649097541</c:v>
                </c:pt>
                <c:pt idx="132">
                  <c:v>-40.4131792655228</c:v>
                </c:pt>
                <c:pt idx="133">
                  <c:v>-41.053840290352142</c:v>
                </c:pt>
                <c:pt idx="134">
                  <c:v>-41.696708148254096</c:v>
                </c:pt>
                <c:pt idx="135">
                  <c:v>-42.341476215578453</c:v>
                </c:pt>
                <c:pt idx="136">
                  <c:v>-42.987833549292233</c:v>
                </c:pt>
                <c:pt idx="137">
                  <c:v>-43.635465642127407</c:v>
                </c:pt>
                <c:pt idx="138">
                  <c:v>-44.284055199635894</c:v>
                </c:pt>
                <c:pt idx="139">
                  <c:v>-44.933282934600165</c:v>
                </c:pt>
                <c:pt idx="140">
                  <c:v>-45.582828374056831</c:v>
                </c:pt>
                <c:pt idx="141">
                  <c:v>-46.232370674040411</c:v>
                </c:pt>
                <c:pt idx="142">
                  <c:v>-46.881589437078006</c:v>
                </c:pt>
                <c:pt idx="143">
                  <c:v>-47.530165527424785</c:v>
                </c:pt>
                <c:pt idx="144">
                  <c:v>-48.177781879065876</c:v>
                </c:pt>
                <c:pt idx="145">
                  <c:v>-48.824124291576659</c:v>
                </c:pt>
                <c:pt idx="146">
                  <c:v>-49.468882209094659</c:v>
                </c:pt>
                <c:pt idx="147">
                  <c:v>-50.111749477830536</c:v>
                </c:pt>
                <c:pt idx="148">
                  <c:v>-50.75242507778195</c:v>
                </c:pt>
                <c:pt idx="149">
                  <c:v>-51.390613824615095</c:v>
                </c:pt>
                <c:pt idx="150">
                  <c:v>-52.026027037993785</c:v>
                </c:pt>
                <c:pt idx="151">
                  <c:v>-52.658383172981594</c:v>
                </c:pt>
                <c:pt idx="152">
                  <c:v>-53.287408411566091</c:v>
                </c:pt>
                <c:pt idx="153">
                  <c:v>-53.9128372117178</c:v>
                </c:pt>
                <c:pt idx="154">
                  <c:v>-54.534412811856406</c:v>
                </c:pt>
                <c:pt idx="155">
                  <c:v>-55.151887689018658</c:v>
                </c:pt>
                <c:pt idx="156">
                  <c:v>-55.765023969445956</c:v>
                </c:pt>
                <c:pt idx="157">
                  <c:v>-56.373593790765128</c:v>
                </c:pt>
                <c:pt idx="158">
                  <c:v>-56.97737961534235</c:v>
                </c:pt>
                <c:pt idx="159">
                  <c:v>-57.576174494797371</c:v>
                </c:pt>
                <c:pt idx="160">
                  <c:v>-58.169782286070713</c:v>
                </c:pt>
                <c:pt idx="161">
                  <c:v>-58.75801781977249</c:v>
                </c:pt>
                <c:pt idx="162">
                  <c:v>-59.340707021916991</c:v>
                </c:pt>
                <c:pt idx="163">
                  <c:v>-59.917686990411291</c:v>
                </c:pt>
                <c:pt idx="164">
                  <c:v>-60.488806027981845</c:v>
                </c:pt>
                <c:pt idx="165">
                  <c:v>-61.053923633434316</c:v>
                </c:pt>
                <c:pt idx="166">
                  <c:v>-61.612910453368023</c:v>
                </c:pt>
                <c:pt idx="167">
                  <c:v>-62.165648196631693</c:v>
                </c:pt>
                <c:pt idx="168">
                  <c:v>-62.71202951394266</c:v>
                </c:pt>
                <c:pt idx="169">
                  <c:v>-63.251957845204402</c:v>
                </c:pt>
                <c:pt idx="170">
                  <c:v>-63.785347237127041</c:v>
                </c:pt>
                <c:pt idx="171">
                  <c:v>-64.312122133796166</c:v>
                </c:pt>
                <c:pt idx="172">
                  <c:v>-64.832217142849657</c:v>
                </c:pt>
                <c:pt idx="173">
                  <c:v>-65.345576779922752</c:v>
                </c:pt>
                <c:pt idx="174">
                  <c:v>-65.852155193962602</c:v>
                </c:pt>
                <c:pt idx="175">
                  <c:v>-66.351915875984034</c:v>
                </c:pt>
                <c:pt idx="176">
                  <c:v>-66.84483135374515</c:v>
                </c:pt>
                <c:pt idx="177">
                  <c:v>-67.33088287473673</c:v>
                </c:pt>
                <c:pt idx="178">
                  <c:v>-67.810060079779547</c:v>
                </c:pt>
                <c:pt idx="179">
                  <c:v>-68.282360669398983</c:v>
                </c:pt>
                <c:pt idx="180">
                  <c:v>-68.747790065035772</c:v>
                </c:pt>
                <c:pt idx="181">
                  <c:v>-69.206361067007151</c:v>
                </c:pt>
                <c:pt idx="182">
                  <c:v>-69.658093511013604</c:v>
                </c:pt>
                <c:pt idx="183">
                  <c:v>-70.103013924834542</c:v>
                </c:pt>
                <c:pt idx="184">
                  <c:v>-70.541155186734812</c:v>
                </c:pt>
                <c:pt idx="185">
                  <c:v>-70.972556186951863</c:v>
                </c:pt>
                <c:pt idx="186">
                  <c:v>-71.397261493510058</c:v>
                </c:pt>
                <c:pt idx="187">
                  <c:v>-71.815321023472251</c:v>
                </c:pt>
                <c:pt idx="188">
                  <c:v>-72.226789720611777</c:v>
                </c:pt>
                <c:pt idx="189">
                  <c:v>-72.631727240367269</c:v>
                </c:pt>
                <c:pt idx="190">
                  <c:v>-73.030197642825541</c:v>
                </c:pt>
                <c:pt idx="191">
                  <c:v>-73.422269094363088</c:v>
                </c:pt>
                <c:pt idx="192">
                  <c:v>-73.808013578486396</c:v>
                </c:pt>
                <c:pt idx="193">
                  <c:v>-74.187506616290335</c:v>
                </c:pt>
                <c:pt idx="194">
                  <c:v>-74.560826996888267</c:v>
                </c:pt>
                <c:pt idx="195">
                  <c:v>-74.928056518068914</c:v>
                </c:pt>
                <c:pt idx="196">
                  <c:v>-75.289279737356466</c:v>
                </c:pt>
                <c:pt idx="197">
                  <c:v>-75.644583733598324</c:v>
                </c:pt>
                <c:pt idx="198">
                  <c:v>-75.994057879113484</c:v>
                </c:pt>
                <c:pt idx="199">
                  <c:v>-76.337793622402273</c:v>
                </c:pt>
                <c:pt idx="200">
                  <c:v>-76.675884281354939</c:v>
                </c:pt>
                <c:pt idx="201">
                  <c:v>-77.008424846849721</c:v>
                </c:pt>
                <c:pt idx="202">
                  <c:v>-77.335511796596677</c:v>
                </c:pt>
                <c:pt idx="203">
                  <c:v>-77.657242919045999</c:v>
                </c:pt>
                <c:pt idx="204">
                  <c:v>-77.973717147148534</c:v>
                </c:pt>
                <c:pt idx="205">
                  <c:v>-78.285034401731437</c:v>
                </c:pt>
                <c:pt idx="206">
                  <c:v>-78.591295444228493</c:v>
                </c:pt>
                <c:pt idx="207">
                  <c:v>-78.892601738492246</c:v>
                </c:pt>
                <c:pt idx="208">
                  <c:v>-79.189055321392118</c:v>
                </c:pt>
                <c:pt idx="209">
                  <c:v>-79.480758681897996</c:v>
                </c:pt>
                <c:pt idx="210">
                  <c:v>-79.767814648338685</c:v>
                </c:pt>
                <c:pt idx="211">
                  <c:v>-80.050326283516981</c:v>
                </c:pt>
                <c:pt idx="212">
                  <c:v>-80.328396787360035</c:v>
                </c:pt>
                <c:pt idx="213">
                  <c:v>-80.602129406784627</c:v>
                </c:pt>
                <c:pt idx="214">
                  <c:v>-80.871627352451341</c:v>
                </c:pt>
                <c:pt idx="215">
                  <c:v>-81.136993722092257</c:v>
                </c:pt>
                <c:pt idx="216">
                  <c:v>-81.398331430086202</c:v>
                </c:pt>
                <c:pt idx="217">
                  <c:v>-81.655743142975567</c:v>
                </c:pt>
                <c:pt idx="218">
                  <c:v>-81.909331220610753</c:v>
                </c:pt>
                <c:pt idx="219">
                  <c:v>-82.159197662620471</c:v>
                </c:pt>
                <c:pt idx="220">
                  <c:v>-82.405444059911488</c:v>
                </c:pt>
                <c:pt idx="221">
                  <c:v>-82.648171550906895</c:v>
                </c:pt>
                <c:pt idx="222">
                  <c:v>-82.887480782242108</c:v>
                </c:pt>
                <c:pt idx="223">
                  <c:v>-83.12347187364152</c:v>
                </c:pt>
                <c:pt idx="224">
                  <c:v>-83.356244386710117</c:v>
                </c:pt>
                <c:pt idx="225">
                  <c:v>-83.585897297379972</c:v>
                </c:pt>
                <c:pt idx="226">
                  <c:v>-83.812528971760528</c:v>
                </c:pt>
                <c:pt idx="227">
                  <c:v>-84.036237145148817</c:v>
                </c:pt>
                <c:pt idx="228">
                  <c:v>-84.257118903962237</c:v>
                </c:pt>
                <c:pt idx="229">
                  <c:v>-84.475270670368289</c:v>
                </c:pt>
                <c:pt idx="230">
                  <c:v>-84.690788189385799</c:v>
                </c:pt>
                <c:pt idx="231">
                  <c:v>-84.903766518246613</c:v>
                </c:pt>
                <c:pt idx="232">
                  <c:v>-85.114300017808148</c:v>
                </c:pt>
                <c:pt idx="233">
                  <c:v>-85.322482345815629</c:v>
                </c:pt>
                <c:pt idx="234">
                  <c:v>-85.52840645181881</c:v>
                </c:pt>
                <c:pt idx="235">
                  <c:v>-85.732164573552282</c:v>
                </c:pt>
                <c:pt idx="236">
                  <c:v>-85.933848234596439</c:v>
                </c:pt>
                <c:pt idx="237">
                  <c:v>-86.133548243136204</c:v>
                </c:pt>
                <c:pt idx="238">
                  <c:v>-86.331354691644535</c:v>
                </c:pt>
                <c:pt idx="239">
                  <c:v>-86.527356957316798</c:v>
                </c:pt>
                <c:pt idx="240">
                  <c:v>-86.721643703087935</c:v>
                </c:pt>
                <c:pt idx="241">
                  <c:v>-86.914302879068728</c:v>
                </c:pt>
                <c:pt idx="242">
                  <c:v>-87.105421724234517</c:v>
                </c:pt>
                <c:pt idx="243">
                  <c:v>-87.295086768207895</c:v>
                </c:pt>
                <c:pt idx="244">
                  <c:v>-87.483383832977211</c:v>
                </c:pt>
                <c:pt idx="245">
                  <c:v>-87.670398034388427</c:v>
                </c:pt>
                <c:pt idx="246">
                  <c:v>-87.856213783256521</c:v>
                </c:pt>
                <c:pt idx="247">
                  <c:v>-88.040914785937886</c:v>
                </c:pt>
                <c:pt idx="248">
                  <c:v>-88.224584044205557</c:v>
                </c:pt>
                <c:pt idx="249">
                  <c:v>-88.407303854269813</c:v>
                </c:pt>
                <c:pt idx="250">
                  <c:v>-88.589155804785804</c:v>
                </c:pt>
                <c:pt idx="251">
                  <c:v>-88.770220773683803</c:v>
                </c:pt>
                <c:pt idx="252">
                  <c:v>-88.950578923668061</c:v>
                </c:pt>
                <c:pt idx="253">
                  <c:v>-89.130309696206268</c:v>
                </c:pt>
                <c:pt idx="254">
                  <c:v>-89.309491803858734</c:v>
                </c:pt>
                <c:pt idx="255">
                  <c:v>-89.488203220761719</c:v>
                </c:pt>
                <c:pt idx="256">
                  <c:v>-89.666521171103142</c:v>
                </c:pt>
                <c:pt idx="257">
                  <c:v>-89.844522115408225</c:v>
                </c:pt>
                <c:pt idx="258">
                  <c:v>-90.022281734457181</c:v>
                </c:pt>
                <c:pt idx="259">
                  <c:v>-90.19987491064829</c:v>
                </c:pt>
                <c:pt idx="260">
                  <c:v>-90.377375706620924</c:v>
                </c:pt>
                <c:pt idx="261">
                  <c:v>-90.554857340946086</c:v>
                </c:pt>
                <c:pt idx="262">
                  <c:v>-90.732392160685706</c:v>
                </c:pt>
                <c:pt idx="263">
                  <c:v>-90.910051610620769</c:v>
                </c:pt>
                <c:pt idx="264">
                  <c:v>-91.087906198948431</c:v>
                </c:pt>
                <c:pt idx="265">
                  <c:v>-91.266025459229681</c:v>
                </c:pt>
                <c:pt idx="266">
                  <c:v>-91.444477908387555</c:v>
                </c:pt>
                <c:pt idx="267">
                  <c:v>-91.623331000528779</c:v>
                </c:pt>
                <c:pt idx="268">
                  <c:v>-91.802651076379092</c:v>
                </c:pt>
                <c:pt idx="269">
                  <c:v>-91.982503308108775</c:v>
                </c:pt>
                <c:pt idx="270">
                  <c:v>-92.162951639323069</c:v>
                </c:pt>
                <c:pt idx="271">
                  <c:v>-92.344058720000959</c:v>
                </c:pt>
                <c:pt idx="272">
                  <c:v>-92.525885836153662</c:v>
                </c:pt>
                <c:pt idx="273">
                  <c:v>-92.708492833984081</c:v>
                </c:pt>
                <c:pt idx="274">
                  <c:v>-92.891938038330906</c:v>
                </c:pt>
                <c:pt idx="275">
                  <c:v>-93.076278165176149</c:v>
                </c:pt>
                <c:pt idx="276">
                  <c:v>-93.261568228017282</c:v>
                </c:pt>
                <c:pt idx="277">
                  <c:v>-93.447861437893309</c:v>
                </c:pt>
                <c:pt idx="278">
                  <c:v>-93.635209096883372</c:v>
                </c:pt>
                <c:pt idx="279">
                  <c:v>-93.823660484895157</c:v>
                </c:pt>
                <c:pt idx="280">
                  <c:v>-94.013262739579588</c:v>
                </c:pt>
                <c:pt idx="281">
                  <c:v>-94.204060729233376</c:v>
                </c:pt>
                <c:pt idx="282">
                  <c:v>-94.396096918560986</c:v>
                </c:pt>
                <c:pt idx="283">
                  <c:v>-94.589411227200756</c:v>
                </c:pt>
                <c:pt idx="284">
                  <c:v>-94.784040880948751</c:v>
                </c:pt>
                <c:pt idx="285">
                  <c:v>-94.980020255639815</c:v>
                </c:pt>
                <c:pt idx="286">
                  <c:v>-95.177380713697801</c:v>
                </c:pt>
                <c:pt idx="287">
                  <c:v>-95.376150433386428</c:v>
                </c:pt>
                <c:pt idx="288">
                  <c:v>-95.576354230869271</c:v>
                </c:pt>
                <c:pt idx="289">
                  <c:v>-95.778013375212254</c:v>
                </c:pt>
                <c:pt idx="290">
                  <c:v>-95.981145396541194</c:v>
                </c:pt>
                <c:pt idx="291">
                  <c:v>-96.185763887619785</c:v>
                </c:pt>
                <c:pt idx="292">
                  <c:v>-96.39187829919193</c:v>
                </c:pt>
                <c:pt idx="293">
                  <c:v>-96.599493729503735</c:v>
                </c:pt>
                <c:pt idx="294">
                  <c:v>-96.808610708508496</c:v>
                </c:pt>
                <c:pt idx="295">
                  <c:v>-97.019224977343725</c:v>
                </c:pt>
                <c:pt idx="296">
                  <c:v>-97.231327263772215</c:v>
                </c:pt>
                <c:pt idx="297">
                  <c:v>-97.444903054375118</c:v>
                </c:pt>
                <c:pt idx="298">
                  <c:v>-97.659932364394763</c:v>
                </c:pt>
                <c:pt idx="299">
                  <c:v>-97.876389506249225</c:v>
                </c:pt>
                <c:pt idx="300">
                  <c:v>-98.094242857844506</c:v>
                </c:pt>
                <c:pt idx="301">
                  <c:v>-98.313454631948744</c:v>
                </c:pt>
                <c:pt idx="302">
                  <c:v>-98.533980648011607</c:v>
                </c:pt>
                <c:pt idx="303">
                  <c:v>-98.755770107953026</c:v>
                </c:pt>
                <c:pt idx="304">
                  <c:v>-98.978765377564088</c:v>
                </c:pt>
                <c:pt idx="305">
                  <c:v>-99.202901775316505</c:v>
                </c:pt>
                <c:pt idx="306">
                  <c:v>-99.428107370485506</c:v>
                </c:pt>
                <c:pt idx="307">
                  <c:v>-99.654302792647343</c:v>
                </c:pt>
                <c:pt idx="308">
                  <c:v>-99.88140105471021</c:v>
                </c:pt>
                <c:pt idx="309">
                  <c:v>-100.10930739178001</c:v>
                </c:pt>
                <c:pt idx="310">
                  <c:v>-100.33791911825476</c:v>
                </c:pt>
                <c:pt idx="311">
                  <c:v>-100.56712550564968</c:v>
                </c:pt>
                <c:pt idx="312">
                  <c:v>-100.79680768372835</c:v>
                </c:pt>
                <c:pt idx="313">
                  <c:v>-101.02683856759435</c:v>
                </c:pt>
                <c:pt idx="314">
                  <c:v>-101.2570828134326</c:v>
                </c:pt>
                <c:pt idx="315">
                  <c:v>-101.48739680561978</c:v>
                </c:pt>
                <c:pt idx="316">
                  <c:v>-101.71762867792289</c:v>
                </c:pt>
                <c:pt idx="317">
                  <c:v>-101.94761837146876</c:v>
                </c:pt>
                <c:pt idx="318">
                  <c:v>-102.17719773211137</c:v>
                </c:pt>
                <c:pt idx="319">
                  <c:v>-102.40619064972705</c:v>
                </c:pt>
                <c:pt idx="320">
                  <c:v>-102.6344132418354</c:v>
                </c:pt>
                <c:pt idx="321">
                  <c:v>-102.86167408377315</c:v>
                </c:pt>
                <c:pt idx="322">
                  <c:v>-103.08777448744236</c:v>
                </c:pt>
                <c:pt idx="323">
                  <c:v>-103.31250883040461</c:v>
                </c:pt>
                <c:pt idx="324">
                  <c:v>-103.53566493679068</c:v>
                </c:pt>
                <c:pt idx="325">
                  <c:v>-103.75702451118384</c:v>
                </c:pt>
                <c:pt idx="326">
                  <c:v>-103.97636362623648</c:v>
                </c:pt>
                <c:pt idx="327">
                  <c:v>-104.19345326439054</c:v>
                </c:pt>
                <c:pt idx="328">
                  <c:v>-104.40805991360698</c:v>
                </c:pt>
                <c:pt idx="329">
                  <c:v>-104.61994621653909</c:v>
                </c:pt>
                <c:pt idx="330">
                  <c:v>-104.82887167206594</c:v>
                </c:pt>
                <c:pt idx="331">
                  <c:v>-105.03459338757357</c:v>
                </c:pt>
                <c:pt idx="332">
                  <c:v>-105.23686687981041</c:v>
                </c:pt>
                <c:pt idx="333">
                  <c:v>-105.43544692158372</c:v>
                </c:pt>
                <c:pt idx="334">
                  <c:v>-105.63008843098902</c:v>
                </c:pt>
                <c:pt idx="335">
                  <c:v>-105.82054739929636</c:v>
                </c:pt>
                <c:pt idx="336">
                  <c:v>-106.00658185305845</c:v>
                </c:pt>
                <c:pt idx="337">
                  <c:v>-106.18795284547099</c:v>
                </c:pt>
                <c:pt idx="338">
                  <c:v>-106.36442547149942</c:v>
                </c:pt>
                <c:pt idx="339">
                  <c:v>-106.53576990081567</c:v>
                </c:pt>
                <c:pt idx="340">
                  <c:v>-106.70176242216139</c:v>
                </c:pt>
                <c:pt idx="341">
                  <c:v>-106.86218649237692</c:v>
                </c:pt>
                <c:pt idx="342">
                  <c:v>-107.01683378302272</c:v>
                </c:pt>
                <c:pt idx="343">
                  <c:v>-107.1655052172764</c:v>
                </c:pt>
                <c:pt idx="344">
                  <c:v>-107.30801198961937</c:v>
                </c:pt>
                <c:pt idx="345">
                  <c:v>-107.44417656073492</c:v>
                </c:pt>
                <c:pt idx="346">
                  <c:v>-107.57383362003645</c:v>
                </c:pt>
                <c:pt idx="347">
                  <c:v>-107.69683100832573</c:v>
                </c:pt>
                <c:pt idx="348">
                  <c:v>-107.81303059325434</c:v>
                </c:pt>
                <c:pt idx="349">
                  <c:v>-107.92230909051253</c:v>
                </c:pt>
                <c:pt idx="350">
                  <c:v>-108.02455882402873</c:v>
                </c:pt>
                <c:pt idx="351">
                  <c:v>-108.11968841888557</c:v>
                </c:pt>
                <c:pt idx="352">
                  <c:v>-108.20762342117247</c:v>
                </c:pt>
                <c:pt idx="353">
                  <c:v>-108.28830683958913</c:v>
                </c:pt>
                <c:pt idx="354">
                  <c:v>-108.36169960426037</c:v>
                </c:pt>
                <c:pt idx="355">
                  <c:v>-108.4277809389486</c:v>
                </c:pt>
                <c:pt idx="356">
                  <c:v>-108.48654864361718</c:v>
                </c:pt>
                <c:pt idx="357">
                  <c:v>-108.53801928510183</c:v>
                </c:pt>
                <c:pt idx="358">
                  <c:v>-108.58222829450069</c:v>
                </c:pt>
                <c:pt idx="359">
                  <c:v>-108.61922997074642</c:v>
                </c:pt>
                <c:pt idx="360">
                  <c:v>-108.64909739069844</c:v>
                </c:pt>
                <c:pt idx="361">
                  <c:v>-108.67192222696335</c:v>
                </c:pt>
                <c:pt idx="362">
                  <c:v>-108.6878144754989</c:v>
                </c:pt>
                <c:pt idx="363">
                  <c:v>-108.69690209589666</c:v>
                </c:pt>
                <c:pt idx="364">
                  <c:v>-108.69933056801902</c:v>
                </c:pt>
                <c:pt idx="365">
                  <c:v>-108.69526236941941</c:v>
                </c:pt>
                <c:pt idx="366">
                  <c:v>-108.68487637866274</c:v>
                </c:pt>
                <c:pt idx="367">
                  <c:v>-108.66836721028882</c:v>
                </c:pt>
                <c:pt idx="368">
                  <c:v>-108.64594448771628</c:v>
                </c:pt>
                <c:pt idx="369">
                  <c:v>-108.61783206086481</c:v>
                </c:pt>
                <c:pt idx="370">
                  <c:v>-108.58426717566418</c:v>
                </c:pt>
                <c:pt idx="371">
                  <c:v>-108.54549960293416</c:v>
                </c:pt>
                <c:pt idx="372">
                  <c:v>-108.50179073434397</c:v>
                </c:pt>
                <c:pt idx="373">
                  <c:v>-108.4534126532898</c:v>
                </c:pt>
                <c:pt idx="374">
                  <c:v>-108.40064718858686</c:v>
                </c:pt>
                <c:pt idx="375">
                  <c:v>-108.3437849588374</c:v>
                </c:pt>
                <c:pt idx="376">
                  <c:v>-108.28312441522118</c:v>
                </c:pt>
                <c:pt idx="377">
                  <c:v>-108.21897089027156</c:v>
                </c:pt>
                <c:pt idx="378">
                  <c:v>-108.15163565993548</c:v>
                </c:pt>
                <c:pt idx="379">
                  <c:v>-108.08143502591246</c:v>
                </c:pt>
                <c:pt idx="380">
                  <c:v>-108.00868942487668</c:v>
                </c:pt>
                <c:pt idx="381">
                  <c:v>-107.93372257078759</c:v>
                </c:pt>
                <c:pt idx="382">
                  <c:v>-107.85686063602481</c:v>
                </c:pt>
                <c:pt idx="383">
                  <c:v>-107.77843147661</c:v>
                </c:pt>
                <c:pt idx="384">
                  <c:v>-107.69876390627951</c:v>
                </c:pt>
                <c:pt idx="385">
                  <c:v>-107.61818702365187</c:v>
                </c:pt>
                <c:pt idx="386">
                  <c:v>-107.53702959623897</c:v>
                </c:pt>
                <c:pt idx="387">
                  <c:v>-107.45561950453867</c:v>
                </c:pt>
                <c:pt idx="388">
                  <c:v>-107.3742832489675</c:v>
                </c:pt>
                <c:pt idx="389">
                  <c:v>-107.29334552192411</c:v>
                </c:pt>
                <c:pt idx="390">
                  <c:v>-107.21312884686208</c:v>
                </c:pt>
                <c:pt idx="391">
                  <c:v>-107.13395328583599</c:v>
                </c:pt>
                <c:pt idx="392">
                  <c:v>-107.05613621665904</c:v>
                </c:pt>
                <c:pt idx="393">
                  <c:v>-106.97999218049061</c:v>
                </c:pt>
                <c:pt idx="394">
                  <c:v>-106.90583280044446</c:v>
                </c:pt>
                <c:pt idx="395">
                  <c:v>-106.83396677159514</c:v>
                </c:pt>
                <c:pt idx="396">
                  <c:v>-106.76469992264786</c:v>
                </c:pt>
                <c:pt idx="397">
                  <c:v>-106.69833534945579</c:v>
                </c:pt>
                <c:pt idx="398">
                  <c:v>-106.63517362056831</c:v>
                </c:pt>
                <c:pt idx="399">
                  <c:v>-106.57551305505257</c:v>
                </c:pt>
                <c:pt idx="400">
                  <c:v>-106.51965007296897</c:v>
                </c:pt>
                <c:pt idx="401">
                  <c:v>-106.46787961907323</c:v>
                </c:pt>
                <c:pt idx="402">
                  <c:v>-106.42049566060801</c:v>
                </c:pt>
                <c:pt idx="403">
                  <c:v>-106.37779176038939</c:v>
                </c:pt>
                <c:pt idx="404">
                  <c:v>-106.34006172683564</c:v>
                </c:pt>
                <c:pt idx="405">
                  <c:v>-106.30760034310495</c:v>
                </c:pt>
                <c:pt idx="406">
                  <c:v>-106.28070417811655</c:v>
                </c:pt>
                <c:pt idx="407">
                  <c:v>-106.25967248294096</c:v>
                </c:pt>
                <c:pt idx="408">
                  <c:v>-106.24480817686432</c:v>
                </c:pt>
                <c:pt idx="409">
                  <c:v>-106.23641892835415</c:v>
                </c:pt>
                <c:pt idx="410">
                  <c:v>-106.23481833722515</c:v>
                </c:pt>
                <c:pt idx="411">
                  <c:v>-106.24032722550207</c:v>
                </c:pt>
                <c:pt idx="412">
                  <c:v>-106.25327504585911</c:v>
                </c:pt>
                <c:pt idx="413">
                  <c:v>-106.27400141805533</c:v>
                </c:pt>
                <c:pt idx="414">
                  <c:v>-106.30285780558039</c:v>
                </c:pt>
                <c:pt idx="415">
                  <c:v>-106.34020934671859</c:v>
                </c:pt>
                <c:pt idx="416">
                  <c:v>-106.38643685656641</c:v>
                </c:pt>
                <c:pt idx="417">
                  <c:v>-106.44193901916057</c:v>
                </c:pt>
                <c:pt idx="418">
                  <c:v>-106.50713479190368</c:v>
                </c:pt>
                <c:pt idx="419">
                  <c:v>-106.58246604795943</c:v>
                </c:pt>
                <c:pt idx="420">
                  <c:v>-106.66840048629558</c:v>
                </c:pt>
                <c:pt idx="421">
                  <c:v>-106.76543484370728</c:v>
                </c:pt>
                <c:pt idx="422">
                  <c:v>-106.87409844852995</c:v>
                </c:pt>
                <c:pt idx="423">
                  <c:v>-106.99495716203465</c:v>
                </c:pt>
                <c:pt idx="424">
                  <c:v>-107.12861776078599</c:v>
                </c:pt>
                <c:pt idx="425">
                  <c:v>-107.27573282182462</c:v>
                </c:pt>
                <c:pt idx="426">
                  <c:v>-107.43700618253108</c:v>
                </c:pt>
                <c:pt idx="427">
                  <c:v>-107.61319905883941</c:v>
                </c:pt>
                <c:pt idx="428">
                  <c:v>-107.80513691934431</c:v>
                </c:pt>
                <c:pt idx="429">
                  <c:v>-108.0137172292561</c:v>
                </c:pt>
                <c:pt idx="430">
                  <c:v>-108.23991819758439</c:v>
                </c:pt>
                <c:pt idx="431">
                  <c:v>-108.48480868396287</c:v>
                </c:pt>
                <c:pt idx="432">
                  <c:v>-108.74955944892021</c:v>
                </c:pt>
                <c:pt idx="433">
                  <c:v>-109.03545596401429</c:v>
                </c:pt>
                <c:pt idx="434">
                  <c:v>-109.34391303712739</c:v>
                </c:pt>
                <c:pt idx="435">
                  <c:v>-109.67649155466918</c:v>
                </c:pt>
                <c:pt idx="436">
                  <c:v>-110.03491769792583</c:v>
                </c:pt>
                <c:pt idx="437">
                  <c:v>-110.42110505714871</c:v>
                </c:pt>
                <c:pt idx="438">
                  <c:v>-110.83718014629986</c:v>
                </c:pt>
                <c:pt idx="439">
                  <c:v>-111.28551191608786</c:v>
                </c:pt>
                <c:pt idx="440">
                  <c:v>-111.76874597579747</c:v>
                </c:pt>
                <c:pt idx="441">
                  <c:v>-112.28984436843395</c:v>
                </c:pt>
                <c:pt idx="442">
                  <c:v>-112.85213190192898</c:v>
                </c:pt>
                <c:pt idx="443">
                  <c:v>-113.45935022437295</c:v>
                </c:pt>
                <c:pt idx="444">
                  <c:v>-114.1157210452623</c:v>
                </c:pt>
                <c:pt idx="445">
                  <c:v>-114.82602014727888</c:v>
                </c:pt>
                <c:pt idx="446">
                  <c:v>-115.59566409959959</c:v>
                </c:pt>
                <c:pt idx="447">
                  <c:v>-116.43081186202674</c:v>
                </c:pt>
                <c:pt idx="448">
                  <c:v>-117.33848373363321</c:v>
                </c:pt>
                <c:pt idx="449">
                  <c:v>-118.32670030152488</c:v>
                </c:pt>
                <c:pt idx="450">
                  <c:v>-119.40464409770908</c:v>
                </c:pt>
                <c:pt idx="451">
                  <c:v>-120.58284642465651</c:v>
                </c:pt>
                <c:pt idx="452">
                  <c:v>-121.87340101061602</c:v>
                </c:pt>
                <c:pt idx="453">
                  <c:v>-123.29020438945213</c:v>
                </c:pt>
                <c:pt idx="454">
                  <c:v>-124.84921950034136</c:v>
                </c:pt>
                <c:pt idx="455">
                  <c:v>-126.56875292555624</c:v>
                </c:pt>
                <c:pt idx="456">
                  <c:v>-128.46972584455364</c:v>
                </c:pt>
                <c:pt idx="457">
                  <c:v>-130.57590188461893</c:v>
                </c:pt>
                <c:pt idx="458">
                  <c:v>-132.91400851256634</c:v>
                </c:pt>
                <c:pt idx="459">
                  <c:v>-135.51364885652373</c:v>
                </c:pt>
                <c:pt idx="460">
                  <c:v>-138.40684500451863</c:v>
                </c:pt>
                <c:pt idx="461">
                  <c:v>-141.62698298096905</c:v>
                </c:pt>
                <c:pt idx="462">
                  <c:v>-145.20685565579433</c:v>
                </c:pt>
                <c:pt idx="463">
                  <c:v>-149.17545734349079</c:v>
                </c:pt>
                <c:pt idx="464">
                  <c:v>-153.55324462256027</c:v>
                </c:pt>
                <c:pt idx="465">
                  <c:v>-158.34585552140328</c:v>
                </c:pt>
                <c:pt idx="466">
                  <c:v>-163.53689083200149</c:v>
                </c:pt>
                <c:pt idx="467">
                  <c:v>-169.08130313884735</c:v>
                </c:pt>
                <c:pt idx="468">
                  <c:v>-174.90188519830548</c:v>
                </c:pt>
                <c:pt idx="469">
                  <c:v>-180.89155830389842</c:v>
                </c:pt>
                <c:pt idx="470">
                  <c:v>-186.92284396003603</c:v>
                </c:pt>
                <c:pt idx="471">
                  <c:v>-192.86311004919654</c:v>
                </c:pt>
                <c:pt idx="472">
                  <c:v>-198.59137941927131</c:v>
                </c:pt>
                <c:pt idx="473">
                  <c:v>-204.01166389278555</c:v>
                </c:pt>
                <c:pt idx="474">
                  <c:v>-209.05958479520004</c:v>
                </c:pt>
                <c:pt idx="475">
                  <c:v>-213.70208808874366</c:v>
                </c:pt>
                <c:pt idx="476">
                  <c:v>-217.93236803146044</c:v>
                </c:pt>
                <c:pt idx="477">
                  <c:v>-221.76276366006937</c:v>
                </c:pt>
                <c:pt idx="478">
                  <c:v>-225.21778433665398</c:v>
                </c:pt>
                <c:pt idx="479">
                  <c:v>-228.32840912153844</c:v>
                </c:pt>
                <c:pt idx="480">
                  <c:v>-231.12797717506234</c:v>
                </c:pt>
                <c:pt idx="481">
                  <c:v>-233.64951720036515</c:v>
                </c:pt>
                <c:pt idx="482">
                  <c:v>-235.9241875983306</c:v>
                </c:pt>
                <c:pt idx="483">
                  <c:v>-237.98049053951985</c:v>
                </c:pt>
                <c:pt idx="484">
                  <c:v>-239.84398430381384</c:v>
                </c:pt>
                <c:pt idx="485">
                  <c:v>-241.53729350677946</c:v>
                </c:pt>
                <c:pt idx="486">
                  <c:v>-243.08028235450087</c:v>
                </c:pt>
                <c:pt idx="487">
                  <c:v>-244.49030534985687</c:v>
                </c:pt>
                <c:pt idx="488">
                  <c:v>-245.78248397156364</c:v>
                </c:pt>
                <c:pt idx="489">
                  <c:v>-246.96998015600343</c:v>
                </c:pt>
                <c:pt idx="490">
                  <c:v>-248.06425138984392</c:v>
                </c:pt>
                <c:pt idx="491">
                  <c:v>-249.07528064331694</c:v>
                </c:pt>
                <c:pt idx="492">
                  <c:v>-250.0117792361882</c:v>
                </c:pt>
                <c:pt idx="493">
                  <c:v>-250.88136338114211</c:v>
                </c:pt>
                <c:pt idx="494">
                  <c:v>-251.69070646981811</c:v>
                </c:pt>
                <c:pt idx="495">
                  <c:v>-252.44566970889315</c:v>
                </c:pt>
                <c:pt idx="496">
                  <c:v>-253.15141381898837</c:v>
                </c:pt>
                <c:pt idx="497">
                  <c:v>-253.81249438386095</c:v>
                </c:pt>
                <c:pt idx="498">
                  <c:v>-254.43294320287561</c:v>
                </c:pt>
                <c:pt idx="499">
                  <c:v>-255.01633772557994</c:v>
                </c:pt>
                <c:pt idx="500">
                  <c:v>-255.37148578801398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41-4D19-9DBC-690DDB1D00CA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97.333228474908154</c:v>
                </c:pt>
                <c:pt idx="1">
                  <c:v>97.096930119566977</c:v>
                </c:pt>
                <c:pt idx="2">
                  <c:v>96.863937389979213</c:v>
                </c:pt>
                <c:pt idx="3">
                  <c:v>96.634150932162242</c:v>
                </c:pt>
                <c:pt idx="4">
                  <c:v>96.407471942058919</c:v>
                </c:pt>
                <c:pt idx="5">
                  <c:v>96.183802184262731</c:v>
                </c:pt>
                <c:pt idx="6">
                  <c:v>95.963044007382138</c:v>
                </c:pt>
                <c:pt idx="7">
                  <c:v>95.74510035625859</c:v>
                </c:pt>
                <c:pt idx="8">
                  <c:v>95.529874781242214</c:v>
                </c:pt>
                <c:pt idx="9">
                  <c:v>95.317271444721555</c:v>
                </c:pt>
                <c:pt idx="10">
                  <c:v>95.107195125095629</c:v>
                </c:pt>
                <c:pt idx="11">
                  <c:v>94.89955121836843</c:v>
                </c:pt>
                <c:pt idx="12">
                  <c:v>94.694245737538282</c:v>
                </c:pt>
                <c:pt idx="13">
                  <c:v>94.491185309947625</c:v>
                </c:pt>
                <c:pt idx="14">
                  <c:v>94.290277172751033</c:v>
                </c:pt>
                <c:pt idx="15">
                  <c:v>94.091429166652333</c:v>
                </c:pt>
                <c:pt idx="16">
                  <c:v>93.894549728057484</c:v>
                </c:pt>
                <c:pt idx="17">
                  <c:v>93.699547879780496</c:v>
                </c:pt>
                <c:pt idx="18">
                  <c:v>93.506333220436147</c:v>
                </c:pt>
                <c:pt idx="19">
                  <c:v>93.314815912649465</c:v>
                </c:pt>
                <c:pt idx="20">
                  <c:v>93.124906670201781</c:v>
                </c:pt>
                <c:pt idx="21">
                  <c:v>92.936516744235348</c:v>
                </c:pt>
                <c:pt idx="22">
                  <c:v>92.749557908629015</c:v>
                </c:pt>
                <c:pt idx="23">
                  <c:v>92.563942444656561</c:v>
                </c:pt>
                <c:pt idx="24">
                  <c:v>92.379583125034713</c:v>
                </c:pt>
                <c:pt idx="25">
                  <c:v>92.196393197465312</c:v>
                </c:pt>
                <c:pt idx="26">
                  <c:v>92.014286367773664</c:v>
                </c:pt>
                <c:pt idx="27">
                  <c:v>91.833176782742072</c:v>
                </c:pt>
                <c:pt idx="28">
                  <c:v>91.652979012736367</c:v>
                </c:pt>
                <c:pt idx="29">
                  <c:v>91.473608034221684</c:v>
                </c:pt>
                <c:pt idx="30">
                  <c:v>91.294979212262149</c:v>
                </c:pt>
                <c:pt idx="31">
                  <c:v>91.117008283099111</c:v>
                </c:pt>
                <c:pt idx="32">
                  <c:v>90.939611336901635</c:v>
                </c:pt>
                <c:pt idx="33">
                  <c:v>90.762704800782799</c:v>
                </c:pt>
                <c:pt idx="34">
                  <c:v>90.586205422176448</c:v>
                </c:pt>
                <c:pt idx="35">
                  <c:v>90.410030252669387</c:v>
                </c:pt>
                <c:pt idx="36">
                  <c:v>90.234096632384706</c:v>
                </c:pt>
                <c:pt idx="37">
                  <c:v>90.058322175014325</c:v>
                </c:pt>
                <c:pt idx="38">
                  <c:v>89.882624753600012</c:v>
                </c:pt>
                <c:pt idx="39">
                  <c:v>89.706922487163922</c:v>
                </c:pt>
                <c:pt idx="40">
                  <c:v>89.531133728294563</c:v>
                </c:pt>
                <c:pt idx="41">
                  <c:v>89.355177051793106</c:v>
                </c:pt>
                <c:pt idx="42">
                  <c:v>89.178971244492772</c:v>
                </c:pt>
                <c:pt idx="43">
                  <c:v>89.002435296364311</c:v>
                </c:pt>
                <c:pt idx="44">
                  <c:v>88.825488393026376</c:v>
                </c:pt>
                <c:pt idx="45">
                  <c:v>88.648049909783467</c:v>
                </c:pt>
                <c:pt idx="46">
                  <c:v>88.470039407318382</c:v>
                </c:pt>
                <c:pt idx="47">
                  <c:v>88.291376629173641</c:v>
                </c:pt>
                <c:pt idx="48">
                  <c:v>88.111981501157842</c:v>
                </c:pt>
                <c:pt idx="49">
                  <c:v>87.931774132822639</c:v>
                </c:pt>
                <c:pt idx="50">
                  <c:v>87.750674821159123</c:v>
                </c:pt>
                <c:pt idx="51">
                  <c:v>87.568604056672143</c:v>
                </c:pt>
                <c:pt idx="52">
                  <c:v>87.385482531993688</c:v>
                </c:pt>
                <c:pt idx="53">
                  <c:v>87.201231153207203</c:v>
                </c:pt>
                <c:pt idx="54">
                  <c:v>87.015771054061005</c:v>
                </c:pt>
                <c:pt idx="55">
                  <c:v>86.829023613253682</c:v>
                </c:pt>
                <c:pt idx="56">
                  <c:v>86.64091047498745</c:v>
                </c:pt>
                <c:pt idx="57">
                  <c:v>86.451353572989049</c:v>
                </c:pt>
                <c:pt idx="58">
                  <c:v>86.260275158205729</c:v>
                </c:pt>
                <c:pt idx="59">
                  <c:v>86.067597830396778</c:v>
                </c:pt>
                <c:pt idx="60">
                  <c:v>85.873244573841475</c:v>
                </c:pt>
                <c:pt idx="61">
                  <c:v>85.677138797401071</c:v>
                </c:pt>
                <c:pt idx="62">
                  <c:v>85.479204379172614</c:v>
                </c:pt>
                <c:pt idx="63">
                  <c:v>85.279365715984781</c:v>
                </c:pt>
                <c:pt idx="64">
                  <c:v>85.077547777994155</c:v>
                </c:pt>
                <c:pt idx="65">
                  <c:v>84.873676168640444</c:v>
                </c:pt>
                <c:pt idx="66">
                  <c:v>84.667677190238464</c:v>
                </c:pt>
                <c:pt idx="67">
                  <c:v>84.45947791547475</c:v>
                </c:pt>
                <c:pt idx="68">
                  <c:v>84.249006265097208</c:v>
                </c:pt>
                <c:pt idx="69">
                  <c:v>84.03619109208006</c:v>
                </c:pt>
                <c:pt idx="70">
                  <c:v>83.820962272553572</c:v>
                </c:pt>
                <c:pt idx="71">
                  <c:v>83.603250803790203</c:v>
                </c:pt>
                <c:pt idx="72">
                  <c:v>83.382988909539847</c:v>
                </c:pt>
                <c:pt idx="73">
                  <c:v>83.16011015300262</c:v>
                </c:pt>
                <c:pt idx="74">
                  <c:v>82.934549557728104</c:v>
                </c:pt>
                <c:pt idx="75">
                  <c:v>82.706243736724502</c:v>
                </c:pt>
                <c:pt idx="76">
                  <c:v>82.475131030050022</c:v>
                </c:pt>
                <c:pt idx="77">
                  <c:v>82.241151651154922</c:v>
                </c:pt>
                <c:pt idx="78">
                  <c:v>82.004247842221716</c:v>
                </c:pt>
                <c:pt idx="79">
                  <c:v>81.764364038743196</c:v>
                </c:pt>
                <c:pt idx="80">
                  <c:v>81.521447043549017</c:v>
                </c:pt>
                <c:pt idx="81">
                  <c:v>81.275446210475636</c:v>
                </c:pt>
                <c:pt idx="82">
                  <c:v>81.026313637840815</c:v>
                </c:pt>
                <c:pt idx="83">
                  <c:v>80.774004371852683</c:v>
                </c:pt>
                <c:pt idx="84">
                  <c:v>80.518476620045618</c:v>
                </c:pt>
                <c:pt idx="85">
                  <c:v>80.259691974793384</c:v>
                </c:pt>
                <c:pt idx="86">
                  <c:v>79.997615646897842</c:v>
                </c:pt>
                <c:pt idx="87">
                  <c:v>79.732216709199662</c:v>
                </c:pt>
                <c:pt idx="88">
                  <c:v>79.463468350096917</c:v>
                </c:pt>
                <c:pt idx="89">
                  <c:v>79.191348136785052</c:v>
                </c:pt>
                <c:pt idx="90">
                  <c:v>78.915838287965485</c:v>
                </c:pt>
                <c:pt idx="91">
                  <c:v>78.636925955679288</c:v>
                </c:pt>
                <c:pt idx="92">
                  <c:v>78.354603515844829</c:v>
                </c:pt>
                <c:pt idx="93">
                  <c:v>78.068868866969879</c:v>
                </c:pt>
                <c:pt idx="94">
                  <c:v>77.779725736419337</c:v>
                </c:pt>
                <c:pt idx="95">
                  <c:v>77.487183993501347</c:v>
                </c:pt>
                <c:pt idx="96">
                  <c:v>77.191259968519802</c:v>
                </c:pt>
                <c:pt idx="97">
                  <c:v>76.891976776820783</c:v>
                </c:pt>
                <c:pt idx="98">
                  <c:v>76.589364646731426</c:v>
                </c:pt>
                <c:pt idx="99">
                  <c:v>76.28346125015139</c:v>
                </c:pt>
                <c:pt idx="100">
                  <c:v>75.974312034425793</c:v>
                </c:pt>
                <c:pt idx="101">
                  <c:v>75.661970553978051</c:v>
                </c:pt>
                <c:pt idx="102">
                  <c:v>75.346498800046064</c:v>
                </c:pt>
                <c:pt idx="103">
                  <c:v>75.027967526707243</c:v>
                </c:pt>
                <c:pt idx="104">
                  <c:v>74.706456571247415</c:v>
                </c:pt>
                <c:pt idx="105">
                  <c:v>74.382055166769376</c:v>
                </c:pt>
                <c:pt idx="106">
                  <c:v>74.054862244814572</c:v>
                </c:pt>
                <c:pt idx="107">
                  <c:v>73.724986725620496</c:v>
                </c:pt>
                <c:pt idx="108">
                  <c:v>73.392547793525338</c:v>
                </c:pt>
                <c:pt idx="109">
                  <c:v>73.057675154913184</c:v>
                </c:pt>
                <c:pt idx="110">
                  <c:v>72.720509275985847</c:v>
                </c:pt>
                <c:pt idx="111">
                  <c:v>72.381201597572442</c:v>
                </c:pt>
                <c:pt idx="112">
                  <c:v>72.039914724108797</c:v>
                </c:pt>
                <c:pt idx="113">
                  <c:v>71.696822583887752</c:v>
                </c:pt>
                <c:pt idx="114">
                  <c:v>71.352110557642447</c:v>
                </c:pt>
                <c:pt idx="115">
                  <c:v>71.005975572540351</c:v>
                </c:pt>
                <c:pt idx="116">
                  <c:v>70.658626158696023</c:v>
                </c:pt>
                <c:pt idx="117">
                  <c:v>70.310282465369482</c:v>
                </c:pt>
                <c:pt idx="118">
                  <c:v>69.961176234116024</c:v>
                </c:pt>
                <c:pt idx="119">
                  <c:v>69.611550726282431</c:v>
                </c:pt>
                <c:pt idx="120">
                  <c:v>69.261660602413244</c:v>
                </c:pt>
                <c:pt idx="121">
                  <c:v>68.91177175131935</c:v>
                </c:pt>
                <c:pt idx="122">
                  <c:v>68.562161066813957</c:v>
                </c:pt>
                <c:pt idx="123">
                  <c:v>68.213116170381269</c:v>
                </c:pt>
                <c:pt idx="124">
                  <c:v>67.864935078351067</c:v>
                </c:pt>
                <c:pt idx="125">
                  <c:v>67.517925812493758</c:v>
                </c:pt>
                <c:pt idx="126">
                  <c:v>67.17240595331549</c:v>
                </c:pt>
                <c:pt idx="127">
                  <c:v>66.828702135728179</c:v>
                </c:pt>
                <c:pt idx="128">
                  <c:v>66.487149487185761</c:v>
                </c:pt>
                <c:pt idx="129">
                  <c:v>66.148091008815612</c:v>
                </c:pt>
                <c:pt idx="130">
                  <c:v>65.811876900519621</c:v>
                </c:pt>
                <c:pt idx="131">
                  <c:v>65.478863831481618</c:v>
                </c:pt>
                <c:pt idx="132">
                  <c:v>65.149414157969872</c:v>
                </c:pt>
                <c:pt idx="133">
                  <c:v>64.823895090785967</c:v>
                </c:pt>
                <c:pt idx="134">
                  <c:v>64.502677815149752</c:v>
                </c:pt>
                <c:pt idx="135">
                  <c:v>64.186136566246759</c:v>
                </c:pt>
                <c:pt idx="136">
                  <c:v>63.874647664059069</c:v>
                </c:pt>
                <c:pt idx="137">
                  <c:v>63.568588511493566</c:v>
                </c:pt>
                <c:pt idx="138">
                  <c:v>63.268336560155198</c:v>
                </c:pt>
                <c:pt idx="139">
                  <c:v>62.974268248424586</c:v>
                </c:pt>
                <c:pt idx="140">
                  <c:v>62.686757916759788</c:v>
                </c:pt>
                <c:pt idx="141">
                  <c:v>62.406176705370129</c:v>
                </c:pt>
                <c:pt idx="142">
                  <c:v>62.13289143956672</c:v>
                </c:pt>
                <c:pt idx="143">
                  <c:v>61.867263508228376</c:v>
                </c:pt>
                <c:pt idx="144">
                  <c:v>61.609647740879907</c:v>
                </c:pt>
                <c:pt idx="145">
                  <c:v>61.360391288919764</c:v>
                </c:pt>
                <c:pt idx="146">
                  <c:v>61.119832516479832</c:v>
                </c:pt>
                <c:pt idx="147">
                  <c:v>60.88829990634563</c:v>
                </c:pt>
                <c:pt idx="148">
                  <c:v>60.666110986248142</c:v>
                </c:pt>
                <c:pt idx="149">
                  <c:v>60.453571280663745</c:v>
                </c:pt>
                <c:pt idx="150">
                  <c:v>60.250973293079596</c:v>
                </c:pt>
                <c:pt idx="151">
                  <c:v>60.058595523463445</c:v>
                </c:pt>
                <c:pt idx="152">
                  <c:v>59.876701525394822</c:v>
                </c:pt>
                <c:pt idx="153">
                  <c:v>59.7055390070892</c:v>
                </c:pt>
                <c:pt idx="154">
                  <c:v>59.54533898021608</c:v>
                </c:pt>
                <c:pt idx="155">
                  <c:v>59.39631496013596</c:v>
                </c:pt>
                <c:pt idx="156">
                  <c:v>59.258662220874847</c:v>
                </c:pt>
                <c:pt idx="157">
                  <c:v>59.132557107834671</c:v>
                </c:pt>
                <c:pt idx="158">
                  <c:v>59.018156410938552</c:v>
                </c:pt>
                <c:pt idx="159">
                  <c:v>58.915596800611425</c:v>
                </c:pt>
                <c:pt idx="160">
                  <c:v>58.824994328682337</c:v>
                </c:pt>
                <c:pt idx="161">
                  <c:v>58.746443996030166</c:v>
                </c:pt>
                <c:pt idx="162">
                  <c:v>58.680019388482769</c:v>
                </c:pt>
                <c:pt idx="163">
                  <c:v>58.625772382244129</c:v>
                </c:pt>
                <c:pt idx="164">
                  <c:v>58.583732919827604</c:v>
                </c:pt>
                <c:pt idx="165">
                  <c:v>58.553908857243052</c:v>
                </c:pt>
                <c:pt idx="166">
                  <c:v>58.536285882923146</c:v>
                </c:pt>
                <c:pt idx="167">
                  <c:v>58.530827508633337</c:v>
                </c:pt>
                <c:pt idx="168">
                  <c:v>58.537475132370737</c:v>
                </c:pt>
                <c:pt idx="169">
                  <c:v>58.556148173013099</c:v>
                </c:pt>
                <c:pt idx="170">
                  <c:v>58.586744276229197</c:v>
                </c:pt>
                <c:pt idx="171">
                  <c:v>58.629139590923629</c:v>
                </c:pt>
                <c:pt idx="172">
                  <c:v>58.683189115232054</c:v>
                </c:pt>
                <c:pt idx="173">
                  <c:v>58.748727110804651</c:v>
                </c:pt>
                <c:pt idx="174">
                  <c:v>58.825567583875639</c:v>
                </c:pt>
                <c:pt idx="175">
                  <c:v>58.913504831303598</c:v>
                </c:pt>
                <c:pt idx="176">
                  <c:v>59.012314049503317</c:v>
                </c:pt>
                <c:pt idx="177">
                  <c:v>59.121752003879919</c:v>
                </c:pt>
                <c:pt idx="178">
                  <c:v>59.241557756074386</c:v>
                </c:pt>
                <c:pt idx="179">
                  <c:v>59.371453446030884</c:v>
                </c:pt>
                <c:pt idx="180">
                  <c:v>59.511145125572554</c:v>
                </c:pt>
                <c:pt idx="181">
                  <c:v>59.660323639882733</c:v>
                </c:pt>
                <c:pt idx="182">
                  <c:v>59.818665552976867</c:v>
                </c:pt>
                <c:pt idx="183">
                  <c:v>59.985834112969386</c:v>
                </c:pt>
                <c:pt idx="184">
                  <c:v>60.161480252659288</c:v>
                </c:pt>
                <c:pt idx="185">
                  <c:v>60.345243620717952</c:v>
                </c:pt>
                <c:pt idx="186">
                  <c:v>60.536753638524772</c:v>
                </c:pt>
                <c:pt idx="187">
                  <c:v>60.735630577508488</c:v>
                </c:pt>
                <c:pt idx="188">
                  <c:v>60.941486651692799</c:v>
                </c:pt>
                <c:pt idx="189">
                  <c:v>61.153927120019347</c:v>
                </c:pt>
                <c:pt idx="190">
                  <c:v>61.372551392950996</c:v>
                </c:pt>
                <c:pt idx="191">
                  <c:v>61.59695413782984</c:v>
                </c:pt>
                <c:pt idx="192">
                  <c:v>61.826726377466713</c:v>
                </c:pt>
                <c:pt idx="193">
                  <c:v>62.061456576537665</c:v>
                </c:pt>
                <c:pt idx="194">
                  <c:v>62.300731710447195</c:v>
                </c:pt>
                <c:pt idx="195">
                  <c:v>62.544138311513208</c:v>
                </c:pt>
                <c:pt idx="196">
                  <c:v>62.791263487534778</c:v>
                </c:pt>
                <c:pt idx="197">
                  <c:v>63.041695908057164</c:v>
                </c:pt>
                <c:pt idx="198">
                  <c:v>63.295026753976515</c:v>
                </c:pt>
                <c:pt idx="199">
                  <c:v>63.550850626448238</c:v>
                </c:pt>
                <c:pt idx="200">
                  <c:v>63.80876641144809</c:v>
                </c:pt>
                <c:pt idx="201">
                  <c:v>64.06837809674596</c:v>
                </c:pt>
                <c:pt idx="202">
                  <c:v>64.329295538471115</c:v>
                </c:pt>
                <c:pt idx="203">
                  <c:v>64.591135174901197</c:v>
                </c:pt>
                <c:pt idx="204">
                  <c:v>64.85352068555153</c:v>
                </c:pt>
                <c:pt idx="205">
                  <c:v>65.116083594114613</c:v>
                </c:pt>
                <c:pt idx="206">
                  <c:v>65.37846381424616</c:v>
                </c:pt>
                <c:pt idx="207">
                  <c:v>65.640310137649024</c:v>
                </c:pt>
                <c:pt idx="208">
                  <c:v>65.901280664339964</c:v>
                </c:pt>
                <c:pt idx="209">
                  <c:v>66.161043175409915</c:v>
                </c:pt>
                <c:pt idx="210">
                  <c:v>66.419275448974304</c:v>
                </c:pt>
                <c:pt idx="211">
                  <c:v>66.67566552038808</c:v>
                </c:pt>
                <c:pt idx="212">
                  <c:v>66.929911888139983</c:v>
                </c:pt>
                <c:pt idx="213">
                  <c:v>67.181723667139352</c:v>
                </c:pt>
                <c:pt idx="214">
                  <c:v>67.430820691399234</c:v>
                </c:pt>
                <c:pt idx="215">
                  <c:v>67.676933568338683</c:v>
                </c:pt>
                <c:pt idx="216">
                  <c:v>67.919803687153333</c:v>
                </c:pt>
                <c:pt idx="217">
                  <c:v>68.15918318384557</c:v>
                </c:pt>
                <c:pt idx="218">
                  <c:v>68.394834865661309</c:v>
                </c:pt>
                <c:pt idx="219">
                  <c:v>68.626532097762777</c:v>
                </c:pt>
                <c:pt idx="220">
                  <c:v>68.854058655040248</c:v>
                </c:pt>
                <c:pt idx="221">
                  <c:v>69.077208541999809</c:v>
                </c:pt>
                <c:pt idx="222">
                  <c:v>69.295785783666844</c:v>
                </c:pt>
                <c:pt idx="223">
                  <c:v>69.509604190430949</c:v>
                </c:pt>
                <c:pt idx="224">
                  <c:v>69.718487099711254</c:v>
                </c:pt>
                <c:pt idx="225">
                  <c:v>69.922267097258327</c:v>
                </c:pt>
                <c:pt idx="226">
                  <c:v>70.120785720820791</c:v>
                </c:pt>
                <c:pt idx="227">
                  <c:v>70.313893148817783</c:v>
                </c:pt>
                <c:pt idx="228">
                  <c:v>70.50144787653295</c:v>
                </c:pt>
                <c:pt idx="229">
                  <c:v>70.683316382233713</c:v>
                </c:pt>
                <c:pt idx="230">
                  <c:v>70.859372785483103</c:v>
                </c:pt>
                <c:pt idx="231">
                  <c:v>71.029498499779294</c:v>
                </c:pt>
                <c:pt idx="232">
                  <c:v>71.193581881511648</c:v>
                </c:pt>
                <c:pt idx="233">
                  <c:v>71.351517877086721</c:v>
                </c:pt>
                <c:pt idx="234">
                  <c:v>71.503207669928841</c:v>
                </c:pt>
                <c:pt idx="235">
                  <c:v>71.648558328922334</c:v>
                </c:pt>
                <c:pt idx="236">
                  <c:v>71.787482459719172</c:v>
                </c:pt>
                <c:pt idx="237">
                  <c:v>71.919897860209261</c:v>
                </c:pt>
                <c:pt idx="238">
                  <c:v>72.045727181305963</c:v>
                </c:pt>
                <c:pt idx="239">
                  <c:v>72.164897594089538</c:v>
                </c:pt>
                <c:pt idx="240">
                  <c:v>72.277340464222036</c:v>
                </c:pt>
                <c:pt idx="241">
                  <c:v>72.38299103443687</c:v>
                </c:pt>
                <c:pt idx="242">
                  <c:v>72.481788115806538</c:v>
                </c:pt>
                <c:pt idx="243">
                  <c:v>72.573673788385904</c:v>
                </c:pt>
                <c:pt idx="244">
                  <c:v>72.658593111741538</c:v>
                </c:pt>
                <c:pt idx="245">
                  <c:v>72.736493845796929</c:v>
                </c:pt>
                <c:pt idx="246">
                  <c:v>72.807326182342649</c:v>
                </c:pt>
                <c:pt idx="247">
                  <c:v>72.871042487493654</c:v>
                </c:pt>
                <c:pt idx="248">
                  <c:v>72.927597055317619</c:v>
                </c:pt>
                <c:pt idx="249">
                  <c:v>72.976945872795639</c:v>
                </c:pt>
                <c:pt idx="250">
                  <c:v>73.019046396238451</c:v>
                </c:pt>
                <c:pt idx="251">
                  <c:v>73.053857339230689</c:v>
                </c:pt>
                <c:pt idx="252">
                  <c:v>73.081338472142633</c:v>
                </c:pt>
                <c:pt idx="253">
                  <c:v>73.101450433224841</c:v>
                </c:pt>
                <c:pt idx="254">
                  <c:v>73.114154551259944</c:v>
                </c:pt>
                <c:pt idx="255">
                  <c:v>73.119412679748237</c:v>
                </c:pt>
                <c:pt idx="256">
                  <c:v>73.117187042565206</c:v>
                </c:pt>
                <c:pt idx="257">
                  <c:v>73.107440091034803</c:v>
                </c:pt>
                <c:pt idx="258">
                  <c:v>73.090134372343982</c:v>
                </c:pt>
                <c:pt idx="259">
                  <c:v>73.065232409229353</c:v>
                </c:pt>
                <c:pt idx="260">
                  <c:v>73.032696590855451</c:v>
                </c:pt>
                <c:pt idx="261">
                  <c:v>72.992489074812624</c:v>
                </c:pt>
                <c:pt idx="262">
                  <c:v>72.944571700169163</c:v>
                </c:pt>
                <c:pt idx="263">
                  <c:v>72.888905911512182</c:v>
                </c:pt>
                <c:pt idx="264">
                  <c:v>72.82545269392169</c:v>
                </c:pt>
                <c:pt idx="265">
                  <c:v>72.754172518843362</c:v>
                </c:pt>
                <c:pt idx="266">
                  <c:v>72.675025300815648</c:v>
                </c:pt>
                <c:pt idx="267">
                  <c:v>72.587970365045109</c:v>
                </c:pt>
                <c:pt idx="268">
                  <c:v>72.492966425815652</c:v>
                </c:pt>
                <c:pt idx="269">
                  <c:v>72.389971575740489</c:v>
                </c:pt>
                <c:pt idx="270">
                  <c:v>72.278943285887721</c:v>
                </c:pt>
                <c:pt idx="271">
                  <c:v>72.159838416803922</c:v>
                </c:pt>
                <c:pt idx="272">
                  <c:v>72.032613240497568</c:v>
                </c:pt>
                <c:pt idx="273">
                  <c:v>71.897223473440761</c:v>
                </c:pt>
                <c:pt idx="274">
                  <c:v>71.753624320665537</c:v>
                </c:pt>
                <c:pt idx="275">
                  <c:v>71.601770531048885</c:v>
                </c:pt>
                <c:pt idx="276">
                  <c:v>71.441616463876144</c:v>
                </c:pt>
                <c:pt idx="277">
                  <c:v>71.273116166800335</c:v>
                </c:pt>
                <c:pt idx="278">
                  <c:v>71.096223465301037</c:v>
                </c:pt>
                <c:pt idx="279">
                  <c:v>70.910892063766966</c:v>
                </c:pt>
                <c:pt idx="280">
                  <c:v>70.717075658323367</c:v>
                </c:pt>
                <c:pt idx="281">
                  <c:v>70.514728061514248</c:v>
                </c:pt>
                <c:pt idx="282">
                  <c:v>70.303803338964613</c:v>
                </c:pt>
                <c:pt idx="283">
                  <c:v>70.084255958121545</c:v>
                </c:pt>
                <c:pt idx="284">
                  <c:v>69.85604094917106</c:v>
                </c:pt>
                <c:pt idx="285">
                  <c:v>69.619114078211155</c:v>
                </c:pt>
                <c:pt idx="286">
                  <c:v>69.373432032732921</c:v>
                </c:pt>
                <c:pt idx="287">
                  <c:v>69.118952619451377</c:v>
                </c:pt>
                <c:pt idx="288">
                  <c:v>68.855634974475748</c:v>
                </c:pt>
                <c:pt idx="289">
                  <c:v>68.583439785793132</c:v>
                </c:pt>
                <c:pt idx="290">
                  <c:v>68.302329527980817</c:v>
                </c:pt>
                <c:pt idx="291">
                  <c:v>68.012268709024667</c:v>
                </c:pt>
                <c:pt idx="292">
                  <c:v>67.713224129055831</c:v>
                </c:pt>
                <c:pt idx="293">
                  <c:v>67.405165150764049</c:v>
                </c:pt>
                <c:pt idx="294">
                  <c:v>67.088063981170592</c:v>
                </c:pt>
                <c:pt idx="295">
                  <c:v>66.761895964371803</c:v>
                </c:pt>
                <c:pt idx="296">
                  <c:v>66.426639884772641</c:v>
                </c:pt>
                <c:pt idx="297">
                  <c:v>66.082278280249227</c:v>
                </c:pt>
                <c:pt idx="298">
                  <c:v>65.728797764574097</c:v>
                </c:pt>
                <c:pt idx="299">
                  <c:v>65.366189358329493</c:v>
                </c:pt>
                <c:pt idx="300">
                  <c:v>64.994448827431967</c:v>
                </c:pt>
                <c:pt idx="301">
                  <c:v>64.613577028263464</c:v>
                </c:pt>
                <c:pt idx="302">
                  <c:v>64.223580258289928</c:v>
                </c:pt>
                <c:pt idx="303">
                  <c:v>63.824470610904228</c:v>
                </c:pt>
                <c:pt idx="304">
                  <c:v>63.4162663331212</c:v>
                </c:pt>
                <c:pt idx="305">
                  <c:v>62.998992184587266</c:v>
                </c:pt>
                <c:pt idx="306">
                  <c:v>62.572679796259976</c:v>
                </c:pt>
                <c:pt idx="307">
                  <c:v>62.137368026945808</c:v>
                </c:pt>
                <c:pt idx="308">
                  <c:v>61.693103315777307</c:v>
                </c:pt>
                <c:pt idx="309">
                  <c:v>61.23994002854748</c:v>
                </c:pt>
                <c:pt idx="310">
                  <c:v>60.777940795719573</c:v>
                </c:pt>
                <c:pt idx="311">
                  <c:v>60.307176839783821</c:v>
                </c:pt>
                <c:pt idx="312">
                  <c:v>59.827728289544851</c:v>
                </c:pt>
                <c:pt idx="313">
                  <c:v>59.339684478803377</c:v>
                </c:pt>
                <c:pt idx="314">
                  <c:v>58.843144226827306</c:v>
                </c:pt>
                <c:pt idx="315">
                  <c:v>58.338216097930726</c:v>
                </c:pt>
                <c:pt idx="316">
                  <c:v>57.825018637431</c:v>
                </c:pt>
                <c:pt idx="317">
                  <c:v>57.303680581237842</c:v>
                </c:pt>
                <c:pt idx="318">
                  <c:v>56.774341036315789</c:v>
                </c:pt>
                <c:pt idx="319">
                  <c:v>56.237149629295459</c:v>
                </c:pt>
                <c:pt idx="320">
                  <c:v>55.692266620563146</c:v>
                </c:pt>
                <c:pt idx="321">
                  <c:v>55.139862981244761</c:v>
                </c:pt>
                <c:pt idx="322">
                  <c:v>54.580120430622273</c:v>
                </c:pt>
                <c:pt idx="323">
                  <c:v>54.013231431665375</c:v>
                </c:pt>
                <c:pt idx="324">
                  <c:v>53.439399142570664</c:v>
                </c:pt>
                <c:pt idx="325">
                  <c:v>52.858837322393256</c:v>
                </c:pt>
                <c:pt idx="326">
                  <c:v>52.271770189141947</c:v>
                </c:pt>
                <c:pt idx="327">
                  <c:v>51.678432228981166</c:v>
                </c:pt>
                <c:pt idx="328">
                  <c:v>51.079067955512571</c:v>
                </c:pt>
                <c:pt idx="329">
                  <c:v>50.473931618457328</c:v>
                </c:pt>
                <c:pt idx="330">
                  <c:v>49.863286861439079</c:v>
                </c:pt>
                <c:pt idx="331">
                  <c:v>49.247406328965226</c:v>
                </c:pt>
                <c:pt idx="332">
                  <c:v>48.626571223122653</c:v>
                </c:pt>
                <c:pt idx="333">
                  <c:v>48.001070810931935</c:v>
                </c:pt>
                <c:pt idx="334">
                  <c:v>47.371201883745528</c:v>
                </c:pt>
                <c:pt idx="335">
                  <c:v>46.737268170509864</c:v>
                </c:pt>
                <c:pt idx="336">
                  <c:v>46.099579707150539</c:v>
                </c:pt>
                <c:pt idx="337">
                  <c:v>45.458452164760388</c:v>
                </c:pt>
                <c:pt idx="338">
                  <c:v>44.814206139682327</c:v>
                </c:pt>
                <c:pt idx="339">
                  <c:v>44.167166408955012</c:v>
                </c:pt>
                <c:pt idx="340">
                  <c:v>43.517661154949351</c:v>
                </c:pt>
                <c:pt idx="341">
                  <c:v>42.866021163341642</c:v>
                </c:pt>
                <c:pt idx="342">
                  <c:v>42.212578998845686</c:v>
                </c:pt>
                <c:pt idx="343">
                  <c:v>41.557668163361768</c:v>
                </c:pt>
                <c:pt idx="344">
                  <c:v>40.90162224138281</c:v>
                </c:pt>
                <c:pt idx="345">
                  <c:v>40.244774037633533</c:v>
                </c:pt>
                <c:pt idx="346">
                  <c:v>39.587454711997509</c:v>
                </c:pt>
                <c:pt idx="347">
                  <c:v>38.929992916804892</c:v>
                </c:pt>
                <c:pt idx="348">
                  <c:v>38.272713941530824</c:v>
                </c:pt>
                <c:pt idx="349">
                  <c:v>37.61593886986148</c:v>
                </c:pt>
                <c:pt idx="350">
                  <c:v>36.95998375394808</c:v>
                </c:pt>
                <c:pt idx="351">
                  <c:v>36.305158810477678</c:v>
                </c:pt>
                <c:pt idx="352">
                  <c:v>35.651767642956756</c:v>
                </c:pt>
                <c:pt idx="353">
                  <c:v>35.000106494317123</c:v>
                </c:pt>
                <c:pt idx="354">
                  <c:v>34.350463533637679</c:v>
                </c:pt>
                <c:pt idx="355">
                  <c:v>33.703118180431531</c:v>
                </c:pt>
                <c:pt idx="356">
                  <c:v>33.058340469544859</c:v>
                </c:pt>
                <c:pt idx="357">
                  <c:v>32.416390459346815</c:v>
                </c:pt>
                <c:pt idx="358">
                  <c:v>31.777517685431732</c:v>
                </c:pt>
                <c:pt idx="359">
                  <c:v>31.14196066165546</c:v>
                </c:pt>
                <c:pt idx="360">
                  <c:v>30.50994642987871</c:v>
                </c:pt>
                <c:pt idx="361">
                  <c:v>29.88169015935361</c:v>
                </c:pt>
                <c:pt idx="362">
                  <c:v>29.257394796271313</c:v>
                </c:pt>
                <c:pt idx="363">
                  <c:v>28.637250763555897</c:v>
                </c:pt>
                <c:pt idx="364">
                  <c:v>28.021435710593281</c:v>
                </c:pt>
                <c:pt idx="365">
                  <c:v>27.410114312193642</c:v>
                </c:pt>
                <c:pt idx="366">
                  <c:v>26.803438115720112</c:v>
                </c:pt>
                <c:pt idx="367">
                  <c:v>26.201545434975046</c:v>
                </c:pt>
                <c:pt idx="368">
                  <c:v>25.604561289117854</c:v>
                </c:pt>
                <c:pt idx="369">
                  <c:v>25.012597384602671</c:v>
                </c:pt>
                <c:pt idx="370">
                  <c:v>24.425752137866581</c:v>
                </c:pt>
                <c:pt idx="371">
                  <c:v>23.84411073626832</c:v>
                </c:pt>
                <c:pt idx="372">
                  <c:v>23.267745234576509</c:v>
                </c:pt>
                <c:pt idx="373">
                  <c:v>22.696714684147878</c:v>
                </c:pt>
                <c:pt idx="374">
                  <c:v>22.131065291788801</c:v>
                </c:pt>
                <c:pt idx="375">
                  <c:v>21.570830605181385</c:v>
                </c:pt>
                <c:pt idx="376">
                  <c:v>21.016031721689075</c:v>
                </c:pt>
                <c:pt idx="377">
                  <c:v>20.466677517273254</c:v>
                </c:pt>
                <c:pt idx="378">
                  <c:v>19.922764892252147</c:v>
                </c:pt>
                <c:pt idx="379">
                  <c:v>19.38427903059447</c:v>
                </c:pt>
                <c:pt idx="380">
                  <c:v>18.851193669472579</c:v>
                </c:pt>
                <c:pt idx="381">
                  <c:v>18.32347137581155</c:v>
                </c:pt>
                <c:pt idx="382">
                  <c:v>17.801063826625494</c:v>
                </c:pt>
                <c:pt idx="383">
                  <c:v>17.283912089985961</c:v>
                </c:pt>
                <c:pt idx="384">
                  <c:v>16.771946903523087</c:v>
                </c:pt>
                <c:pt idx="385">
                  <c:v>16.265088947453648</c:v>
                </c:pt>
                <c:pt idx="386">
                  <c:v>15.763249109186148</c:v>
                </c:pt>
                <c:pt idx="387">
                  <c:v>15.266328736648703</c:v>
                </c:pt>
                <c:pt idx="388">
                  <c:v>14.774219877551076</c:v>
                </c:pt>
                <c:pt idx="389">
                  <c:v>14.286805501880892</c:v>
                </c:pt>
                <c:pt idx="390">
                  <c:v>13.803959704979832</c:v>
                </c:pt>
                <c:pt idx="391">
                  <c:v>13.325547888624769</c:v>
                </c:pt>
                <c:pt idx="392">
                  <c:v>12.851426917562875</c:v>
                </c:pt>
                <c:pt idx="393">
                  <c:v>12.381445248994268</c:v>
                </c:pt>
                <c:pt idx="394">
                  <c:v>11.91544303248655</c:v>
                </c:pt>
                <c:pt idx="395">
                  <c:v>11.45325217781523</c:v>
                </c:pt>
                <c:pt idx="396">
                  <c:v>10.994696388163618</c:v>
                </c:pt>
                <c:pt idx="397">
                  <c:v>10.539591156064944</c:v>
                </c:pt>
                <c:pt idx="398">
                  <c:v>10.087743719366443</c:v>
                </c:pt>
                <c:pt idx="399">
                  <c:v>9.6389529743650399</c:v>
                </c:pt>
                <c:pt idx="400">
                  <c:v>9.193009343086942</c:v>
                </c:pt>
                <c:pt idx="401">
                  <c:v>8.7496945914789706</c:v>
                </c:pt>
                <c:pt idx="402">
                  <c:v>8.3087815950021024</c:v>
                </c:pt>
                <c:pt idx="403">
                  <c:v>7.8700340478127373</c:v>
                </c:pt>
                <c:pt idx="404">
                  <c:v>7.4332061113339165</c:v>
                </c:pt>
                <c:pt idx="405">
                  <c:v>6.9980419975738641</c:v>
                </c:pt>
                <c:pt idx="406">
                  <c:v>6.5642754820350575</c:v>
                </c:pt>
                <c:pt idx="407">
                  <c:v>6.1316293404481996</c:v>
                </c:pt>
                <c:pt idx="408">
                  <c:v>5.6998147028667034</c:v>
                </c:pt>
                <c:pt idx="409">
                  <c:v>5.2685303178528216</c:v>
                </c:pt>
                <c:pt idx="410">
                  <c:v>4.8374617185508271</c:v>
                </c:pt>
                <c:pt idx="411">
                  <c:v>4.4062802813754587</c:v>
                </c:pt>
                <c:pt idx="412">
                  <c:v>3.9746421667996827</c:v>
                </c:pt>
                <c:pt idx="413">
                  <c:v>3.5421871303223753</c:v>
                </c:pt>
                <c:pt idx="414">
                  <c:v>3.108537190038021</c:v>
                </c:pt>
                <c:pt idx="415">
                  <c:v>2.6732951353724417</c:v>
                </c:pt>
                <c:pt idx="416">
                  <c:v>2.2360428593498227</c:v>
                </c:pt>
                <c:pt idx="417">
                  <c:v>1.7963394942646431</c:v>
                </c:pt>
                <c:pt idx="418">
                  <c:v>1.353719327717485</c:v>
                </c:pt>
                <c:pt idx="419">
                  <c:v>0.9076894726154876</c:v>
                </c:pt>
                <c:pt idx="420">
                  <c:v>0.45772726082782356</c:v>
                </c:pt>
                <c:pt idx="421">
                  <c:v>3.277325647857765E-3</c:v>
                </c:pt>
                <c:pt idx="422">
                  <c:v>-0.45625166707269216</c:v>
                </c:pt>
                <c:pt idx="423">
                  <c:v>-0.92149068544540569</c:v>
                </c:pt>
                <c:pt idx="424">
                  <c:v>-1.3931144492553074</c:v>
                </c:pt>
                <c:pt idx="425">
                  <c:v>-1.8718460608934748</c:v>
                </c:pt>
                <c:pt idx="426">
                  <c:v>-2.3584622214792574</c:v>
                </c:pt>
                <c:pt idx="427">
                  <c:v>-2.8537991158809604</c:v>
                </c:pt>
                <c:pt idx="428">
                  <c:v>-3.3587590641666765</c:v>
                </c:pt>
                <c:pt idx="429">
                  <c:v>-3.8743180533760722</c:v>
                </c:pt>
                <c:pt idx="430">
                  <c:v>-4.4015342828844268</c:v>
                </c:pt>
                <c:pt idx="431">
                  <c:v>-4.9415578796252362</c:v>
                </c:pt>
                <c:pt idx="432">
                  <c:v>-5.4956419667932295</c:v>
                </c:pt>
                <c:pt idx="433">
                  <c:v>-6.0651553022337765</c:v>
                </c:pt>
                <c:pt idx="434">
                  <c:v>-6.6515967415811019</c:v>
                </c:pt>
                <c:pt idx="435">
                  <c:v>-7.2566118276328808</c:v>
                </c:pt>
                <c:pt idx="436">
                  <c:v>-7.8820118629273423</c:v>
                </c:pt>
                <c:pt idx="437">
                  <c:v>-8.5297958888273797</c:v>
                </c:pt>
                <c:pt idx="438">
                  <c:v>-9.2021760737291203</c:v>
                </c:pt>
                <c:pt idx="439">
                  <c:v>-9.9016071077247858</c:v>
                </c:pt>
                <c:pt idx="440">
                  <c:v>-10.630820313909609</c:v>
                </c:pt>
                <c:pt idx="441">
                  <c:v>-11.3928633205404</c:v>
                </c:pt>
                <c:pt idx="442">
                  <c:v>-12.191146296477513</c:v>
                </c:pt>
                <c:pt idx="443">
                  <c:v>-13.029495937559517</c:v>
                </c:pt>
                <c:pt idx="444">
                  <c:v>-13.912218605590184</c:v>
                </c:pt>
                <c:pt idx="445">
                  <c:v>-14.844174264142723</c:v>
                </c:pt>
                <c:pt idx="446">
                  <c:v>-15.830863121881023</c:v>
                </c:pt>
                <c:pt idx="447">
                  <c:v>-16.878527172387876</c:v>
                </c:pt>
                <c:pt idx="448">
                  <c:v>-17.994269083906303</c:v>
                </c:pt>
                <c:pt idx="449">
                  <c:v>-19.186191094312775</c:v>
                </c:pt>
                <c:pt idx="450">
                  <c:v>-20.463556619037533</c:v>
                </c:pt>
                <c:pt idx="451">
                  <c:v>-21.836977032252548</c:v>
                </c:pt>
                <c:pt idx="452">
                  <c:v>-23.318625282130654</c:v>
                </c:pt>
                <c:pt idx="453">
                  <c:v>-24.922476234696603</c:v>
                </c:pt>
                <c:pt idx="454">
                  <c:v>-26.664570241368949</c:v>
                </c:pt>
                <c:pt idx="455">
                  <c:v>-28.563290348190861</c:v>
                </c:pt>
                <c:pt idx="456">
                  <c:v>-30.63963322474801</c:v>
                </c:pt>
                <c:pt idx="457">
                  <c:v>-32.917436992814217</c:v>
                </c:pt>
                <c:pt idx="458">
                  <c:v>-35.423502599023564</c:v>
                </c:pt>
                <c:pt idx="459">
                  <c:v>-38.187505620405986</c:v>
                </c:pt>
                <c:pt idx="460">
                  <c:v>-41.241539549319953</c:v>
                </c:pt>
                <c:pt idx="461">
                  <c:v>-44.61906075871137</c:v>
                </c:pt>
                <c:pt idx="462">
                  <c:v>-48.352931402249041</c:v>
                </c:pt>
                <c:pt idx="463">
                  <c:v>-52.472214006523487</c:v>
                </c:pt>
                <c:pt idx="464">
                  <c:v>-56.997432285549166</c:v>
                </c:pt>
                <c:pt idx="465">
                  <c:v>-61.934290323539983</c:v>
                </c:pt>
                <c:pt idx="466">
                  <c:v>-67.266453887149325</c:v>
                </c:pt>
                <c:pt idx="467">
                  <c:v>-72.94893945450697</c:v>
                </c:pt>
                <c:pt idx="468">
                  <c:v>-78.904602596116959</c:v>
                </c:pt>
                <c:pt idx="469">
                  <c:v>-85.026426342998178</c:v>
                </c:pt>
                <c:pt idx="470">
                  <c:v>-91.186992864479805</c:v>
                </c:pt>
                <c:pt idx="471">
                  <c:v>-97.253729640560493</c:v>
                </c:pt>
                <c:pt idx="472">
                  <c:v>-103.10571805544927</c:v>
                </c:pt>
                <c:pt idx="473">
                  <c:v>-108.64702741391295</c:v>
                </c:pt>
                <c:pt idx="474">
                  <c:v>-113.81333547755089</c:v>
                </c:pt>
                <c:pt idx="475">
                  <c:v>-118.57164360737123</c:v>
                </c:pt>
                <c:pt idx="476">
                  <c:v>-122.91520043227767</c:v>
                </c:pt>
                <c:pt idx="477">
                  <c:v>-126.85639834199843</c:v>
                </c:pt>
                <c:pt idx="478">
                  <c:v>-130.41979904440964</c:v>
                </c:pt>
                <c:pt idx="479">
                  <c:v>-133.63643294955082</c:v>
                </c:pt>
                <c:pt idx="480">
                  <c:v>-136.53968958298896</c:v>
                </c:pt>
                <c:pt idx="481">
                  <c:v>-139.16264704059012</c:v>
                </c:pt>
                <c:pt idx="482">
                  <c:v>-141.53651215580089</c:v>
                </c:pt>
                <c:pt idx="483">
                  <c:v>-143.68983458422247</c:v>
                </c:pt>
                <c:pt idx="484">
                  <c:v>-145.64821915615744</c:v>
                </c:pt>
                <c:pt idx="485">
                  <c:v>-147.43433611610311</c:v>
                </c:pt>
                <c:pt idx="486">
                  <c:v>-149.06809439089835</c:v>
                </c:pt>
                <c:pt idx="487">
                  <c:v>-150.56689230946989</c:v>
                </c:pt>
                <c:pt idx="488">
                  <c:v>-151.94589429546701</c:v>
                </c:pt>
                <c:pt idx="489">
                  <c:v>-153.21830436277659</c:v>
                </c:pt>
                <c:pt idx="490">
                  <c:v>-154.39562122189602</c:v>
                </c:pt>
                <c:pt idx="491">
                  <c:v>-155.4878682270089</c:v>
                </c:pt>
                <c:pt idx="492">
                  <c:v>-156.50379625577193</c:v>
                </c:pt>
                <c:pt idx="493">
                  <c:v>-157.45106026651683</c:v>
                </c:pt>
                <c:pt idx="494">
                  <c:v>-158.33637159808416</c:v>
                </c:pt>
                <c:pt idx="495">
                  <c:v>-159.16562861966622</c:v>
                </c:pt>
                <c:pt idx="496">
                  <c:v>-159.9440284434217</c:v>
                </c:pt>
                <c:pt idx="497">
                  <c:v>-160.67616228730697</c:v>
                </c:pt>
                <c:pt idx="498">
                  <c:v>-161.36609684110687</c:v>
                </c:pt>
                <c:pt idx="499">
                  <c:v>-162.01744371447552</c:v>
                </c:pt>
                <c:pt idx="500">
                  <c:v>-162.43904418660736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41-4D19-9DBC-690DDB1D00CA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99.84196160121293</c:v>
                </c:pt>
                <c:pt idx="1">
                  <c:v>99.662548362784705</c:v>
                </c:pt>
                <c:pt idx="2">
                  <c:v>99.487727134497462</c:v>
                </c:pt>
                <c:pt idx="3">
                  <c:v>99.317427410602875</c:v>
                </c:pt>
                <c:pt idx="4">
                  <c:v>99.151579865412714</c:v>
                </c:pt>
                <c:pt idx="5">
                  <c:v>98.990116384613458</c:v>
                </c:pt>
                <c:pt idx="6">
                  <c:v>98.83297009338861</c:v>
                </c:pt>
                <c:pt idx="7">
                  <c:v>98.68007538155787</c:v>
                </c:pt>
                <c:pt idx="8">
                  <c:v>98.531367925933026</c:v>
                </c:pt>
                <c:pt idx="9">
                  <c:v>98.386784710081173</c:v>
                </c:pt>
                <c:pt idx="10">
                  <c:v>98.24626404167725</c:v>
                </c:pt>
                <c:pt idx="11">
                  <c:v>98.109745567619271</c:v>
                </c:pt>
                <c:pt idx="12">
                  <c:v>97.977170287069981</c:v>
                </c:pt>
                <c:pt idx="13">
                  <c:v>97.848480562582964</c:v>
                </c:pt>
                <c:pt idx="14">
                  <c:v>97.723620129459832</c:v>
                </c:pt>
                <c:pt idx="15">
                  <c:v>97.602534103479996</c:v>
                </c:pt>
                <c:pt idx="16">
                  <c:v>97.485168987136021</c:v>
                </c:pt>
                <c:pt idx="17">
                  <c:v>97.371472674500339</c:v>
                </c:pt>
                <c:pt idx="18">
                  <c:v>97.261394454842204</c:v>
                </c:pt>
                <c:pt idx="19">
                  <c:v>97.154885015107226</c:v>
                </c:pt>
                <c:pt idx="20">
                  <c:v>97.051896441365585</c:v>
                </c:pt>
                <c:pt idx="21">
                  <c:v>96.952382219328399</c:v>
                </c:pt>
                <c:pt idx="22">
                  <c:v>96.856297234026442</c:v>
                </c:pt>
                <c:pt idx="23">
                  <c:v>96.763597768739658</c:v>
                </c:pt>
                <c:pt idx="24">
                  <c:v>96.674241503260262</c:v>
                </c:pt>
                <c:pt idx="25">
                  <c:v>96.588187511567895</c:v>
                </c:pt>
                <c:pt idx="26">
                  <c:v>96.505396258989748</c:v>
                </c:pt>
                <c:pt idx="27">
                  <c:v>96.425829598914589</c:v>
                </c:pt>
                <c:pt idx="28">
                  <c:v>96.349450769124715</c:v>
                </c:pt>
                <c:pt idx="29">
                  <c:v>96.27622438780638</c:v>
                </c:pt>
                <c:pt idx="30">
                  <c:v>96.206116449294697</c:v>
                </c:pt>
                <c:pt idx="31">
                  <c:v>96.139094319605988</c:v>
                </c:pt>
                <c:pt idx="32">
                  <c:v>96.075126731806492</c:v>
                </c:pt>
                <c:pt idx="33">
                  <c:v>96.01418378126283</c:v>
                </c:pt>
                <c:pt idx="34">
                  <c:v>95.956236920817886</c:v>
                </c:pt>
                <c:pt idx="35">
                  <c:v>95.901258955930587</c:v>
                </c:pt>
                <c:pt idx="36">
                  <c:v>95.84922403981723</c:v>
                </c:pt>
                <c:pt idx="37">
                  <c:v>95.800107668628144</c:v>
                </c:pt>
                <c:pt idx="38">
                  <c:v>95.753886676691806</c:v>
                </c:pt>
                <c:pt idx="39">
                  <c:v>95.710539231854739</c:v>
                </c:pt>
                <c:pt idx="40">
                  <c:v>95.670044830945329</c:v>
                </c:pt>
                <c:pt idx="41">
                  <c:v>95.632384295385364</c:v>
                </c:pt>
                <c:pt idx="42">
                  <c:v>95.59753976697273</c:v>
                </c:pt>
                <c:pt idx="43">
                  <c:v>95.565494703855975</c:v>
                </c:pt>
                <c:pt idx="44">
                  <c:v>95.536233876719479</c:v>
                </c:pt>
                <c:pt idx="45">
                  <c:v>95.509743365196627</c:v>
                </c:pt>
                <c:pt idx="46">
                  <c:v>95.486010554526587</c:v>
                </c:pt>
                <c:pt idx="47">
                  <c:v>95.465024132468429</c:v>
                </c:pt>
                <c:pt idx="48">
                  <c:v>95.446774086485263</c:v>
                </c:pt>
                <c:pt idx="49">
                  <c:v>95.431251701208652</c:v>
                </c:pt>
                <c:pt idx="50">
                  <c:v>95.418449556193565</c:v>
                </c:pt>
                <c:pt idx="51">
                  <c:v>95.408361523971308</c:v>
                </c:pt>
                <c:pt idx="52">
                  <c:v>95.400982768407175</c:v>
                </c:pt>
                <c:pt idx="53">
                  <c:v>95.396309743368576</c:v>
                </c:pt>
                <c:pt idx="54">
                  <c:v>95.394340191707116</c:v>
                </c:pt>
                <c:pt idx="55">
                  <c:v>95.39507314455804</c:v>
                </c:pt>
                <c:pt idx="56">
                  <c:v>95.398508920957894</c:v>
                </c:pt>
                <c:pt idx="57">
                  <c:v>95.404649127781369</c:v>
                </c:pt>
                <c:pt idx="58">
                  <c:v>95.413496659995602</c:v>
                </c:pt>
                <c:pt idx="59">
                  <c:v>95.425055701230406</c:v>
                </c:pt>
                <c:pt idx="60">
                  <c:v>95.439331724660363</c:v>
                </c:pt>
                <c:pt idx="61">
                  <c:v>95.45633149419406</c:v>
                </c:pt>
                <c:pt idx="62">
                  <c:v>95.476063065964908</c:v>
                </c:pt>
                <c:pt idx="63">
                  <c:v>95.498535790115199</c:v>
                </c:pt>
                <c:pt idx="64">
                  <c:v>95.523760312865249</c:v>
                </c:pt>
                <c:pt idx="65">
                  <c:v>95.551748578857044</c:v>
                </c:pt>
                <c:pt idx="66">
                  <c:v>95.582513833761297</c:v>
                </c:pt>
                <c:pt idx="67">
                  <c:v>95.61607062713351</c:v>
                </c:pt>
                <c:pt idx="68">
                  <c:v>95.6524348155057</c:v>
                </c:pt>
                <c:pt idx="69">
                  <c:v>95.691623565696389</c:v>
                </c:pt>
                <c:pt idx="70">
                  <c:v>95.733655358320959</c:v>
                </c:pt>
                <c:pt idx="71">
                  <c:v>95.778549991482706</c:v>
                </c:pt>
                <c:pt idx="72">
                  <c:v>95.826328584622431</c:v>
                </c:pt>
                <c:pt idx="73">
                  <c:v>95.877013582502912</c:v>
                </c:pt>
                <c:pt idx="74">
                  <c:v>95.930628759302465</c:v>
                </c:pt>
                <c:pt idx="75">
                  <c:v>95.987199222789485</c:v>
                </c:pt>
                <c:pt idx="76">
                  <c:v>96.046751418547188</c:v>
                </c:pt>
                <c:pt idx="77">
                  <c:v>96.109313134216478</c:v>
                </c:pt>
                <c:pt idx="78">
                  <c:v>96.17491350372056</c:v>
                </c:pt>
                <c:pt idx="79">
                  <c:v>96.243583011434282</c:v>
                </c:pt>
                <c:pt idx="80">
                  <c:v>96.31535349625598</c:v>
                </c:pt>
                <c:pt idx="81">
                  <c:v>96.390258155538589</c:v>
                </c:pt>
                <c:pt idx="82">
                  <c:v>96.468331548832467</c:v>
                </c:pt>
                <c:pt idx="83">
                  <c:v>96.54960960138942</c:v>
                </c:pt>
                <c:pt idx="84">
                  <c:v>96.634129607373453</c:v>
                </c:pt>
                <c:pt idx="85">
                  <c:v>96.721930232719984</c:v>
                </c:pt>
                <c:pt idx="86">
                  <c:v>96.813051517582636</c:v>
                </c:pt>
                <c:pt idx="87">
                  <c:v>96.907534878299728</c:v>
                </c:pt>
                <c:pt idx="88">
                  <c:v>97.005423108811499</c:v>
                </c:pt>
                <c:pt idx="89">
                  <c:v>97.106760381451508</c:v>
                </c:pt>
                <c:pt idx="90">
                  <c:v>97.211592247032513</c:v>
                </c:pt>
                <c:pt idx="91">
                  <c:v>97.319965634142164</c:v>
                </c:pt>
                <c:pt idx="92">
                  <c:v>97.43192884755608</c:v>
                </c:pt>
                <c:pt idx="93">
                  <c:v>97.54753156567385</c:v>
                </c:pt>
                <c:pt idx="94">
                  <c:v>97.666824836874298</c:v>
                </c:pt>
                <c:pt idx="95">
                  <c:v>97.789861074681923</c:v>
                </c:pt>
                <c:pt idx="96">
                  <c:v>97.916694051629506</c:v>
                </c:pt>
                <c:pt idx="97">
                  <c:v>98.047378891694976</c:v>
                </c:pt>
                <c:pt idx="98">
                  <c:v>98.181972061183856</c:v>
                </c:pt>
                <c:pt idx="99">
                  <c:v>98.32053135792124</c:v>
                </c:pt>
                <c:pt idx="100">
                  <c:v>98.463115898608621</c:v>
                </c:pt>
                <c:pt idx="101">
                  <c:v>98.609786104195948</c:v>
                </c:pt>
                <c:pt idx="102">
                  <c:v>98.760603683106567</c:v>
                </c:pt>
                <c:pt idx="103">
                  <c:v>98.915631612149497</c:v>
                </c:pt>
                <c:pt idx="104">
                  <c:v>99.074934114940334</c:v>
                </c:pt>
                <c:pt idx="105">
                  <c:v>99.23857663764683</c:v>
                </c:pt>
                <c:pt idx="106">
                  <c:v>99.406625821863472</c:v>
                </c:pt>
                <c:pt idx="107">
                  <c:v>99.579149474412077</c:v>
                </c:pt>
                <c:pt idx="108">
                  <c:v>99.756216533855337</c:v>
                </c:pt>
                <c:pt idx="109">
                  <c:v>99.937897033501201</c:v>
                </c:pt>
                <c:pt idx="110">
                  <c:v>100.12426206066606</c:v>
                </c:pt>
                <c:pt idx="111">
                  <c:v>100.31538371195609</c:v>
                </c:pt>
                <c:pt idx="112">
                  <c:v>100.5113350443165</c:v>
                </c:pt>
                <c:pt idx="113">
                  <c:v>100.71219002158935</c:v>
                </c:pt>
                <c:pt idx="114">
                  <c:v>100.91802345631126</c:v>
                </c:pt>
                <c:pt idx="115">
                  <c:v>101.12891094647532</c:v>
                </c:pt>
                <c:pt idx="116">
                  <c:v>101.34492880697144</c:v>
                </c:pt>
                <c:pt idx="117">
                  <c:v>101.56615399541388</c:v>
                </c:pt>
                <c:pt idx="118">
                  <c:v>101.792664032056</c:v>
                </c:pt>
                <c:pt idx="119">
                  <c:v>102.02453691348768</c:v>
                </c:pt>
                <c:pt idx="120">
                  <c:v>102.26185101980688</c:v>
                </c:pt>
                <c:pt idx="121">
                  <c:v>102.50468501494868</c:v>
                </c:pt>
                <c:pt idx="122">
                  <c:v>102.75311773985895</c:v>
                </c:pt>
                <c:pt idx="123">
                  <c:v>103.00722809819386</c:v>
                </c:pt>
                <c:pt idx="124">
                  <c:v>103.26709493422993</c:v>
                </c:pt>
                <c:pt idx="125">
                  <c:v>103.53279690267223</c:v>
                </c:pt>
                <c:pt idx="126">
                  <c:v>103.80441233005187</c:v>
                </c:pt>
                <c:pt idx="127">
                  <c:v>104.08201906741522</c:v>
                </c:pt>
                <c:pt idx="128">
                  <c:v>104.36569433401333</c:v>
                </c:pt>
                <c:pt idx="129">
                  <c:v>104.65551455171797</c:v>
                </c:pt>
                <c:pt idx="130">
                  <c:v>104.95155516990684</c:v>
                </c:pt>
                <c:pt idx="131">
                  <c:v>105.25389048057916</c:v>
                </c:pt>
                <c:pt idx="132">
                  <c:v>105.56259342349267</c:v>
                </c:pt>
                <c:pt idx="133">
                  <c:v>105.87773538113811</c:v>
                </c:pt>
                <c:pt idx="134">
                  <c:v>106.19938596340386</c:v>
                </c:pt>
                <c:pt idx="135">
                  <c:v>106.52761278182521</c:v>
                </c:pt>
                <c:pt idx="136">
                  <c:v>106.8624812133513</c:v>
                </c:pt>
                <c:pt idx="137">
                  <c:v>107.20405415362097</c:v>
                </c:pt>
                <c:pt idx="138">
                  <c:v>107.55239175979109</c:v>
                </c:pt>
                <c:pt idx="139">
                  <c:v>107.90755118302475</c:v>
                </c:pt>
                <c:pt idx="140">
                  <c:v>108.26958629081662</c:v>
                </c:pt>
                <c:pt idx="141">
                  <c:v>108.63854737941054</c:v>
                </c:pt>
                <c:pt idx="142">
                  <c:v>109.01448087664473</c:v>
                </c:pt>
                <c:pt idx="143">
                  <c:v>109.39742903565316</c:v>
                </c:pt>
                <c:pt idx="144">
                  <c:v>109.78742961994578</c:v>
                </c:pt>
                <c:pt idx="145">
                  <c:v>110.18451558049642</c:v>
                </c:pt>
                <c:pt idx="146">
                  <c:v>110.58871472557449</c:v>
                </c:pt>
                <c:pt idx="147">
                  <c:v>111.00004938417617</c:v>
                </c:pt>
                <c:pt idx="148">
                  <c:v>111.41853606403009</c:v>
                </c:pt>
                <c:pt idx="149">
                  <c:v>111.84418510527884</c:v>
                </c:pt>
                <c:pt idx="150">
                  <c:v>112.27700033107338</c:v>
                </c:pt>
                <c:pt idx="151">
                  <c:v>112.71697869644504</c:v>
                </c:pt>
                <c:pt idx="152">
                  <c:v>113.16410993696091</c:v>
                </c:pt>
                <c:pt idx="153">
                  <c:v>113.618376218807</c:v>
                </c:pt>
                <c:pt idx="154">
                  <c:v>114.07975179207249</c:v>
                </c:pt>
                <c:pt idx="155">
                  <c:v>114.54820264915462</c:v>
                </c:pt>
                <c:pt idx="156">
                  <c:v>115.0236861903208</c:v>
                </c:pt>
                <c:pt idx="157">
                  <c:v>115.5061508985998</c:v>
                </c:pt>
                <c:pt idx="158">
                  <c:v>115.9955360262809</c:v>
                </c:pt>
                <c:pt idx="159">
                  <c:v>116.4917712954088</c:v>
                </c:pt>
                <c:pt idx="160">
                  <c:v>116.99477661475305</c:v>
                </c:pt>
                <c:pt idx="161">
                  <c:v>117.50446181580266</c:v>
                </c:pt>
                <c:pt idx="162">
                  <c:v>118.02072641039976</c:v>
                </c:pt>
                <c:pt idx="163">
                  <c:v>118.54345937265542</c:v>
                </c:pt>
                <c:pt idx="164">
                  <c:v>119.07253894780945</c:v>
                </c:pt>
                <c:pt idx="165">
                  <c:v>119.60783249067737</c:v>
                </c:pt>
                <c:pt idx="166">
                  <c:v>120.14919633629117</c:v>
                </c:pt>
                <c:pt idx="167">
                  <c:v>120.69647570526503</c:v>
                </c:pt>
                <c:pt idx="168">
                  <c:v>121.2495046463134</c:v>
                </c:pt>
                <c:pt idx="169">
                  <c:v>121.8081060182175</c:v>
                </c:pt>
                <c:pt idx="170">
                  <c:v>122.37209151335624</c:v>
                </c:pt>
                <c:pt idx="171">
                  <c:v>122.94126172471979</c:v>
                </c:pt>
                <c:pt idx="172">
                  <c:v>123.51540625808171</c:v>
                </c:pt>
                <c:pt idx="173">
                  <c:v>124.0943038907274</c:v>
                </c:pt>
                <c:pt idx="174">
                  <c:v>124.67772277783824</c:v>
                </c:pt>
                <c:pt idx="175">
                  <c:v>125.26542070728763</c:v>
                </c:pt>
                <c:pt idx="176">
                  <c:v>125.85714540324847</c:v>
                </c:pt>
                <c:pt idx="177">
                  <c:v>126.45263487861665</c:v>
                </c:pt>
                <c:pt idx="178">
                  <c:v>127.05161783585393</c:v>
                </c:pt>
                <c:pt idx="179">
                  <c:v>127.65381411542987</c:v>
                </c:pt>
                <c:pt idx="180">
                  <c:v>128.25893519060833</c:v>
                </c:pt>
                <c:pt idx="181">
                  <c:v>128.86668470688988</c:v>
                </c:pt>
                <c:pt idx="182">
                  <c:v>129.47675906399047</c:v>
                </c:pt>
                <c:pt idx="183">
                  <c:v>130.08884803780393</c:v>
                </c:pt>
                <c:pt idx="184">
                  <c:v>130.7026354393941</c:v>
                </c:pt>
                <c:pt idx="185">
                  <c:v>131.31779980766981</c:v>
                </c:pt>
                <c:pt idx="186">
                  <c:v>131.93401513203483</c:v>
                </c:pt>
                <c:pt idx="187">
                  <c:v>132.55095160098074</c:v>
                </c:pt>
                <c:pt idx="188">
                  <c:v>133.16827637230458</c:v>
                </c:pt>
                <c:pt idx="189">
                  <c:v>133.78565436038662</c:v>
                </c:pt>
                <c:pt idx="190">
                  <c:v>134.40274903577654</c:v>
                </c:pt>
                <c:pt idx="191">
                  <c:v>135.01922323219293</c:v>
                </c:pt>
                <c:pt idx="192">
                  <c:v>135.63473995595311</c:v>
                </c:pt>
                <c:pt idx="193">
                  <c:v>136.248963192828</c:v>
                </c:pt>
                <c:pt idx="194">
                  <c:v>136.86155870733546</c:v>
                </c:pt>
                <c:pt idx="195">
                  <c:v>137.47219482958212</c:v>
                </c:pt>
                <c:pt idx="196">
                  <c:v>138.08054322489124</c:v>
                </c:pt>
                <c:pt idx="197">
                  <c:v>138.68627964165549</c:v>
                </c:pt>
                <c:pt idx="198">
                  <c:v>139.28908463309</c:v>
                </c:pt>
                <c:pt idx="199">
                  <c:v>139.88864424885051</c:v>
                </c:pt>
                <c:pt idx="200">
                  <c:v>140.48465069280303</c:v>
                </c:pt>
                <c:pt idx="201">
                  <c:v>141.07680294359568</c:v>
                </c:pt>
                <c:pt idx="202">
                  <c:v>141.66480733506779</c:v>
                </c:pt>
                <c:pt idx="203">
                  <c:v>142.2483780939472</c:v>
                </c:pt>
                <c:pt idx="204">
                  <c:v>142.82723783270006</c:v>
                </c:pt>
                <c:pt idx="205">
                  <c:v>143.40111799584605</c:v>
                </c:pt>
                <c:pt idx="206">
                  <c:v>143.96975925847465</c:v>
                </c:pt>
                <c:pt idx="207">
                  <c:v>144.53291187614127</c:v>
                </c:pt>
                <c:pt idx="208">
                  <c:v>145.09033598573208</c:v>
                </c:pt>
                <c:pt idx="209">
                  <c:v>145.64180185730791</c:v>
                </c:pt>
                <c:pt idx="210">
                  <c:v>146.18709009731299</c:v>
                </c:pt>
                <c:pt idx="211">
                  <c:v>146.72599180390506</c:v>
                </c:pt>
                <c:pt idx="212">
                  <c:v>147.25830867550002</c:v>
                </c:pt>
                <c:pt idx="213">
                  <c:v>147.78385307392398</c:v>
                </c:pt>
                <c:pt idx="214">
                  <c:v>148.30244804385057</c:v>
                </c:pt>
                <c:pt idx="215">
                  <c:v>148.81392729043094</c:v>
                </c:pt>
                <c:pt idx="216">
                  <c:v>149.31813511723954</c:v>
                </c:pt>
                <c:pt idx="217">
                  <c:v>149.81492632682114</c:v>
                </c:pt>
                <c:pt idx="218">
                  <c:v>150.30416608627206</c:v>
                </c:pt>
                <c:pt idx="219">
                  <c:v>150.78572976038325</c:v>
                </c:pt>
                <c:pt idx="220">
                  <c:v>151.25950271495174</c:v>
                </c:pt>
                <c:pt idx="221">
                  <c:v>151.7253800929067</c:v>
                </c:pt>
                <c:pt idx="222">
                  <c:v>152.18326656590895</c:v>
                </c:pt>
                <c:pt idx="223">
                  <c:v>152.63307606407247</c:v>
                </c:pt>
                <c:pt idx="224">
                  <c:v>153.07473148642137</c:v>
                </c:pt>
                <c:pt idx="225">
                  <c:v>153.5081643946383</c:v>
                </c:pt>
                <c:pt idx="226">
                  <c:v>153.93331469258132</c:v>
                </c:pt>
                <c:pt idx="227">
                  <c:v>154.3501302939666</c:v>
                </c:pt>
                <c:pt idx="228">
                  <c:v>154.75856678049519</c:v>
                </c:pt>
                <c:pt idx="229">
                  <c:v>155.158587052602</c:v>
                </c:pt>
                <c:pt idx="230">
                  <c:v>155.5501609748689</c:v>
                </c:pt>
                <c:pt idx="231">
                  <c:v>155.93326501802591</c:v>
                </c:pt>
                <c:pt idx="232">
                  <c:v>156.3078818993198</c:v>
                </c:pt>
                <c:pt idx="233">
                  <c:v>156.67400022290235</c:v>
                </c:pt>
                <c:pt idx="234">
                  <c:v>157.03161412174765</c:v>
                </c:pt>
                <c:pt idx="235">
                  <c:v>157.38072290247462</c:v>
                </c:pt>
                <c:pt idx="236">
                  <c:v>157.72133069431561</c:v>
                </c:pt>
                <c:pt idx="237">
                  <c:v>158.05344610334546</c:v>
                </c:pt>
                <c:pt idx="238">
                  <c:v>158.3770818729505</c:v>
                </c:pt>
                <c:pt idx="239">
                  <c:v>158.69225455140634</c:v>
                </c:pt>
                <c:pt idx="240">
                  <c:v>158.99898416730997</c:v>
                </c:pt>
                <c:pt idx="241">
                  <c:v>159.2972939135056</c:v>
                </c:pt>
                <c:pt idx="242">
                  <c:v>159.58720984004106</c:v>
                </c:pt>
                <c:pt idx="243">
                  <c:v>159.8687605565938</c:v>
                </c:pt>
                <c:pt idx="244">
                  <c:v>160.14197694471875</c:v>
                </c:pt>
                <c:pt idx="245">
                  <c:v>160.40689188018536</c:v>
                </c:pt>
                <c:pt idx="246">
                  <c:v>160.66353996559917</c:v>
                </c:pt>
                <c:pt idx="247">
                  <c:v>160.91195727343154</c:v>
                </c:pt>
                <c:pt idx="248">
                  <c:v>161.15218109952318</c:v>
                </c:pt>
                <c:pt idx="249">
                  <c:v>161.38424972706545</c:v>
                </c:pt>
                <c:pt idx="250">
                  <c:v>161.60820220102426</c:v>
                </c:pt>
                <c:pt idx="251">
                  <c:v>161.82407811291449</c:v>
                </c:pt>
                <c:pt idx="252">
                  <c:v>162.03191739581069</c:v>
                </c:pt>
                <c:pt idx="253">
                  <c:v>162.23176012943111</c:v>
                </c:pt>
                <c:pt idx="254">
                  <c:v>162.42364635511868</c:v>
                </c:pt>
                <c:pt idx="255">
                  <c:v>162.60761590050996</c:v>
                </c:pt>
                <c:pt idx="256">
                  <c:v>162.78370821366835</c:v>
                </c:pt>
                <c:pt idx="257">
                  <c:v>162.95196220644303</c:v>
                </c:pt>
                <c:pt idx="258">
                  <c:v>163.11241610680116</c:v>
                </c:pt>
                <c:pt idx="259">
                  <c:v>163.26510731987764</c:v>
                </c:pt>
                <c:pt idx="260">
                  <c:v>163.41007229747638</c:v>
                </c:pt>
                <c:pt idx="261">
                  <c:v>163.54734641575871</c:v>
                </c:pt>
                <c:pt idx="262">
                  <c:v>163.67696386085487</c:v>
                </c:pt>
                <c:pt idx="263">
                  <c:v>163.79895752213295</c:v>
                </c:pt>
                <c:pt idx="264">
                  <c:v>163.91335889287012</c:v>
                </c:pt>
                <c:pt idx="265">
                  <c:v>164.02019797807304</c:v>
                </c:pt>
                <c:pt idx="266">
                  <c:v>164.1195032092032</c:v>
                </c:pt>
                <c:pt idx="267">
                  <c:v>164.21130136557389</c:v>
                </c:pt>
                <c:pt idx="268">
                  <c:v>164.29561750219474</c:v>
                </c:pt>
                <c:pt idx="269">
                  <c:v>164.37247488384926</c:v>
                </c:pt>
                <c:pt idx="270">
                  <c:v>164.44189492521079</c:v>
                </c:pt>
                <c:pt idx="271">
                  <c:v>164.50389713680488</c:v>
                </c:pt>
                <c:pt idx="272">
                  <c:v>164.55849907665123</c:v>
                </c:pt>
                <c:pt idx="273">
                  <c:v>164.60571630742484</c:v>
                </c:pt>
                <c:pt idx="274">
                  <c:v>164.64556235899644</c:v>
                </c:pt>
                <c:pt idx="275">
                  <c:v>164.67804869622503</c:v>
                </c:pt>
                <c:pt idx="276">
                  <c:v>164.70318469189343</c:v>
                </c:pt>
                <c:pt idx="277">
                  <c:v>164.72097760469364</c:v>
                </c:pt>
                <c:pt idx="278">
                  <c:v>164.73143256218441</c:v>
                </c:pt>
                <c:pt idx="279">
                  <c:v>164.73455254866212</c:v>
                </c:pt>
                <c:pt idx="280">
                  <c:v>164.73033839790295</c:v>
                </c:pt>
                <c:pt idx="281">
                  <c:v>164.71878879074762</c:v>
                </c:pt>
                <c:pt idx="282">
                  <c:v>164.6999002575256</c:v>
                </c:pt>
                <c:pt idx="283">
                  <c:v>164.6736671853223</c:v>
                </c:pt>
                <c:pt idx="284">
                  <c:v>164.64008183011981</c:v>
                </c:pt>
                <c:pt idx="285">
                  <c:v>164.59913433385097</c:v>
                </c:pt>
                <c:pt idx="286">
                  <c:v>164.55081274643072</c:v>
                </c:pt>
                <c:pt idx="287">
                  <c:v>164.49510305283781</c:v>
                </c:pt>
                <c:pt idx="288">
                  <c:v>164.43198920534502</c:v>
                </c:pt>
                <c:pt idx="289">
                  <c:v>164.36145316100539</c:v>
                </c:pt>
                <c:pt idx="290">
                  <c:v>164.28347492452201</c:v>
                </c:pt>
                <c:pt idx="291">
                  <c:v>164.19803259664445</c:v>
                </c:pt>
                <c:pt idx="292">
                  <c:v>164.10510242824776</c:v>
                </c:pt>
                <c:pt idx="293">
                  <c:v>164.00465888026778</c:v>
                </c:pt>
                <c:pt idx="294">
                  <c:v>163.89667468967909</c:v>
                </c:pt>
                <c:pt idx="295">
                  <c:v>163.78112094171553</c:v>
                </c:pt>
                <c:pt idx="296">
                  <c:v>163.65796714854486</c:v>
                </c:pt>
                <c:pt idx="297">
                  <c:v>163.52718133462434</c:v>
                </c:pt>
                <c:pt idx="298">
                  <c:v>163.38873012896886</c:v>
                </c:pt>
                <c:pt idx="299">
                  <c:v>163.24257886457872</c:v>
                </c:pt>
                <c:pt idx="300">
                  <c:v>163.08869168527647</c:v>
                </c:pt>
                <c:pt idx="301">
                  <c:v>162.92703166021221</c:v>
                </c:pt>
                <c:pt idx="302">
                  <c:v>162.75756090630153</c:v>
                </c:pt>
                <c:pt idx="303">
                  <c:v>162.58024071885725</c:v>
                </c:pt>
                <c:pt idx="304">
                  <c:v>162.39503171068529</c:v>
                </c:pt>
                <c:pt idx="305">
                  <c:v>162.20189395990377</c:v>
                </c:pt>
                <c:pt idx="306">
                  <c:v>162.00078716674548</c:v>
                </c:pt>
                <c:pt idx="307">
                  <c:v>161.79167081959315</c:v>
                </c:pt>
                <c:pt idx="308">
                  <c:v>161.57450437048752</c:v>
                </c:pt>
                <c:pt idx="309">
                  <c:v>161.34924742032749</c:v>
                </c:pt>
                <c:pt idx="310">
                  <c:v>161.11585991397433</c:v>
                </c:pt>
                <c:pt idx="311">
                  <c:v>160.87430234543351</c:v>
                </c:pt>
                <c:pt idx="312">
                  <c:v>160.6245359732732</c:v>
                </c:pt>
                <c:pt idx="313">
                  <c:v>160.36652304639773</c:v>
                </c:pt>
                <c:pt idx="314">
                  <c:v>160.10022704025991</c:v>
                </c:pt>
                <c:pt idx="315">
                  <c:v>159.82561290355051</c:v>
                </c:pt>
                <c:pt idx="316">
                  <c:v>159.54264731535389</c:v>
                </c:pt>
                <c:pt idx="317">
                  <c:v>159.25129895270661</c:v>
                </c:pt>
                <c:pt idx="318">
                  <c:v>158.95153876842716</c:v>
                </c:pt>
                <c:pt idx="319">
                  <c:v>158.64334027902251</c:v>
                </c:pt>
                <c:pt idx="320">
                  <c:v>158.32667986239855</c:v>
                </c:pt>
                <c:pt idx="321">
                  <c:v>158.00153706501791</c:v>
                </c:pt>
                <c:pt idx="322">
                  <c:v>157.66789491806463</c:v>
                </c:pt>
                <c:pt idx="323">
                  <c:v>157.32574026206998</c:v>
                </c:pt>
                <c:pt idx="324">
                  <c:v>156.97506407936135</c:v>
                </c:pt>
                <c:pt idx="325">
                  <c:v>156.6158618335771</c:v>
                </c:pt>
                <c:pt idx="326">
                  <c:v>156.24813381537842</c:v>
                </c:pt>
                <c:pt idx="327">
                  <c:v>155.87188549337171</c:v>
                </c:pt>
                <c:pt idx="328">
                  <c:v>155.48712786911955</c:v>
                </c:pt>
                <c:pt idx="329">
                  <c:v>155.09387783499642</c:v>
                </c:pt>
                <c:pt idx="330">
                  <c:v>154.69215853350502</c:v>
                </c:pt>
                <c:pt idx="331">
                  <c:v>154.28199971653879</c:v>
                </c:pt>
                <c:pt idx="332">
                  <c:v>153.86343810293306</c:v>
                </c:pt>
                <c:pt idx="333">
                  <c:v>153.43651773251565</c:v>
                </c:pt>
                <c:pt idx="334">
                  <c:v>153.00129031473455</c:v>
                </c:pt>
                <c:pt idx="335">
                  <c:v>152.55781556980622</c:v>
                </c:pt>
                <c:pt idx="336">
                  <c:v>152.10616156020899</c:v>
                </c:pt>
                <c:pt idx="337">
                  <c:v>151.64640501023138</c:v>
                </c:pt>
                <c:pt idx="338">
                  <c:v>151.17863161118174</c:v>
                </c:pt>
                <c:pt idx="339">
                  <c:v>150.70293630977068</c:v>
                </c:pt>
                <c:pt idx="340">
                  <c:v>150.21942357711075</c:v>
                </c:pt>
                <c:pt idx="341">
                  <c:v>149.72820765571856</c:v>
                </c:pt>
                <c:pt idx="342">
                  <c:v>149.2294127818684</c:v>
                </c:pt>
                <c:pt idx="343">
                  <c:v>148.72317338063817</c:v>
                </c:pt>
                <c:pt idx="344">
                  <c:v>148.20963423100218</c:v>
                </c:pt>
                <c:pt idx="345">
                  <c:v>147.68895059836845</c:v>
                </c:pt>
                <c:pt idx="346">
                  <c:v>147.16128833203396</c:v>
                </c:pt>
                <c:pt idx="347">
                  <c:v>146.62682392513062</c:v>
                </c:pt>
                <c:pt idx="348">
                  <c:v>146.08574453478516</c:v>
                </c:pt>
                <c:pt idx="349">
                  <c:v>145.53824796037401</c:v>
                </c:pt>
                <c:pt idx="350">
                  <c:v>144.98454257797681</c:v>
                </c:pt>
                <c:pt idx="351">
                  <c:v>144.42484722936325</c:v>
                </c:pt>
                <c:pt idx="352">
                  <c:v>143.85939106412923</c:v>
                </c:pt>
                <c:pt idx="353">
                  <c:v>143.28841333390625</c:v>
                </c:pt>
                <c:pt idx="354">
                  <c:v>142.71216313789805</c:v>
                </c:pt>
                <c:pt idx="355">
                  <c:v>142.13089911938013</c:v>
                </c:pt>
                <c:pt idx="356">
                  <c:v>141.54488911316204</c:v>
                </c:pt>
                <c:pt idx="357">
                  <c:v>140.95440974444864</c:v>
                </c:pt>
                <c:pt idx="358">
                  <c:v>140.35974597993243</c:v>
                </c:pt>
                <c:pt idx="359">
                  <c:v>139.76119063240188</c:v>
                </c:pt>
                <c:pt idx="360">
                  <c:v>139.15904382057715</c:v>
                </c:pt>
                <c:pt idx="361">
                  <c:v>138.55361238631696</c:v>
                </c:pt>
                <c:pt idx="362">
                  <c:v>137.94520927177021</c:v>
                </c:pt>
                <c:pt idx="363">
                  <c:v>137.33415285945256</c:v>
                </c:pt>
                <c:pt idx="364">
                  <c:v>136.7207662786123</c:v>
                </c:pt>
                <c:pt idx="365">
                  <c:v>136.10537668161305</c:v>
                </c:pt>
                <c:pt idx="366">
                  <c:v>135.48831449438285</c:v>
                </c:pt>
                <c:pt idx="367">
                  <c:v>134.86991264526387</c:v>
                </c:pt>
                <c:pt idx="368">
                  <c:v>134.25050577683413</c:v>
                </c:pt>
                <c:pt idx="369">
                  <c:v>133.63042944546748</c:v>
                </c:pt>
                <c:pt idx="370">
                  <c:v>133.01001931353076</c:v>
                </c:pt>
                <c:pt idx="371">
                  <c:v>132.38961033920248</c:v>
                </c:pt>
                <c:pt idx="372">
                  <c:v>131.76953596892048</c:v>
                </c:pt>
                <c:pt idx="373">
                  <c:v>131.15012733743768</c:v>
                </c:pt>
                <c:pt idx="374">
                  <c:v>130.53171248037566</c:v>
                </c:pt>
                <c:pt idx="375">
                  <c:v>129.91461556401879</c:v>
                </c:pt>
                <c:pt idx="376">
                  <c:v>129.29915613691026</c:v>
                </c:pt>
                <c:pt idx="377">
                  <c:v>128.68564840754482</c:v>
                </c:pt>
                <c:pt idx="378">
                  <c:v>128.07440055218763</c:v>
                </c:pt>
                <c:pt idx="379">
                  <c:v>127.46571405650693</c:v>
                </c:pt>
                <c:pt idx="380">
                  <c:v>126.85988309434926</c:v>
                </c:pt>
                <c:pt idx="381">
                  <c:v>126.25719394659914</c:v>
                </c:pt>
                <c:pt idx="382">
                  <c:v>125.6579244626503</c:v>
                </c:pt>
                <c:pt idx="383">
                  <c:v>125.06234356659596</c:v>
                </c:pt>
                <c:pt idx="384">
                  <c:v>124.4707108098026</c:v>
                </c:pt>
                <c:pt idx="385">
                  <c:v>123.88327597110552</c:v>
                </c:pt>
                <c:pt idx="386">
                  <c:v>123.30027870542511</c:v>
                </c:pt>
                <c:pt idx="387">
                  <c:v>122.72194824118738</c:v>
                </c:pt>
                <c:pt idx="388">
                  <c:v>122.14850312651858</c:v>
                </c:pt>
                <c:pt idx="389">
                  <c:v>121.580151023805</c:v>
                </c:pt>
                <c:pt idx="390">
                  <c:v>121.01708855184191</c:v>
                </c:pt>
                <c:pt idx="391">
                  <c:v>120.45950117446075</c:v>
                </c:pt>
                <c:pt idx="392">
                  <c:v>119.90756313422192</c:v>
                </c:pt>
                <c:pt idx="393">
                  <c:v>119.36143742948488</c:v>
                </c:pt>
                <c:pt idx="394">
                  <c:v>118.82127583293101</c:v>
                </c:pt>
                <c:pt idx="395">
                  <c:v>118.28721894941037</c:v>
                </c:pt>
                <c:pt idx="396">
                  <c:v>117.75939631081148</c:v>
                </c:pt>
                <c:pt idx="397">
                  <c:v>117.23792650552073</c:v>
                </c:pt>
                <c:pt idx="398">
                  <c:v>116.72291733993475</c:v>
                </c:pt>
                <c:pt idx="399">
                  <c:v>116.21446602941761</c:v>
                </c:pt>
                <c:pt idx="400">
                  <c:v>115.71265941605591</c:v>
                </c:pt>
                <c:pt idx="401">
                  <c:v>115.2175742105522</c:v>
                </c:pt>
                <c:pt idx="402">
                  <c:v>114.72927725561011</c:v>
                </c:pt>
                <c:pt idx="403">
                  <c:v>114.24782580820212</c:v>
                </c:pt>
                <c:pt idx="404">
                  <c:v>113.77326783816956</c:v>
                </c:pt>
                <c:pt idx="405">
                  <c:v>113.30564234067882</c:v>
                </c:pt>
                <c:pt idx="406">
                  <c:v>112.84497966015161</c:v>
                </c:pt>
                <c:pt idx="407">
                  <c:v>112.39130182338916</c:v>
                </c:pt>
                <c:pt idx="408">
                  <c:v>111.94462287973103</c:v>
                </c:pt>
                <c:pt idx="409">
                  <c:v>111.50494924620698</c:v>
                </c:pt>
                <c:pt idx="410">
                  <c:v>111.07228005577598</c:v>
                </c:pt>
                <c:pt idx="411">
                  <c:v>110.64660750687753</c:v>
                </c:pt>
                <c:pt idx="412">
                  <c:v>110.2279172126588</c:v>
                </c:pt>
                <c:pt idx="413">
                  <c:v>109.81618854837771</c:v>
                </c:pt>
                <c:pt idx="414">
                  <c:v>109.41139499561841</c:v>
                </c:pt>
                <c:pt idx="415">
                  <c:v>109.01350448209104</c:v>
                </c:pt>
                <c:pt idx="416">
                  <c:v>108.62247971591623</c:v>
                </c:pt>
                <c:pt idx="417">
                  <c:v>108.23827851342521</c:v>
                </c:pt>
                <c:pt idx="418">
                  <c:v>107.86085411962117</c:v>
                </c:pt>
                <c:pt idx="419">
                  <c:v>107.49015552057492</c:v>
                </c:pt>
                <c:pt idx="420">
                  <c:v>107.12612774712341</c:v>
                </c:pt>
                <c:pt idx="421">
                  <c:v>106.76871216935514</c:v>
                </c:pt>
                <c:pt idx="422">
                  <c:v>106.41784678145726</c:v>
                </c:pt>
                <c:pt idx="423">
                  <c:v>106.07346647658925</c:v>
                </c:pt>
                <c:pt idx="424">
                  <c:v>105.73550331153068</c:v>
                </c:pt>
                <c:pt idx="425">
                  <c:v>105.40388676093114</c:v>
                </c:pt>
                <c:pt idx="426">
                  <c:v>105.07854396105182</c:v>
                </c:pt>
                <c:pt idx="427">
                  <c:v>104.75939994295845</c:v>
                </c:pt>
                <c:pt idx="428">
                  <c:v>104.44637785517763</c:v>
                </c:pt>
                <c:pt idx="429">
                  <c:v>104.13939917588003</c:v>
                </c:pt>
                <c:pt idx="430">
                  <c:v>103.83838391469996</c:v>
                </c:pt>
                <c:pt idx="431">
                  <c:v>103.54325080433763</c:v>
                </c:pt>
                <c:pt idx="432">
                  <c:v>103.25391748212698</c:v>
                </c:pt>
                <c:pt idx="433">
                  <c:v>102.97030066178051</c:v>
                </c:pt>
                <c:pt idx="434">
                  <c:v>102.69231629554629</c:v>
                </c:pt>
                <c:pt idx="435">
                  <c:v>102.4198797270363</c:v>
                </c:pt>
                <c:pt idx="436">
                  <c:v>102.15290583499849</c:v>
                </c:pt>
                <c:pt idx="437">
                  <c:v>101.89130916832133</c:v>
                </c:pt>
                <c:pt idx="438">
                  <c:v>101.63500407257074</c:v>
                </c:pt>
                <c:pt idx="439">
                  <c:v>101.38390480836307</c:v>
                </c:pt>
                <c:pt idx="440">
                  <c:v>101.13792566188786</c:v>
                </c:pt>
                <c:pt idx="441">
                  <c:v>100.89698104789355</c:v>
                </c:pt>
                <c:pt idx="442">
                  <c:v>100.66098560545147</c:v>
                </c:pt>
                <c:pt idx="443">
                  <c:v>100.42985428681344</c:v>
                </c:pt>
                <c:pt idx="444">
                  <c:v>100.20350243967212</c:v>
                </c:pt>
                <c:pt idx="445">
                  <c:v>99.98184588313616</c:v>
                </c:pt>
                <c:pt idx="446">
                  <c:v>99.764800977718565</c:v>
                </c:pt>
                <c:pt idx="447">
                  <c:v>99.552284689638867</c:v>
                </c:pt>
                <c:pt idx="448">
                  <c:v>99.344214649726908</c:v>
                </c:pt>
                <c:pt idx="449">
                  <c:v>99.140509207212105</c:v>
                </c:pt>
                <c:pt idx="450">
                  <c:v>98.941087478671548</c:v>
                </c:pt>
                <c:pt idx="451">
                  <c:v>98.745869392403961</c:v>
                </c:pt>
                <c:pt idx="452">
                  <c:v>98.554775728485367</c:v>
                </c:pt>
                <c:pt idx="453">
                  <c:v>98.367728154755525</c:v>
                </c:pt>
                <c:pt idx="454">
                  <c:v>98.184649258972414</c:v>
                </c:pt>
                <c:pt idx="455">
                  <c:v>98.005462577365378</c:v>
                </c:pt>
                <c:pt idx="456">
                  <c:v>97.830092619805626</c:v>
                </c:pt>
                <c:pt idx="457">
                  <c:v>97.658464891804712</c:v>
                </c:pt>
                <c:pt idx="458">
                  <c:v>97.490505913542776</c:v>
                </c:pt>
                <c:pt idx="459">
                  <c:v>97.326143236117744</c:v>
                </c:pt>
                <c:pt idx="460">
                  <c:v>97.165305455198677</c:v>
                </c:pt>
                <c:pt idx="461">
                  <c:v>97.007922222257676</c:v>
                </c:pt>
                <c:pt idx="462">
                  <c:v>96.853924253545287</c:v>
                </c:pt>
                <c:pt idx="463">
                  <c:v>96.703243336967304</c:v>
                </c:pt>
                <c:pt idx="464">
                  <c:v>96.555812337011105</c:v>
                </c:pt>
                <c:pt idx="465">
                  <c:v>96.411565197863297</c:v>
                </c:pt>
                <c:pt idx="466">
                  <c:v>96.270436944852165</c:v>
                </c:pt>
                <c:pt idx="467">
                  <c:v>96.132363684340376</c:v>
                </c:pt>
                <c:pt idx="468">
                  <c:v>95.99728260218852</c:v>
                </c:pt>
                <c:pt idx="469">
                  <c:v>95.865131960900243</c:v>
                </c:pt>
                <c:pt idx="470">
                  <c:v>95.735851095556228</c:v>
                </c:pt>
                <c:pt idx="471">
                  <c:v>95.609380408636042</c:v>
                </c:pt>
                <c:pt idx="472">
                  <c:v>95.485661363822032</c:v>
                </c:pt>
                <c:pt idx="473">
                  <c:v>95.364636478872598</c:v>
                </c:pt>
                <c:pt idx="474">
                  <c:v>95.246249317649145</c:v>
                </c:pt>
                <c:pt idx="475">
                  <c:v>95.130444481372436</c:v>
                </c:pt>
                <c:pt idx="476">
                  <c:v>95.01716759918277</c:v>
                </c:pt>
                <c:pt idx="477">
                  <c:v>94.906365318070939</c:v>
                </c:pt>
                <c:pt idx="478">
                  <c:v>94.797985292244334</c:v>
                </c:pt>
                <c:pt idx="479">
                  <c:v>94.691976171987619</c:v>
                </c:pt>
                <c:pt idx="480">
                  <c:v>94.588287592073399</c:v>
                </c:pt>
                <c:pt idx="481">
                  <c:v>94.486870159775037</c:v>
                </c:pt>
                <c:pt idx="482">
                  <c:v>94.387675442529726</c:v>
                </c:pt>
                <c:pt idx="483">
                  <c:v>94.290655955297368</c:v>
                </c:pt>
                <c:pt idx="484">
                  <c:v>94.195765147656417</c:v>
                </c:pt>
                <c:pt idx="485">
                  <c:v>94.102957390676337</c:v>
                </c:pt>
                <c:pt idx="486">
                  <c:v>94.0121879636025</c:v>
                </c:pt>
                <c:pt idx="487">
                  <c:v>93.92341304038699</c:v>
                </c:pt>
                <c:pt idx="488">
                  <c:v>93.836589676096622</c:v>
                </c:pt>
                <c:pt idx="489">
                  <c:v>93.751675793226838</c:v>
                </c:pt>
                <c:pt idx="490">
                  <c:v>93.66863016794791</c:v>
                </c:pt>
                <c:pt idx="491">
                  <c:v>93.587412416308055</c:v>
                </c:pt>
                <c:pt idx="492">
                  <c:v>93.507982980416287</c:v>
                </c:pt>
                <c:pt idx="493">
                  <c:v>93.430303114625275</c:v>
                </c:pt>
                <c:pt idx="494">
                  <c:v>93.354334871733968</c:v>
                </c:pt>
                <c:pt idx="495">
                  <c:v>93.280041089226913</c:v>
                </c:pt>
                <c:pt idx="496">
                  <c:v>93.207385375566673</c:v>
                </c:pt>
                <c:pt idx="497">
                  <c:v>93.136332096553986</c:v>
                </c:pt>
                <c:pt idx="498">
                  <c:v>93.066846361768739</c:v>
                </c:pt>
                <c:pt idx="499">
                  <c:v>92.99889401110444</c:v>
                </c:pt>
                <c:pt idx="500">
                  <c:v>92.932441601406609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41-4D19-9DBC-690DDB1D00CA}"/>
            </c:ext>
          </c:extLst>
        </c:ser>
        <c:ser>
          <c:idx val="1"/>
          <c:order val="7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Signal'!$K$511:$K$612</c:f>
              <c:numCache>
                <c:formatCode>General</c:formatCode>
                <c:ptCount val="102"/>
                <c:pt idx="0">
                  <c:v>174.03</c:v>
                </c:pt>
                <c:pt idx="1">
                  <c:v>10.471</c:v>
                </c:pt>
                <c:pt idx="2">
                  <c:v>156.11000000000001</c:v>
                </c:pt>
                <c:pt idx="3">
                  <c:v>-168.2</c:v>
                </c:pt>
                <c:pt idx="4">
                  <c:v>173.51</c:v>
                </c:pt>
                <c:pt idx="5">
                  <c:v>139.72999999999999</c:v>
                </c:pt>
                <c:pt idx="6">
                  <c:v>136.25</c:v>
                </c:pt>
                <c:pt idx="7">
                  <c:v>127.18</c:v>
                </c:pt>
                <c:pt idx="8">
                  <c:v>123.47</c:v>
                </c:pt>
                <c:pt idx="9">
                  <c:v>118.43</c:v>
                </c:pt>
                <c:pt idx="10">
                  <c:v>113.19</c:v>
                </c:pt>
                <c:pt idx="11">
                  <c:v>107.02</c:v>
                </c:pt>
                <c:pt idx="12">
                  <c:v>106.26</c:v>
                </c:pt>
                <c:pt idx="13">
                  <c:v>104.03</c:v>
                </c:pt>
                <c:pt idx="14">
                  <c:v>103.26</c:v>
                </c:pt>
                <c:pt idx="15">
                  <c:v>103.39</c:v>
                </c:pt>
                <c:pt idx="16">
                  <c:v>103.34</c:v>
                </c:pt>
                <c:pt idx="17">
                  <c:v>104.35</c:v>
                </c:pt>
                <c:pt idx="18">
                  <c:v>105.57</c:v>
                </c:pt>
                <c:pt idx="19">
                  <c:v>106.78</c:v>
                </c:pt>
                <c:pt idx="20">
                  <c:v>106.81</c:v>
                </c:pt>
                <c:pt idx="21">
                  <c:v>105.07</c:v>
                </c:pt>
                <c:pt idx="22">
                  <c:v>101.35</c:v>
                </c:pt>
                <c:pt idx="23">
                  <c:v>96.534999999999997</c:v>
                </c:pt>
                <c:pt idx="24">
                  <c:v>92.039000000000001</c:v>
                </c:pt>
                <c:pt idx="25">
                  <c:v>88.516999999999996</c:v>
                </c:pt>
                <c:pt idx="26">
                  <c:v>85.623999999999995</c:v>
                </c:pt>
                <c:pt idx="27">
                  <c:v>83.033000000000001</c:v>
                </c:pt>
                <c:pt idx="28">
                  <c:v>80.275000000000006</c:v>
                </c:pt>
                <c:pt idx="29">
                  <c:v>77.093000000000004</c:v>
                </c:pt>
                <c:pt idx="30">
                  <c:v>73.228999999999999</c:v>
                </c:pt>
                <c:pt idx="31">
                  <c:v>68.453999999999994</c:v>
                </c:pt>
                <c:pt idx="32">
                  <c:v>63.189</c:v>
                </c:pt>
                <c:pt idx="33">
                  <c:v>56.701000000000001</c:v>
                </c:pt>
                <c:pt idx="34">
                  <c:v>48.667000000000002</c:v>
                </c:pt>
                <c:pt idx="35">
                  <c:v>39.034999999999997</c:v>
                </c:pt>
                <c:pt idx="36">
                  <c:v>27.765000000000001</c:v>
                </c:pt>
                <c:pt idx="37">
                  <c:v>15.042999999999999</c:v>
                </c:pt>
                <c:pt idx="38">
                  <c:v>-1.2692000000000001</c:v>
                </c:pt>
                <c:pt idx="39">
                  <c:v>-16.631</c:v>
                </c:pt>
                <c:pt idx="40">
                  <c:v>-32.988999999999997</c:v>
                </c:pt>
                <c:pt idx="41">
                  <c:v>-50.472999999999999</c:v>
                </c:pt>
                <c:pt idx="42">
                  <c:v>-69.144000000000005</c:v>
                </c:pt>
                <c:pt idx="43">
                  <c:v>-89.822000000000003</c:v>
                </c:pt>
                <c:pt idx="44">
                  <c:v>-113.72</c:v>
                </c:pt>
                <c:pt idx="45">
                  <c:v>-145.29</c:v>
                </c:pt>
                <c:pt idx="46">
                  <c:v>176.66</c:v>
                </c:pt>
                <c:pt idx="47">
                  <c:v>-165.65</c:v>
                </c:pt>
                <c:pt idx="48">
                  <c:v>-88.369</c:v>
                </c:pt>
                <c:pt idx="49">
                  <c:v>-95.198999999999998</c:v>
                </c:pt>
                <c:pt idx="50">
                  <c:v>-97.18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41-4D19-9DBC-690DDB1D00CA}"/>
            </c:ext>
          </c:extLst>
        </c:ser>
        <c:ser>
          <c:idx val="9"/>
          <c:order val="9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Signal'!$O$511:$O$612</c:f>
              <c:numCache>
                <c:formatCode>General</c:formatCode>
                <c:ptCount val="102"/>
                <c:pt idx="0">
                  <c:v>0.85629999999999995</c:v>
                </c:pt>
                <c:pt idx="1">
                  <c:v>0.83806000000000003</c:v>
                </c:pt>
                <c:pt idx="2">
                  <c:v>-1.2109000000000001</c:v>
                </c:pt>
                <c:pt idx="3">
                  <c:v>-0.48448999999999998</c:v>
                </c:pt>
                <c:pt idx="4">
                  <c:v>-0.98385999999999996</c:v>
                </c:pt>
                <c:pt idx="5">
                  <c:v>0.32150000000000001</c:v>
                </c:pt>
                <c:pt idx="6">
                  <c:v>-0.60572000000000004</c:v>
                </c:pt>
                <c:pt idx="7">
                  <c:v>-1.2511000000000001</c:v>
                </c:pt>
                <c:pt idx="8">
                  <c:v>-0.94950999999999997</c:v>
                </c:pt>
                <c:pt idx="9">
                  <c:v>-1.4977</c:v>
                </c:pt>
                <c:pt idx="10">
                  <c:v>-2.1703000000000001</c:v>
                </c:pt>
                <c:pt idx="11">
                  <c:v>-2.3035999999999999</c:v>
                </c:pt>
                <c:pt idx="12">
                  <c:v>-3.1655000000000002</c:v>
                </c:pt>
                <c:pt idx="13">
                  <c:v>-3.6356999999999999</c:v>
                </c:pt>
                <c:pt idx="14">
                  <c:v>-4.6921999999999997</c:v>
                </c:pt>
                <c:pt idx="15">
                  <c:v>-5.5035999999999996</c:v>
                </c:pt>
                <c:pt idx="16">
                  <c:v>-6.8949999999999996</c:v>
                </c:pt>
                <c:pt idx="17">
                  <c:v>-8.4138999999999999</c:v>
                </c:pt>
                <c:pt idx="18">
                  <c:v>-10.231999999999999</c:v>
                </c:pt>
                <c:pt idx="19">
                  <c:v>-13.294</c:v>
                </c:pt>
                <c:pt idx="20">
                  <c:v>-18.077000000000002</c:v>
                </c:pt>
                <c:pt idx="21">
                  <c:v>-25.614000000000001</c:v>
                </c:pt>
                <c:pt idx="22">
                  <c:v>-35.216999999999999</c:v>
                </c:pt>
                <c:pt idx="23">
                  <c:v>-46.118000000000002</c:v>
                </c:pt>
                <c:pt idx="24">
                  <c:v>-56.924999999999997</c:v>
                </c:pt>
                <c:pt idx="25">
                  <c:v>-65.897000000000006</c:v>
                </c:pt>
                <c:pt idx="26">
                  <c:v>-73.241</c:v>
                </c:pt>
                <c:pt idx="27">
                  <c:v>-79.396000000000001</c:v>
                </c:pt>
                <c:pt idx="28">
                  <c:v>-84.641000000000005</c:v>
                </c:pt>
                <c:pt idx="29">
                  <c:v>-89.700999999999993</c:v>
                </c:pt>
                <c:pt idx="30">
                  <c:v>-94.709000000000003</c:v>
                </c:pt>
                <c:pt idx="31">
                  <c:v>-99.733000000000004</c:v>
                </c:pt>
                <c:pt idx="32">
                  <c:v>-105.45</c:v>
                </c:pt>
                <c:pt idx="33">
                  <c:v>-111.88</c:v>
                </c:pt>
                <c:pt idx="34">
                  <c:v>-118.42</c:v>
                </c:pt>
                <c:pt idx="35">
                  <c:v>-126.06</c:v>
                </c:pt>
                <c:pt idx="36">
                  <c:v>-133.94999999999999</c:v>
                </c:pt>
                <c:pt idx="37">
                  <c:v>-142.86000000000001</c:v>
                </c:pt>
                <c:pt idx="38">
                  <c:v>-151.83000000000001</c:v>
                </c:pt>
                <c:pt idx="39">
                  <c:v>-161.02000000000001</c:v>
                </c:pt>
                <c:pt idx="40">
                  <c:v>-169.62</c:v>
                </c:pt>
                <c:pt idx="41">
                  <c:v>-179.77</c:v>
                </c:pt>
                <c:pt idx="42">
                  <c:v>169.67</c:v>
                </c:pt>
                <c:pt idx="43">
                  <c:v>156.46</c:v>
                </c:pt>
                <c:pt idx="44">
                  <c:v>139.71</c:v>
                </c:pt>
                <c:pt idx="45">
                  <c:v>112.86</c:v>
                </c:pt>
                <c:pt idx="46">
                  <c:v>73.507000000000005</c:v>
                </c:pt>
                <c:pt idx="47">
                  <c:v>30.117999999999999</c:v>
                </c:pt>
                <c:pt idx="48">
                  <c:v>-3.9874999999999998</c:v>
                </c:pt>
                <c:pt idx="49">
                  <c:v>159.97</c:v>
                </c:pt>
                <c:pt idx="50">
                  <c:v>91.450999999999993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41-4D19-9DBC-690DDB1D00CA}"/>
            </c:ext>
          </c:extLst>
        </c:ser>
        <c:ser>
          <c:idx val="11"/>
          <c:order val="11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Signal'!$S$511:$S$612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696288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96288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40847-69AC-4C07-967A-A58690C9A8F4}">
  <sheetPr/>
  <sheetViews>
    <sheetView zoomScale="120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19</xdr:row>
          <xdr:rowOff>9525</xdr:rowOff>
        </xdr:from>
        <xdr:to>
          <xdr:col>7</xdr:col>
          <xdr:colOff>6477000</xdr:colOff>
          <xdr:row>38</xdr:row>
          <xdr:rowOff>209550</xdr:rowOff>
        </xdr:to>
        <xdr:sp macro="" textlink="">
          <xdr:nvSpPr>
            <xdr:cNvPr id="2185" name="Object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19</xdr:col>
      <xdr:colOff>1000125</xdr:colOff>
      <xdr:row>38</xdr:row>
      <xdr:rowOff>133350</xdr:rowOff>
    </xdr:to>
    <xdr:graphicFrame macro="">
      <xdr:nvGraphicFramePr>
        <xdr:cNvPr id="31356" name="Chart 11">
          <a:extLst>
            <a:ext uri="{FF2B5EF4-FFF2-40B4-BE49-F238E27FC236}">
              <a16:creationId xmlns:a16="http://schemas.microsoft.com/office/drawing/2014/main" id="{AC4938EE-623D-BA64-DB2C-1C50470B4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B8609-A039-5974-DD8E-A58019510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i.com/lit/ds/symlink/tps4306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4C51-4686-43AC-B058-DE16A4B499B6}">
  <dimension ref="B1:R32"/>
  <sheetViews>
    <sheetView topLeftCell="A16" workbookViewId="0">
      <selection activeCell="C5" sqref="C5"/>
    </sheetView>
  </sheetViews>
  <sheetFormatPr defaultRowHeight="12.75" x14ac:dyDescent="0.2"/>
  <cols>
    <col min="1" max="16384" width="9.140625" style="1"/>
  </cols>
  <sheetData>
    <row r="1" spans="2:18" ht="13.5" thickBot="1" x14ac:dyDescent="0.25"/>
    <row r="2" spans="2:18" ht="13.5" thickTop="1" x14ac:dyDescent="0.2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2:18" x14ac:dyDescent="0.2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2:18" x14ac:dyDescent="0.2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60" t="s">
        <v>103</v>
      </c>
      <c r="Q4" s="52"/>
      <c r="R4" s="53"/>
    </row>
    <row r="5" spans="2:18" ht="30" x14ac:dyDescent="0.4">
      <c r="B5" s="54"/>
      <c r="C5" s="55" t="s">
        <v>314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</row>
    <row r="6" spans="2:18" ht="20.25" x14ac:dyDescent="0.3">
      <c r="B6" s="57"/>
      <c r="C6" s="58" t="s">
        <v>459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9"/>
    </row>
    <row r="7" spans="2:18" x14ac:dyDescent="0.2">
      <c r="B7" s="51"/>
      <c r="C7" s="117" t="s">
        <v>348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</row>
    <row r="8" spans="2:18" x14ac:dyDescent="0.2"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</row>
    <row r="9" spans="2:18" x14ac:dyDescent="0.2">
      <c r="B9" s="51"/>
      <c r="C9" s="52" t="s">
        <v>93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</row>
    <row r="10" spans="2:18" x14ac:dyDescent="0.2">
      <c r="B10" s="51"/>
      <c r="C10" s="52" t="s">
        <v>94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</row>
    <row r="11" spans="2:18" x14ac:dyDescent="0.2"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2:18" x14ac:dyDescent="0.2">
      <c r="B12" s="51"/>
      <c r="C12" s="60" t="s">
        <v>457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3"/>
    </row>
    <row r="13" spans="2:18" x14ac:dyDescent="0.2">
      <c r="B13" s="51"/>
      <c r="C13" s="60" t="s">
        <v>340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</row>
    <row r="14" spans="2:18" x14ac:dyDescent="0.2">
      <c r="B14" s="51"/>
      <c r="C14" s="61" t="s">
        <v>95</v>
      </c>
      <c r="D14" s="61"/>
      <c r="E14" s="61"/>
      <c r="F14" s="61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</row>
    <row r="15" spans="2:18" x14ac:dyDescent="0.2">
      <c r="B15" s="51"/>
      <c r="C15" s="61"/>
      <c r="D15" s="61"/>
      <c r="E15" s="61"/>
      <c r="F15" s="61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</row>
    <row r="16" spans="2:18" x14ac:dyDescent="0.2">
      <c r="B16" s="51"/>
      <c r="C16" s="52" t="s">
        <v>101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</row>
    <row r="17" spans="2:18" ht="13.5" thickBot="1" x14ac:dyDescent="0.25">
      <c r="B17" s="51"/>
      <c r="C17" s="60" t="s">
        <v>458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</row>
    <row r="18" spans="2:18" x14ac:dyDescent="0.2">
      <c r="B18" s="51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4"/>
      <c r="N18" s="52"/>
      <c r="O18" s="52"/>
      <c r="P18" s="52"/>
      <c r="Q18" s="52"/>
      <c r="R18" s="53"/>
    </row>
    <row r="19" spans="2:18" ht="15.75" x14ac:dyDescent="0.25">
      <c r="B19" s="51"/>
      <c r="C19" s="65"/>
      <c r="D19" s="66" t="s">
        <v>96</v>
      </c>
      <c r="E19" s="52"/>
      <c r="F19" s="52"/>
      <c r="G19" s="52"/>
      <c r="H19" s="52"/>
      <c r="I19" s="52"/>
      <c r="J19" s="52"/>
      <c r="K19" s="52"/>
      <c r="L19" s="52"/>
      <c r="M19" s="67"/>
      <c r="N19" s="52"/>
      <c r="O19" s="52"/>
      <c r="P19" s="52"/>
      <c r="Q19" s="52"/>
      <c r="R19" s="53"/>
    </row>
    <row r="20" spans="2:18" x14ac:dyDescent="0.2">
      <c r="B20" s="51"/>
      <c r="C20" s="65"/>
      <c r="D20" s="52" t="s">
        <v>97</v>
      </c>
      <c r="E20" s="52"/>
      <c r="F20" s="52"/>
      <c r="G20" s="52"/>
      <c r="H20" s="52"/>
      <c r="I20" s="52"/>
      <c r="J20" s="52"/>
      <c r="K20" s="52"/>
      <c r="L20" s="52"/>
      <c r="M20" s="67"/>
      <c r="N20" s="52"/>
      <c r="O20" s="52"/>
      <c r="P20" s="52"/>
      <c r="Q20" s="52"/>
      <c r="R20" s="53"/>
    </row>
    <row r="21" spans="2:18" x14ac:dyDescent="0.2">
      <c r="B21" s="51"/>
      <c r="C21" s="65"/>
      <c r="D21" s="52" t="s">
        <v>98</v>
      </c>
      <c r="E21" s="52"/>
      <c r="F21" s="52"/>
      <c r="G21" s="52"/>
      <c r="H21" s="52"/>
      <c r="I21" s="52"/>
      <c r="J21" s="52"/>
      <c r="K21" s="52"/>
      <c r="L21" s="52"/>
      <c r="M21" s="67"/>
      <c r="N21" s="52"/>
      <c r="O21" s="52"/>
      <c r="P21" s="52"/>
      <c r="Q21" s="52"/>
      <c r="R21" s="53"/>
    </row>
    <row r="22" spans="2:18" x14ac:dyDescent="0.2">
      <c r="B22" s="51"/>
      <c r="C22" s="65"/>
      <c r="D22" s="52" t="s">
        <v>99</v>
      </c>
      <c r="E22" s="52"/>
      <c r="F22" s="52"/>
      <c r="G22" s="52"/>
      <c r="H22" s="52"/>
      <c r="I22" s="52"/>
      <c r="J22" s="52"/>
      <c r="K22" s="52"/>
      <c r="L22" s="52"/>
      <c r="M22" s="67"/>
      <c r="N22" s="52"/>
      <c r="O22" s="52"/>
      <c r="P22" s="52"/>
      <c r="Q22" s="52"/>
      <c r="R22" s="53"/>
    </row>
    <row r="23" spans="2:18" x14ac:dyDescent="0.2">
      <c r="B23" s="51"/>
      <c r="C23" s="65"/>
      <c r="D23" s="52" t="s">
        <v>100</v>
      </c>
      <c r="E23" s="52"/>
      <c r="F23" s="52"/>
      <c r="G23" s="52"/>
      <c r="H23" s="52"/>
      <c r="I23" s="52"/>
      <c r="J23" s="52"/>
      <c r="K23" s="52"/>
      <c r="L23" s="52"/>
      <c r="M23" s="67"/>
      <c r="N23" s="52"/>
      <c r="O23" s="52"/>
      <c r="P23" s="52"/>
      <c r="Q23" s="52"/>
      <c r="R23" s="53"/>
    </row>
    <row r="24" spans="2:18" ht="13.5" thickBot="1" x14ac:dyDescent="0.25">
      <c r="B24" s="51"/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70"/>
      <c r="N24" s="52"/>
      <c r="O24" s="52"/>
      <c r="P24" s="52"/>
      <c r="Q24" s="52"/>
      <c r="R24" s="53"/>
    </row>
    <row r="25" spans="2:18" x14ac:dyDescent="0.2"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</row>
    <row r="26" spans="2:18" ht="13.5" thickBot="1" x14ac:dyDescent="0.25"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3"/>
    </row>
    <row r="27" spans="2:18" ht="13.5" thickTop="1" x14ac:dyDescent="0.2"/>
    <row r="30" spans="2:18" x14ac:dyDescent="0.2">
      <c r="C30" s="245" t="s">
        <v>461</v>
      </c>
    </row>
    <row r="31" spans="2:18" x14ac:dyDescent="0.2">
      <c r="C31" s="243" t="s">
        <v>460</v>
      </c>
    </row>
    <row r="32" spans="2:18" x14ac:dyDescent="0.2">
      <c r="C32" s="244" t="s">
        <v>462</v>
      </c>
    </row>
  </sheetData>
  <sheetProtection sheet="1"/>
  <phoneticPr fontId="0" type="noConversion"/>
  <hyperlinks>
    <hyperlink ref="C7" r:id="rId1" display="This tool supports the TPS4306x datasheet (SLVSBP4A)" xr:uid="{A5AB3175-61D3-4EE9-975E-66D685F7CB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2DED-9DC9-45EF-A126-FA20C4BBB7EB}">
  <sheetPr>
    <pageSetUpPr fitToPage="1"/>
  </sheetPr>
  <dimension ref="A1:IV327"/>
  <sheetViews>
    <sheetView tabSelected="1" zoomScale="85" zoomScaleNormal="85" workbookViewId="0">
      <selection activeCell="D13" sqref="D13"/>
    </sheetView>
  </sheetViews>
  <sheetFormatPr defaultRowHeight="12.75" x14ac:dyDescent="0.2"/>
  <cols>
    <col min="1" max="1" width="2.7109375" style="74" customWidth="1"/>
    <col min="2" max="2" width="14.7109375" style="75" customWidth="1"/>
    <col min="3" max="3" width="25.140625" style="74" bestFit="1" customWidth="1"/>
    <col min="4" max="4" width="15.28515625" style="74" bestFit="1" customWidth="1"/>
    <col min="5" max="5" width="12.140625" style="74" bestFit="1" customWidth="1"/>
    <col min="6" max="6" width="15.7109375" style="74" bestFit="1" customWidth="1"/>
    <col min="7" max="7" width="6.28515625" style="76" bestFit="1" customWidth="1"/>
    <col min="8" max="8" width="97.42578125" style="74" bestFit="1" customWidth="1"/>
    <col min="9" max="9" width="2.7109375" style="74" customWidth="1"/>
    <col min="10" max="10" width="9.140625" style="77" customWidth="1"/>
    <col min="11" max="11" width="9.7109375" style="141" bestFit="1" customWidth="1"/>
    <col min="12" max="12" width="9.140625" style="146" customWidth="1"/>
    <col min="13" max="13" width="11.42578125" style="141" customWidth="1"/>
    <col min="14" max="16384" width="9.140625" style="141"/>
  </cols>
  <sheetData>
    <row r="1" spans="1:13" x14ac:dyDescent="0.2">
      <c r="A1" s="189"/>
      <c r="B1" s="190"/>
      <c r="C1" s="191"/>
      <c r="D1" s="191"/>
      <c r="E1" s="191"/>
      <c r="F1" s="191"/>
      <c r="G1" s="192"/>
      <c r="H1" s="191"/>
      <c r="I1" s="193"/>
      <c r="J1" s="194"/>
    </row>
    <row r="2" spans="1:13" ht="15.75" x14ac:dyDescent="0.25">
      <c r="A2" s="195"/>
      <c r="B2" s="140" t="s">
        <v>285</v>
      </c>
      <c r="C2" s="141"/>
      <c r="D2" s="141"/>
      <c r="E2" s="141"/>
      <c r="F2" s="144" t="s">
        <v>49</v>
      </c>
      <c r="G2" s="145"/>
      <c r="H2" s="141"/>
      <c r="I2" s="198"/>
      <c r="J2" s="202"/>
    </row>
    <row r="3" spans="1:13" ht="15" x14ac:dyDescent="0.25">
      <c r="A3" s="195"/>
      <c r="B3" s="142" t="s">
        <v>419</v>
      </c>
      <c r="C3" s="141"/>
      <c r="D3" s="144" t="s">
        <v>321</v>
      </c>
      <c r="E3" s="141"/>
      <c r="F3" s="127" t="s">
        <v>51</v>
      </c>
      <c r="G3" s="145"/>
      <c r="H3" s="141"/>
      <c r="I3" s="198"/>
      <c r="J3" s="202"/>
    </row>
    <row r="4" spans="1:13" ht="14.25" x14ac:dyDescent="0.2">
      <c r="A4" s="195"/>
      <c r="B4" s="143" t="s">
        <v>299</v>
      </c>
      <c r="C4" s="141"/>
      <c r="D4" s="246" t="s">
        <v>300</v>
      </c>
      <c r="E4" s="141"/>
      <c r="F4" s="129" t="s">
        <v>50</v>
      </c>
      <c r="G4" s="145"/>
      <c r="H4" s="141"/>
      <c r="I4" s="198"/>
      <c r="J4" s="202"/>
    </row>
    <row r="5" spans="1:13" ht="14.25" x14ac:dyDescent="0.2">
      <c r="A5" s="195"/>
      <c r="B5" s="143" t="s">
        <v>300</v>
      </c>
      <c r="C5" s="141"/>
      <c r="D5" s="141"/>
      <c r="E5" s="141"/>
      <c r="F5" s="128" t="s">
        <v>420</v>
      </c>
      <c r="G5" s="145"/>
      <c r="H5" s="141"/>
      <c r="I5" s="198"/>
      <c r="J5" s="202"/>
    </row>
    <row r="6" spans="1:13" ht="15" x14ac:dyDescent="0.25">
      <c r="A6" s="196"/>
      <c r="B6" s="119" t="s">
        <v>120</v>
      </c>
      <c r="C6" s="118" t="s">
        <v>52</v>
      </c>
      <c r="D6" s="125" t="s">
        <v>418</v>
      </c>
      <c r="E6" s="118" t="s">
        <v>8</v>
      </c>
      <c r="F6" s="255" t="s">
        <v>422</v>
      </c>
      <c r="G6" s="256"/>
      <c r="H6" s="256"/>
      <c r="I6" s="201"/>
      <c r="J6" s="202"/>
      <c r="M6" s="147"/>
    </row>
    <row r="7" spans="1:13" ht="14.25" x14ac:dyDescent="0.2">
      <c r="A7" s="197"/>
      <c r="B7" s="148"/>
      <c r="C7" s="153" t="s">
        <v>190</v>
      </c>
      <c r="D7" s="84">
        <v>4.5599999999999996</v>
      </c>
      <c r="E7" s="174" t="s">
        <v>3</v>
      </c>
      <c r="F7" s="258" t="s">
        <v>289</v>
      </c>
      <c r="G7" s="259"/>
      <c r="H7" s="260"/>
      <c r="I7" s="198"/>
      <c r="J7" s="202"/>
      <c r="M7" s="147"/>
    </row>
    <row r="8" spans="1:13" ht="14.25" x14ac:dyDescent="0.2">
      <c r="A8" s="197"/>
      <c r="B8" s="148"/>
      <c r="C8" s="153" t="s">
        <v>191</v>
      </c>
      <c r="D8" s="84">
        <v>4.4000000000000004</v>
      </c>
      <c r="E8" s="174" t="s">
        <v>3</v>
      </c>
      <c r="F8" s="258" t="s">
        <v>290</v>
      </c>
      <c r="G8" s="259"/>
      <c r="H8" s="260"/>
      <c r="I8" s="198"/>
      <c r="J8" s="202"/>
      <c r="M8" s="147"/>
    </row>
    <row r="9" spans="1:13" ht="14.25" x14ac:dyDescent="0.2">
      <c r="A9" s="197"/>
      <c r="B9" s="148"/>
      <c r="C9" s="153" t="s">
        <v>192</v>
      </c>
      <c r="D9" s="84">
        <v>6</v>
      </c>
      <c r="E9" s="174" t="s">
        <v>3</v>
      </c>
      <c r="F9" s="258" t="s">
        <v>291</v>
      </c>
      <c r="G9" s="259"/>
      <c r="H9" s="260"/>
      <c r="I9" s="198"/>
      <c r="J9" s="202"/>
      <c r="M9" s="147"/>
    </row>
    <row r="10" spans="1:13" ht="14.25" x14ac:dyDescent="0.2">
      <c r="A10" s="197"/>
      <c r="B10" s="148"/>
      <c r="C10" s="153" t="s">
        <v>212</v>
      </c>
      <c r="D10" s="84">
        <f>Vin_Nom*0.01</f>
        <v>4.5599999999999995E-2</v>
      </c>
      <c r="E10" s="174" t="s">
        <v>421</v>
      </c>
      <c r="F10" s="258" t="s">
        <v>429</v>
      </c>
      <c r="G10" s="259"/>
      <c r="H10" s="260"/>
      <c r="I10" s="198"/>
      <c r="J10" s="202"/>
      <c r="M10" s="147"/>
    </row>
    <row r="11" spans="1:13" ht="14.25" x14ac:dyDescent="0.2">
      <c r="A11" s="197"/>
      <c r="B11" s="148"/>
      <c r="C11" s="153" t="s">
        <v>23</v>
      </c>
      <c r="D11" s="85">
        <v>24</v>
      </c>
      <c r="E11" s="174" t="s">
        <v>3</v>
      </c>
      <c r="F11" s="258" t="s">
        <v>41</v>
      </c>
      <c r="G11" s="259"/>
      <c r="H11" s="260"/>
      <c r="I11" s="198"/>
      <c r="J11" s="202"/>
      <c r="M11" s="147"/>
    </row>
    <row r="12" spans="1:13" ht="14.25" x14ac:dyDescent="0.2">
      <c r="A12" s="197"/>
      <c r="B12" s="148"/>
      <c r="C12" s="153" t="s">
        <v>60</v>
      </c>
      <c r="D12" s="84">
        <f>0.01*Vout</f>
        <v>0.24</v>
      </c>
      <c r="E12" s="174" t="s">
        <v>421</v>
      </c>
      <c r="F12" s="258" t="s">
        <v>423</v>
      </c>
      <c r="G12" s="259"/>
      <c r="H12" s="260"/>
      <c r="I12" s="198"/>
      <c r="J12" s="202"/>
      <c r="M12" s="147"/>
    </row>
    <row r="13" spans="1:13" ht="14.25" x14ac:dyDescent="0.2">
      <c r="A13" s="197"/>
      <c r="B13" s="148"/>
      <c r="C13" s="153" t="s">
        <v>34</v>
      </c>
      <c r="D13" s="87">
        <f>15*Vin_Max/Vout</f>
        <v>3.75</v>
      </c>
      <c r="E13" s="174" t="s">
        <v>2</v>
      </c>
      <c r="F13" s="258" t="s">
        <v>426</v>
      </c>
      <c r="G13" s="259"/>
      <c r="H13" s="260"/>
      <c r="I13" s="198"/>
      <c r="J13" s="202"/>
      <c r="M13" s="147"/>
    </row>
    <row r="14" spans="1:13" ht="14.25" x14ac:dyDescent="0.2">
      <c r="A14" s="197"/>
      <c r="B14" s="148"/>
      <c r="C14" s="153" t="s">
        <v>35</v>
      </c>
      <c r="D14" s="86">
        <v>750</v>
      </c>
      <c r="E14" s="174" t="s">
        <v>138</v>
      </c>
      <c r="F14" s="258" t="s">
        <v>47</v>
      </c>
      <c r="G14" s="259"/>
      <c r="H14" s="260"/>
      <c r="I14" s="198"/>
      <c r="J14" s="202"/>
      <c r="M14" s="147"/>
    </row>
    <row r="15" spans="1:13" ht="14.25" x14ac:dyDescent="0.2">
      <c r="A15" s="197"/>
      <c r="B15" s="148"/>
      <c r="C15" s="153" t="s">
        <v>61</v>
      </c>
      <c r="D15" s="87">
        <f>Iout/2</f>
        <v>1.875</v>
      </c>
      <c r="E15" s="174" t="s">
        <v>2</v>
      </c>
      <c r="F15" s="258" t="s">
        <v>108</v>
      </c>
      <c r="G15" s="259"/>
      <c r="H15" s="260"/>
      <c r="I15" s="198"/>
      <c r="J15" s="202"/>
      <c r="M15" s="147"/>
    </row>
    <row r="16" spans="1:13" ht="14.25" x14ac:dyDescent="0.2">
      <c r="A16" s="197"/>
      <c r="B16" s="148"/>
      <c r="C16" s="153" t="s">
        <v>62</v>
      </c>
      <c r="D16" s="84">
        <f>Vout*0.04</f>
        <v>0.96</v>
      </c>
      <c r="E16" s="174" t="s">
        <v>3</v>
      </c>
      <c r="F16" s="258" t="s">
        <v>109</v>
      </c>
      <c r="G16" s="259"/>
      <c r="H16" s="260"/>
      <c r="I16" s="198"/>
      <c r="J16" s="202"/>
      <c r="M16" s="147"/>
    </row>
    <row r="17" spans="1:256" ht="14.25" x14ac:dyDescent="0.2">
      <c r="A17" s="197"/>
      <c r="B17" s="148"/>
      <c r="C17" s="153" t="s">
        <v>369</v>
      </c>
      <c r="D17" s="84">
        <v>4.8</v>
      </c>
      <c r="E17" s="174" t="s">
        <v>3</v>
      </c>
      <c r="F17" s="258" t="s">
        <v>427</v>
      </c>
      <c r="G17" s="259"/>
      <c r="H17" s="260"/>
      <c r="I17" s="198"/>
      <c r="J17" s="202"/>
      <c r="M17" s="147"/>
    </row>
    <row r="18" spans="1:256" ht="14.25" x14ac:dyDescent="0.2">
      <c r="A18" s="197"/>
      <c r="B18" s="148"/>
      <c r="C18" s="153" t="s">
        <v>370</v>
      </c>
      <c r="D18" s="84">
        <v>4.5</v>
      </c>
      <c r="E18" s="174" t="s">
        <v>3</v>
      </c>
      <c r="F18" s="258" t="s">
        <v>428</v>
      </c>
      <c r="G18" s="259"/>
      <c r="H18" s="260"/>
      <c r="I18" s="198"/>
      <c r="J18" s="202"/>
      <c r="M18" s="147"/>
    </row>
    <row r="19" spans="1:256" s="79" customFormat="1" ht="15" x14ac:dyDescent="0.25">
      <c r="A19" s="196"/>
      <c r="B19" s="264" t="s">
        <v>104</v>
      </c>
      <c r="C19" s="264"/>
      <c r="D19" s="264"/>
      <c r="E19" s="264"/>
      <c r="F19" s="264"/>
      <c r="G19" s="264"/>
      <c r="H19" s="264"/>
      <c r="I19" s="206"/>
      <c r="J19" s="207"/>
      <c r="K19" s="150"/>
      <c r="L19" s="150"/>
      <c r="M19" s="151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  <c r="DY19" s="150"/>
      <c r="DZ19" s="150"/>
      <c r="EA19" s="150"/>
      <c r="EB19" s="150"/>
      <c r="EC19" s="150"/>
      <c r="ED19" s="150"/>
      <c r="EE19" s="150"/>
      <c r="EF19" s="150"/>
      <c r="EG19" s="150"/>
      <c r="EH19" s="150"/>
      <c r="EI19" s="150"/>
      <c r="EJ19" s="150"/>
      <c r="EK19" s="150"/>
      <c r="EL19" s="150"/>
      <c r="EM19" s="150"/>
      <c r="EN19" s="150"/>
      <c r="EO19" s="150"/>
      <c r="EP19" s="150"/>
      <c r="EQ19" s="150"/>
      <c r="ER19" s="150"/>
      <c r="ES19" s="150"/>
      <c r="ET19" s="150"/>
      <c r="EU19" s="150"/>
      <c r="EV19" s="150"/>
      <c r="EW19" s="150"/>
      <c r="EX19" s="150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  <c r="FT19" s="150"/>
      <c r="FU19" s="150"/>
      <c r="FV19" s="150"/>
      <c r="FW19" s="150"/>
      <c r="FX19" s="150"/>
      <c r="FY19" s="150"/>
      <c r="FZ19" s="150"/>
      <c r="GA19" s="150"/>
      <c r="GB19" s="150"/>
      <c r="GC19" s="150"/>
      <c r="GD19" s="150"/>
      <c r="GE19" s="150"/>
      <c r="GF19" s="150"/>
      <c r="GG19" s="150"/>
      <c r="GH19" s="150"/>
      <c r="GI19" s="150"/>
      <c r="GJ19" s="150"/>
      <c r="GK19" s="150"/>
      <c r="GL19" s="150"/>
      <c r="GM19" s="150"/>
      <c r="GN19" s="150"/>
      <c r="GO19" s="150"/>
      <c r="GP19" s="150"/>
      <c r="GQ19" s="150"/>
      <c r="GR19" s="150"/>
      <c r="GS19" s="150"/>
      <c r="GT19" s="150"/>
      <c r="GU19" s="150"/>
      <c r="GV19" s="150"/>
      <c r="GW19" s="150"/>
      <c r="GX19" s="150"/>
      <c r="GY19" s="150"/>
      <c r="GZ19" s="150"/>
      <c r="HA19" s="150"/>
      <c r="HB19" s="150"/>
      <c r="HC19" s="150"/>
      <c r="HD19" s="150"/>
      <c r="HE19" s="150"/>
      <c r="HF19" s="150"/>
      <c r="HG19" s="150"/>
      <c r="HH19" s="150"/>
      <c r="HI19" s="150"/>
      <c r="HJ19" s="150"/>
      <c r="HK19" s="150"/>
      <c r="HL19" s="150"/>
      <c r="HM19" s="150"/>
      <c r="HN19" s="150"/>
      <c r="HO19" s="150"/>
      <c r="HP19" s="150"/>
      <c r="HQ19" s="150"/>
      <c r="HR19" s="150"/>
      <c r="HS19" s="150"/>
      <c r="HT19" s="150"/>
      <c r="HU19" s="150"/>
      <c r="HV19" s="150"/>
      <c r="HW19" s="150"/>
      <c r="HX19" s="150"/>
      <c r="HY19" s="150"/>
      <c r="HZ19" s="150"/>
      <c r="IA19" s="150"/>
      <c r="IB19" s="150"/>
      <c r="IC19" s="150"/>
      <c r="ID19" s="150"/>
      <c r="IE19" s="150"/>
      <c r="IF19" s="150"/>
      <c r="IG19" s="150"/>
      <c r="IH19" s="150"/>
      <c r="II19" s="150"/>
      <c r="IJ19" s="150"/>
      <c r="IK19" s="150"/>
      <c r="IL19" s="150"/>
      <c r="IM19" s="150"/>
      <c r="IN19" s="150"/>
      <c r="IO19" s="150"/>
      <c r="IP19" s="150"/>
      <c r="IQ19" s="150"/>
      <c r="IR19" s="150"/>
      <c r="IS19" s="150"/>
      <c r="IT19" s="150"/>
      <c r="IU19" s="150"/>
      <c r="IV19" s="150"/>
    </row>
    <row r="20" spans="1:256" s="74" customFormat="1" ht="12.75" customHeight="1" x14ac:dyDescent="0.2">
      <c r="A20" s="195"/>
      <c r="B20" s="152" t="s">
        <v>105</v>
      </c>
      <c r="C20" s="152" t="s">
        <v>389</v>
      </c>
      <c r="D20" s="265" t="s">
        <v>123</v>
      </c>
      <c r="E20" s="265"/>
      <c r="F20" s="265"/>
      <c r="G20" s="265"/>
      <c r="H20" s="266"/>
      <c r="I20" s="208"/>
      <c r="J20" s="209"/>
      <c r="K20" s="146"/>
      <c r="L20" s="141"/>
      <c r="M20" s="146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1"/>
      <c r="BU20" s="141"/>
      <c r="BV20" s="141"/>
      <c r="BW20" s="141"/>
      <c r="BX20" s="141"/>
      <c r="BY20" s="141"/>
      <c r="BZ20" s="141"/>
      <c r="CA20" s="141"/>
      <c r="CB20" s="141"/>
      <c r="CC20" s="141"/>
      <c r="CD20" s="141"/>
      <c r="CE20" s="141"/>
      <c r="CF20" s="141"/>
      <c r="CG20" s="141"/>
      <c r="CH20" s="141"/>
      <c r="CI20" s="141"/>
      <c r="CJ20" s="141"/>
      <c r="CK20" s="141"/>
      <c r="CL20" s="141"/>
      <c r="CM20" s="141"/>
      <c r="CN20" s="141"/>
      <c r="CO20" s="141"/>
      <c r="CP20" s="141"/>
      <c r="CQ20" s="141"/>
      <c r="CR20" s="141"/>
      <c r="CS20" s="141"/>
      <c r="CT20" s="141"/>
      <c r="CU20" s="141"/>
      <c r="CV20" s="141"/>
      <c r="CW20" s="141"/>
      <c r="CX20" s="141"/>
      <c r="CY20" s="141"/>
      <c r="CZ20" s="141"/>
      <c r="DA20" s="141"/>
      <c r="DB20" s="141"/>
      <c r="DC20" s="141"/>
      <c r="DD20" s="141"/>
      <c r="DE20" s="141"/>
      <c r="DF20" s="141"/>
      <c r="DG20" s="141"/>
      <c r="DH20" s="141"/>
      <c r="DI20" s="141"/>
      <c r="DJ20" s="141"/>
      <c r="DK20" s="141"/>
      <c r="DL20" s="141"/>
      <c r="DM20" s="141"/>
      <c r="DN20" s="141"/>
      <c r="DO20" s="141"/>
      <c r="DP20" s="141"/>
      <c r="DQ20" s="141"/>
      <c r="DR20" s="141"/>
      <c r="DS20" s="141"/>
      <c r="DT20" s="141"/>
      <c r="DU20" s="141"/>
      <c r="DV20" s="141"/>
      <c r="DW20" s="141"/>
      <c r="DX20" s="141"/>
      <c r="DY20" s="141"/>
      <c r="DZ20" s="141"/>
      <c r="EA20" s="141"/>
      <c r="EB20" s="141"/>
      <c r="EC20" s="141"/>
      <c r="ED20" s="141"/>
      <c r="EE20" s="141"/>
      <c r="EF20" s="141"/>
      <c r="EG20" s="141"/>
      <c r="EH20" s="141"/>
      <c r="EI20" s="141"/>
      <c r="EJ20" s="141"/>
      <c r="EK20" s="141"/>
      <c r="EL20" s="141"/>
      <c r="EM20" s="141"/>
      <c r="EN20" s="141"/>
      <c r="EO20" s="141"/>
      <c r="EP20" s="141"/>
      <c r="EQ20" s="141"/>
      <c r="ER20" s="141"/>
      <c r="ES20" s="141"/>
      <c r="ET20" s="141"/>
      <c r="EU20" s="141"/>
      <c r="EV20" s="141"/>
      <c r="EW20" s="141"/>
      <c r="EX20" s="141"/>
      <c r="EY20" s="141"/>
      <c r="EZ20" s="141"/>
      <c r="FA20" s="141"/>
      <c r="FB20" s="141"/>
      <c r="FC20" s="141"/>
      <c r="FD20" s="141"/>
      <c r="FE20" s="141"/>
      <c r="FF20" s="141"/>
      <c r="FG20" s="141"/>
      <c r="FH20" s="141"/>
      <c r="FI20" s="141"/>
      <c r="FJ20" s="141"/>
      <c r="FK20" s="141"/>
      <c r="FL20" s="141"/>
      <c r="FM20" s="141"/>
      <c r="FN20" s="141"/>
      <c r="FO20" s="141"/>
      <c r="FP20" s="141"/>
      <c r="FQ20" s="141"/>
      <c r="FR20" s="141"/>
      <c r="FS20" s="141"/>
      <c r="FT20" s="141"/>
      <c r="FU20" s="141"/>
      <c r="FV20" s="141"/>
      <c r="FW20" s="141"/>
      <c r="FX20" s="141"/>
      <c r="FY20" s="141"/>
      <c r="FZ20" s="141"/>
      <c r="GA20" s="141"/>
      <c r="GB20" s="141"/>
      <c r="GC20" s="141"/>
      <c r="GD20" s="141"/>
      <c r="GE20" s="141"/>
      <c r="GF20" s="141"/>
      <c r="GG20" s="141"/>
      <c r="GH20" s="141"/>
      <c r="GI20" s="141"/>
      <c r="GJ20" s="141"/>
      <c r="GK20" s="141"/>
      <c r="GL20" s="141"/>
      <c r="GM20" s="141"/>
      <c r="GN20" s="141"/>
      <c r="GO20" s="141"/>
      <c r="GP20" s="141"/>
      <c r="GQ20" s="141"/>
      <c r="GR20" s="141"/>
      <c r="GS20" s="141"/>
      <c r="GT20" s="141"/>
      <c r="GU20" s="141"/>
      <c r="GV20" s="141"/>
      <c r="GW20" s="141"/>
      <c r="GX20" s="141"/>
      <c r="GY20" s="141"/>
      <c r="GZ20" s="141"/>
      <c r="HA20" s="141"/>
      <c r="HB20" s="141"/>
      <c r="HC20" s="141"/>
      <c r="HD20" s="141"/>
      <c r="HE20" s="141"/>
      <c r="HF20" s="141"/>
      <c r="HG20" s="141"/>
      <c r="HH20" s="141"/>
      <c r="HI20" s="141"/>
      <c r="HJ20" s="141"/>
      <c r="HK20" s="141"/>
      <c r="HL20" s="141"/>
      <c r="HM20" s="141"/>
      <c r="HN20" s="141"/>
      <c r="HO20" s="141"/>
      <c r="HP20" s="141"/>
      <c r="HQ20" s="141"/>
      <c r="HR20" s="141"/>
      <c r="HS20" s="141"/>
      <c r="HT20" s="141"/>
      <c r="HU20" s="141"/>
      <c r="HV20" s="141"/>
      <c r="HW20" s="141"/>
      <c r="HX20" s="141"/>
      <c r="HY20" s="141"/>
      <c r="HZ20" s="141"/>
      <c r="IA20" s="141"/>
      <c r="IB20" s="141"/>
      <c r="IC20" s="141"/>
      <c r="ID20" s="141"/>
      <c r="IE20" s="141"/>
      <c r="IF20" s="141"/>
      <c r="IG20" s="141"/>
      <c r="IH20" s="141"/>
      <c r="II20" s="141"/>
      <c r="IJ20" s="141"/>
      <c r="IK20" s="141"/>
      <c r="IL20" s="141"/>
      <c r="IM20" s="141"/>
      <c r="IN20" s="141"/>
      <c r="IO20" s="141"/>
      <c r="IP20" s="141"/>
      <c r="IQ20" s="141"/>
      <c r="IR20" s="141"/>
      <c r="IS20" s="141"/>
      <c r="IT20" s="141"/>
      <c r="IU20" s="141"/>
      <c r="IV20" s="141"/>
    </row>
    <row r="21" spans="1:256" s="74" customFormat="1" ht="19.5" x14ac:dyDescent="0.35">
      <c r="A21" s="195"/>
      <c r="B21" s="153" t="s">
        <v>184</v>
      </c>
      <c r="C21" s="153" t="s">
        <v>398</v>
      </c>
      <c r="D21" s="122" t="str">
        <f>TEXT(Cin_chosen*1000000,"0.0")&amp;" µF"</f>
        <v>220.0 µF</v>
      </c>
      <c r="E21" s="123" t="str">
        <f>Vin_Max&amp;"V"</f>
        <v>6V</v>
      </c>
      <c r="F21" s="124" t="str">
        <f>"Irms = "&amp;TEXT(Irms_cin,"0.000")&amp;"A"</f>
        <v>Irms = 1.064A</v>
      </c>
      <c r="G21" s="145"/>
      <c r="H21" s="141"/>
      <c r="I21" s="208"/>
      <c r="J21" s="209"/>
      <c r="K21" s="146"/>
      <c r="L21" s="141"/>
      <c r="M21" s="146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  <c r="BT21" s="141"/>
      <c r="BU21" s="141"/>
      <c r="BV21" s="141"/>
      <c r="BW21" s="141"/>
      <c r="BX21" s="141"/>
      <c r="BY21" s="141"/>
      <c r="BZ21" s="141"/>
      <c r="CA21" s="141"/>
      <c r="CB21" s="141"/>
      <c r="CC21" s="141"/>
      <c r="CD21" s="141"/>
      <c r="CE21" s="141"/>
      <c r="CF21" s="141"/>
      <c r="CG21" s="141"/>
      <c r="CH21" s="141"/>
      <c r="CI21" s="141"/>
      <c r="CJ21" s="141"/>
      <c r="CK21" s="141"/>
      <c r="CL21" s="141"/>
      <c r="CM21" s="141"/>
      <c r="CN21" s="141"/>
      <c r="CO21" s="141"/>
      <c r="CP21" s="141"/>
      <c r="CQ21" s="141"/>
      <c r="CR21" s="141"/>
      <c r="CS21" s="141"/>
      <c r="CT21" s="141"/>
      <c r="CU21" s="141"/>
      <c r="CV21" s="141"/>
      <c r="CW21" s="141"/>
      <c r="CX21" s="141"/>
      <c r="CY21" s="141"/>
      <c r="CZ21" s="141"/>
      <c r="DA21" s="141"/>
      <c r="DB21" s="141"/>
      <c r="DC21" s="141"/>
      <c r="DD21" s="141"/>
      <c r="DE21" s="141"/>
      <c r="DF21" s="141"/>
      <c r="DG21" s="141"/>
      <c r="DH21" s="141"/>
      <c r="DI21" s="141"/>
      <c r="DJ21" s="141"/>
      <c r="DK21" s="141"/>
      <c r="DL21" s="141"/>
      <c r="DM21" s="141"/>
      <c r="DN21" s="141"/>
      <c r="DO21" s="141"/>
      <c r="DP21" s="141"/>
      <c r="DQ21" s="141"/>
      <c r="DR21" s="141"/>
      <c r="DS21" s="141"/>
      <c r="DT21" s="141"/>
      <c r="DU21" s="141"/>
      <c r="DV21" s="141"/>
      <c r="DW21" s="141"/>
      <c r="DX21" s="141"/>
      <c r="DY21" s="141"/>
      <c r="DZ21" s="141"/>
      <c r="EA21" s="141"/>
      <c r="EB21" s="141"/>
      <c r="EC21" s="141"/>
      <c r="ED21" s="141"/>
      <c r="EE21" s="141"/>
      <c r="EF21" s="141"/>
      <c r="EG21" s="141"/>
      <c r="EH21" s="141"/>
      <c r="EI21" s="141"/>
      <c r="EJ21" s="141"/>
      <c r="EK21" s="141"/>
      <c r="EL21" s="141"/>
      <c r="EM21" s="141"/>
      <c r="EN21" s="141"/>
      <c r="EO21" s="141"/>
      <c r="EP21" s="141"/>
      <c r="EQ21" s="141"/>
      <c r="ER21" s="141"/>
      <c r="ES21" s="141"/>
      <c r="ET21" s="141"/>
      <c r="EU21" s="141"/>
      <c r="EV21" s="141"/>
      <c r="EW21" s="141"/>
      <c r="EX21" s="141"/>
      <c r="EY21" s="141"/>
      <c r="EZ21" s="141"/>
      <c r="FA21" s="141"/>
      <c r="FB21" s="141"/>
      <c r="FC21" s="141"/>
      <c r="FD21" s="141"/>
      <c r="FE21" s="141"/>
      <c r="FF21" s="141"/>
      <c r="FG21" s="141"/>
      <c r="FH21" s="141"/>
      <c r="FI21" s="141"/>
      <c r="FJ21" s="141"/>
      <c r="FK21" s="141"/>
      <c r="FL21" s="141"/>
      <c r="FM21" s="141"/>
      <c r="FN21" s="141"/>
      <c r="FO21" s="141"/>
      <c r="FP21" s="141"/>
      <c r="FQ21" s="141"/>
      <c r="FR21" s="141"/>
      <c r="FS21" s="141"/>
      <c r="FT21" s="141"/>
      <c r="FU21" s="141"/>
      <c r="FV21" s="141"/>
      <c r="FW21" s="141"/>
      <c r="FX21" s="141"/>
      <c r="FY21" s="141"/>
      <c r="FZ21" s="141"/>
      <c r="GA21" s="141"/>
      <c r="GB21" s="141"/>
      <c r="GC21" s="141"/>
      <c r="GD21" s="141"/>
      <c r="GE21" s="141"/>
      <c r="GF21" s="141"/>
      <c r="GG21" s="141"/>
      <c r="GH21" s="141"/>
      <c r="GI21" s="141"/>
      <c r="GJ21" s="141"/>
      <c r="GK21" s="141"/>
      <c r="GL21" s="141"/>
      <c r="GM21" s="141"/>
      <c r="GN21" s="141"/>
      <c r="GO21" s="141"/>
      <c r="GP21" s="141"/>
      <c r="GQ21" s="141"/>
      <c r="GR21" s="141"/>
      <c r="GS21" s="141"/>
      <c r="GT21" s="141"/>
      <c r="GU21" s="141"/>
      <c r="GV21" s="141"/>
      <c r="GW21" s="141"/>
      <c r="GX21" s="141"/>
      <c r="GY21" s="141"/>
      <c r="GZ21" s="141"/>
      <c r="HA21" s="141"/>
      <c r="HB21" s="141"/>
      <c r="HC21" s="141"/>
      <c r="HD21" s="141"/>
      <c r="HE21" s="141"/>
      <c r="HF21" s="141"/>
      <c r="HG21" s="141"/>
      <c r="HH21" s="141"/>
      <c r="HI21" s="141"/>
      <c r="HJ21" s="141"/>
      <c r="HK21" s="141"/>
      <c r="HL21" s="141"/>
      <c r="HM21" s="141"/>
      <c r="HN21" s="141"/>
      <c r="HO21" s="141"/>
      <c r="HP21" s="141"/>
      <c r="HQ21" s="141"/>
      <c r="HR21" s="141"/>
      <c r="HS21" s="141"/>
      <c r="HT21" s="141"/>
      <c r="HU21" s="141"/>
      <c r="HV21" s="141"/>
      <c r="HW21" s="141"/>
      <c r="HX21" s="141"/>
      <c r="HY21" s="141"/>
      <c r="HZ21" s="141"/>
      <c r="IA21" s="141"/>
      <c r="IB21" s="141"/>
      <c r="IC21" s="141"/>
      <c r="ID21" s="141"/>
      <c r="IE21" s="141"/>
      <c r="IF21" s="141"/>
      <c r="IG21" s="141"/>
      <c r="IH21" s="141"/>
      <c r="II21" s="141"/>
      <c r="IJ21" s="141"/>
      <c r="IK21" s="141"/>
      <c r="IL21" s="141"/>
      <c r="IM21" s="141"/>
      <c r="IN21" s="141"/>
      <c r="IO21" s="141"/>
      <c r="IP21" s="141"/>
      <c r="IQ21" s="141"/>
      <c r="IR21" s="141"/>
      <c r="IS21" s="141"/>
      <c r="IT21" s="141"/>
      <c r="IU21" s="141"/>
      <c r="IV21" s="141"/>
    </row>
    <row r="22" spans="1:256" s="74" customFormat="1" ht="19.5" x14ac:dyDescent="0.35">
      <c r="A22" s="195"/>
      <c r="B22" s="153" t="s">
        <v>376</v>
      </c>
      <c r="C22" s="153" t="s">
        <v>390</v>
      </c>
      <c r="D22" s="122" t="str">
        <f>TEXT(Ccomp*1000000,"0.000")&amp;" µF"</f>
        <v>0.010 µF</v>
      </c>
      <c r="E22" s="123" t="s">
        <v>378</v>
      </c>
      <c r="F22" s="154"/>
      <c r="G22" s="145"/>
      <c r="H22" s="141"/>
      <c r="I22" s="208"/>
      <c r="J22" s="209"/>
      <c r="K22" s="146"/>
      <c r="L22" s="141"/>
      <c r="M22" s="146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41"/>
      <c r="DL22" s="141"/>
      <c r="DM22" s="141"/>
      <c r="DN22" s="141"/>
      <c r="DO22" s="141"/>
      <c r="DP22" s="141"/>
      <c r="DQ22" s="141"/>
      <c r="DR22" s="141"/>
      <c r="DS22" s="141"/>
      <c r="DT22" s="141"/>
      <c r="DU22" s="141"/>
      <c r="DV22" s="141"/>
      <c r="DW22" s="141"/>
      <c r="DX22" s="141"/>
      <c r="DY22" s="141"/>
      <c r="DZ22" s="141"/>
      <c r="EA22" s="141"/>
      <c r="EB22" s="141"/>
      <c r="EC22" s="141"/>
      <c r="ED22" s="141"/>
      <c r="EE22" s="141"/>
      <c r="EF22" s="141"/>
      <c r="EG22" s="141"/>
      <c r="EH22" s="141"/>
      <c r="EI22" s="141"/>
      <c r="EJ22" s="141"/>
      <c r="EK22" s="141"/>
      <c r="EL22" s="141"/>
      <c r="EM22" s="141"/>
      <c r="EN22" s="141"/>
      <c r="EO22" s="141"/>
      <c r="EP22" s="141"/>
      <c r="EQ22" s="141"/>
      <c r="ER22" s="141"/>
      <c r="ES22" s="141"/>
      <c r="ET22" s="141"/>
      <c r="EU22" s="141"/>
      <c r="EV22" s="141"/>
      <c r="EW22" s="141"/>
      <c r="EX22" s="141"/>
      <c r="EY22" s="141"/>
      <c r="EZ22" s="141"/>
      <c r="FA22" s="141"/>
      <c r="FB22" s="141"/>
      <c r="FC22" s="141"/>
      <c r="FD22" s="141"/>
      <c r="FE22" s="141"/>
      <c r="FF22" s="141"/>
      <c r="FG22" s="141"/>
      <c r="FH22" s="141"/>
      <c r="FI22" s="141"/>
      <c r="FJ22" s="141"/>
      <c r="FK22" s="141"/>
      <c r="FL22" s="141"/>
      <c r="FM22" s="141"/>
      <c r="FN22" s="141"/>
      <c r="FO22" s="141"/>
      <c r="FP22" s="141"/>
      <c r="FQ22" s="141"/>
      <c r="FR22" s="141"/>
      <c r="FS22" s="141"/>
      <c r="FT22" s="141"/>
      <c r="FU22" s="141"/>
      <c r="FV22" s="141"/>
      <c r="FW22" s="141"/>
      <c r="FX22" s="141"/>
      <c r="FY22" s="141"/>
      <c r="FZ22" s="141"/>
      <c r="GA22" s="141"/>
      <c r="GB22" s="141"/>
      <c r="GC22" s="141"/>
      <c r="GD22" s="141"/>
      <c r="GE22" s="141"/>
      <c r="GF22" s="141"/>
      <c r="GG22" s="141"/>
      <c r="GH22" s="141"/>
      <c r="GI22" s="141"/>
      <c r="GJ22" s="141"/>
      <c r="GK22" s="141"/>
      <c r="GL22" s="141"/>
      <c r="GM22" s="141"/>
      <c r="GN22" s="141"/>
      <c r="GO22" s="141"/>
      <c r="GP22" s="141"/>
      <c r="GQ22" s="141"/>
      <c r="GR22" s="141"/>
      <c r="GS22" s="141"/>
      <c r="GT22" s="141"/>
      <c r="GU22" s="141"/>
      <c r="GV22" s="141"/>
      <c r="GW22" s="141"/>
      <c r="GX22" s="141"/>
      <c r="GY22" s="141"/>
      <c r="GZ22" s="141"/>
      <c r="HA22" s="141"/>
      <c r="HB22" s="141"/>
      <c r="HC22" s="141"/>
      <c r="HD22" s="141"/>
      <c r="HE22" s="141"/>
      <c r="HF22" s="141"/>
      <c r="HG22" s="141"/>
      <c r="HH22" s="141"/>
      <c r="HI22" s="141"/>
      <c r="HJ22" s="141"/>
      <c r="HK22" s="141"/>
      <c r="HL22" s="141"/>
      <c r="HM22" s="141"/>
      <c r="HN22" s="141"/>
      <c r="HO22" s="141"/>
      <c r="HP22" s="141"/>
      <c r="HQ22" s="141"/>
      <c r="HR22" s="141"/>
      <c r="HS22" s="141"/>
      <c r="HT22" s="141"/>
      <c r="HU22" s="141"/>
      <c r="HV22" s="141"/>
      <c r="HW22" s="141"/>
      <c r="HX22" s="141"/>
      <c r="HY22" s="141"/>
      <c r="HZ22" s="141"/>
      <c r="IA22" s="141"/>
      <c r="IB22" s="141"/>
      <c r="IC22" s="141"/>
      <c r="ID22" s="141"/>
      <c r="IE22" s="141"/>
      <c r="IF22" s="141"/>
      <c r="IG22" s="141"/>
      <c r="IH22" s="141"/>
      <c r="II22" s="141"/>
      <c r="IJ22" s="141"/>
      <c r="IK22" s="141"/>
      <c r="IL22" s="141"/>
      <c r="IM22" s="141"/>
      <c r="IN22" s="141"/>
      <c r="IO22" s="141"/>
      <c r="IP22" s="141"/>
      <c r="IQ22" s="141"/>
      <c r="IR22" s="141"/>
      <c r="IS22" s="141"/>
      <c r="IT22" s="141"/>
      <c r="IU22" s="141"/>
      <c r="IV22" s="141"/>
    </row>
    <row r="23" spans="1:256" s="74" customFormat="1" ht="19.5" x14ac:dyDescent="0.35">
      <c r="A23" s="195"/>
      <c r="B23" s="153" t="s">
        <v>186</v>
      </c>
      <c r="C23" s="153" t="s">
        <v>391</v>
      </c>
      <c r="D23" s="122" t="str">
        <f>TEXT(D142*1000000,"0.000")&amp;" µF"</f>
        <v>0.100 µF</v>
      </c>
      <c r="E23" s="123" t="s">
        <v>378</v>
      </c>
      <c r="F23" s="154"/>
      <c r="G23" s="145"/>
      <c r="H23" s="141"/>
      <c r="I23" s="208"/>
      <c r="J23" s="209"/>
      <c r="K23" s="146"/>
      <c r="L23" s="141"/>
      <c r="M23" s="146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  <c r="DD23" s="141"/>
      <c r="DE23" s="141"/>
      <c r="DF23" s="141"/>
      <c r="DG23" s="141"/>
      <c r="DH23" s="141"/>
      <c r="DI23" s="141"/>
      <c r="DJ23" s="141"/>
      <c r="DK23" s="141"/>
      <c r="DL23" s="141"/>
      <c r="DM23" s="141"/>
      <c r="DN23" s="141"/>
      <c r="DO23" s="141"/>
      <c r="DP23" s="141"/>
      <c r="DQ23" s="141"/>
      <c r="DR23" s="141"/>
      <c r="DS23" s="141"/>
      <c r="DT23" s="141"/>
      <c r="DU23" s="141"/>
      <c r="DV23" s="141"/>
      <c r="DW23" s="141"/>
      <c r="DX23" s="141"/>
      <c r="DY23" s="141"/>
      <c r="DZ23" s="141"/>
      <c r="EA23" s="141"/>
      <c r="EB23" s="141"/>
      <c r="EC23" s="141"/>
      <c r="ED23" s="141"/>
      <c r="EE23" s="141"/>
      <c r="EF23" s="141"/>
      <c r="EG23" s="141"/>
      <c r="EH23" s="141"/>
      <c r="EI23" s="141"/>
      <c r="EJ23" s="141"/>
      <c r="EK23" s="141"/>
      <c r="EL23" s="141"/>
      <c r="EM23" s="141"/>
      <c r="EN23" s="141"/>
      <c r="EO23" s="141"/>
      <c r="EP23" s="141"/>
      <c r="EQ23" s="141"/>
      <c r="ER23" s="141"/>
      <c r="ES23" s="141"/>
      <c r="ET23" s="141"/>
      <c r="EU23" s="141"/>
      <c r="EV23" s="141"/>
      <c r="EW23" s="141"/>
      <c r="EX23" s="141"/>
      <c r="EY23" s="141"/>
      <c r="EZ23" s="141"/>
      <c r="FA23" s="141"/>
      <c r="FB23" s="141"/>
      <c r="FC23" s="141"/>
      <c r="FD23" s="141"/>
      <c r="FE23" s="141"/>
      <c r="FF23" s="141"/>
      <c r="FG23" s="141"/>
      <c r="FH23" s="141"/>
      <c r="FI23" s="141"/>
      <c r="FJ23" s="141"/>
      <c r="FK23" s="141"/>
      <c r="FL23" s="141"/>
      <c r="FM23" s="141"/>
      <c r="FN23" s="141"/>
      <c r="FO23" s="141"/>
      <c r="FP23" s="141"/>
      <c r="FQ23" s="141"/>
      <c r="FR23" s="141"/>
      <c r="FS23" s="141"/>
      <c r="FT23" s="141"/>
      <c r="FU23" s="141"/>
      <c r="FV23" s="141"/>
      <c r="FW23" s="141"/>
      <c r="FX23" s="141"/>
      <c r="FY23" s="141"/>
      <c r="FZ23" s="141"/>
      <c r="GA23" s="141"/>
      <c r="GB23" s="141"/>
      <c r="GC23" s="141"/>
      <c r="GD23" s="141"/>
      <c r="GE23" s="141"/>
      <c r="GF23" s="141"/>
      <c r="GG23" s="141"/>
      <c r="GH23" s="141"/>
      <c r="GI23" s="141"/>
      <c r="GJ23" s="141"/>
      <c r="GK23" s="141"/>
      <c r="GL23" s="141"/>
      <c r="GM23" s="141"/>
      <c r="GN23" s="141"/>
      <c r="GO23" s="141"/>
      <c r="GP23" s="141"/>
      <c r="GQ23" s="141"/>
      <c r="GR23" s="141"/>
      <c r="GS23" s="141"/>
      <c r="GT23" s="141"/>
      <c r="GU23" s="141"/>
      <c r="GV23" s="141"/>
      <c r="GW23" s="141"/>
      <c r="GX23" s="141"/>
      <c r="GY23" s="141"/>
      <c r="GZ23" s="141"/>
      <c r="HA23" s="141"/>
      <c r="HB23" s="141"/>
      <c r="HC23" s="141"/>
      <c r="HD23" s="141"/>
      <c r="HE23" s="141"/>
      <c r="HF23" s="141"/>
      <c r="HG23" s="141"/>
      <c r="HH23" s="141"/>
      <c r="HI23" s="141"/>
      <c r="HJ23" s="141"/>
      <c r="HK23" s="141"/>
      <c r="HL23" s="141"/>
      <c r="HM23" s="141"/>
      <c r="HN23" s="141"/>
      <c r="HO23" s="141"/>
      <c r="HP23" s="141"/>
      <c r="HQ23" s="141"/>
      <c r="HR23" s="141"/>
      <c r="HS23" s="141"/>
      <c r="HT23" s="141"/>
      <c r="HU23" s="141"/>
      <c r="HV23" s="141"/>
      <c r="HW23" s="141"/>
      <c r="HX23" s="141"/>
      <c r="HY23" s="141"/>
      <c r="HZ23" s="141"/>
      <c r="IA23" s="141"/>
      <c r="IB23" s="141"/>
      <c r="IC23" s="141"/>
      <c r="ID23" s="141"/>
      <c r="IE23" s="141"/>
      <c r="IF23" s="141"/>
      <c r="IG23" s="141"/>
      <c r="IH23" s="141"/>
      <c r="II23" s="141"/>
      <c r="IJ23" s="141"/>
      <c r="IK23" s="141"/>
      <c r="IL23" s="141"/>
      <c r="IM23" s="141"/>
      <c r="IN23" s="141"/>
      <c r="IO23" s="141"/>
      <c r="IP23" s="141"/>
      <c r="IQ23" s="141"/>
      <c r="IR23" s="141"/>
      <c r="IS23" s="141"/>
      <c r="IT23" s="141"/>
      <c r="IU23" s="141"/>
      <c r="IV23" s="141"/>
    </row>
    <row r="24" spans="1:256" s="74" customFormat="1" ht="19.5" x14ac:dyDescent="0.35">
      <c r="A24" s="195"/>
      <c r="B24" s="153" t="s">
        <v>187</v>
      </c>
      <c r="C24" s="153" t="s">
        <v>392</v>
      </c>
      <c r="D24" s="122" t="str">
        <f>IF(Chf&lt;=0.000000000001,"not used",TEXT(Chf*1000000000000,"0")&amp;" pF")</f>
        <v>180 pF</v>
      </c>
      <c r="E24" s="123" t="s">
        <v>378</v>
      </c>
      <c r="F24" s="154"/>
      <c r="G24" s="145"/>
      <c r="H24" s="141"/>
      <c r="I24" s="208"/>
      <c r="J24" s="209"/>
      <c r="K24" s="146"/>
      <c r="L24" s="141"/>
      <c r="M24" s="146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  <c r="DD24" s="141"/>
      <c r="DE24" s="141"/>
      <c r="DF24" s="141"/>
      <c r="DG24" s="141"/>
      <c r="DH24" s="141"/>
      <c r="DI24" s="141"/>
      <c r="DJ24" s="141"/>
      <c r="DK24" s="141"/>
      <c r="DL24" s="141"/>
      <c r="DM24" s="141"/>
      <c r="DN24" s="141"/>
      <c r="DO24" s="141"/>
      <c r="DP24" s="141"/>
      <c r="DQ24" s="141"/>
      <c r="DR24" s="141"/>
      <c r="DS24" s="141"/>
      <c r="DT24" s="141"/>
      <c r="DU24" s="141"/>
      <c r="DV24" s="141"/>
      <c r="DW24" s="141"/>
      <c r="DX24" s="141"/>
      <c r="DY24" s="141"/>
      <c r="DZ24" s="141"/>
      <c r="EA24" s="141"/>
      <c r="EB24" s="141"/>
      <c r="EC24" s="141"/>
      <c r="ED24" s="141"/>
      <c r="EE24" s="141"/>
      <c r="EF24" s="141"/>
      <c r="EG24" s="141"/>
      <c r="EH24" s="141"/>
      <c r="EI24" s="141"/>
      <c r="EJ24" s="141"/>
      <c r="EK24" s="141"/>
      <c r="EL24" s="141"/>
      <c r="EM24" s="141"/>
      <c r="EN24" s="141"/>
      <c r="EO24" s="141"/>
      <c r="EP24" s="141"/>
      <c r="EQ24" s="141"/>
      <c r="ER24" s="141"/>
      <c r="ES24" s="141"/>
      <c r="ET24" s="141"/>
      <c r="EU24" s="141"/>
      <c r="EV24" s="141"/>
      <c r="EW24" s="141"/>
      <c r="EX24" s="141"/>
      <c r="EY24" s="141"/>
      <c r="EZ24" s="141"/>
      <c r="FA24" s="141"/>
      <c r="FB24" s="141"/>
      <c r="FC24" s="141"/>
      <c r="FD24" s="141"/>
      <c r="FE24" s="141"/>
      <c r="FF24" s="141"/>
      <c r="FG24" s="141"/>
      <c r="FH24" s="141"/>
      <c r="FI24" s="141"/>
      <c r="FJ24" s="141"/>
      <c r="FK24" s="141"/>
      <c r="FL24" s="141"/>
      <c r="FM24" s="141"/>
      <c r="FN24" s="141"/>
      <c r="FO24" s="141"/>
      <c r="FP24" s="141"/>
      <c r="FQ24" s="141"/>
      <c r="FR24" s="141"/>
      <c r="FS24" s="141"/>
      <c r="FT24" s="141"/>
      <c r="FU24" s="141"/>
      <c r="FV24" s="141"/>
      <c r="FW24" s="141"/>
      <c r="FX24" s="141"/>
      <c r="FY24" s="141"/>
      <c r="FZ24" s="141"/>
      <c r="GA24" s="141"/>
      <c r="GB24" s="141"/>
      <c r="GC24" s="141"/>
      <c r="GD24" s="141"/>
      <c r="GE24" s="141"/>
      <c r="GF24" s="141"/>
      <c r="GG24" s="141"/>
      <c r="GH24" s="141"/>
      <c r="GI24" s="141"/>
      <c r="GJ24" s="141"/>
      <c r="GK24" s="141"/>
      <c r="GL24" s="141"/>
      <c r="GM24" s="141"/>
      <c r="GN24" s="141"/>
      <c r="GO24" s="141"/>
      <c r="GP24" s="141"/>
      <c r="GQ24" s="141"/>
      <c r="GR24" s="141"/>
      <c r="GS24" s="141"/>
      <c r="GT24" s="141"/>
      <c r="GU24" s="141"/>
      <c r="GV24" s="141"/>
      <c r="GW24" s="141"/>
      <c r="GX24" s="141"/>
      <c r="GY24" s="141"/>
      <c r="GZ24" s="141"/>
      <c r="HA24" s="141"/>
      <c r="HB24" s="141"/>
      <c r="HC24" s="141"/>
      <c r="HD24" s="141"/>
      <c r="HE24" s="141"/>
      <c r="HF24" s="141"/>
      <c r="HG24" s="141"/>
      <c r="HH24" s="141"/>
      <c r="HI24" s="141"/>
      <c r="HJ24" s="141"/>
      <c r="HK24" s="141"/>
      <c r="HL24" s="141"/>
      <c r="HM24" s="141"/>
      <c r="HN24" s="141"/>
      <c r="HO24" s="141"/>
      <c r="HP24" s="141"/>
      <c r="HQ24" s="141"/>
      <c r="HR24" s="141"/>
      <c r="HS24" s="141"/>
      <c r="HT24" s="141"/>
      <c r="HU24" s="141"/>
      <c r="HV24" s="141"/>
      <c r="HW24" s="141"/>
      <c r="HX24" s="141"/>
      <c r="HY24" s="141"/>
      <c r="HZ24" s="141"/>
      <c r="IA24" s="141"/>
      <c r="IB24" s="141"/>
      <c r="IC24" s="141"/>
      <c r="ID24" s="141"/>
      <c r="IE24" s="141"/>
      <c r="IF24" s="141"/>
      <c r="IG24" s="141"/>
      <c r="IH24" s="141"/>
      <c r="II24" s="141"/>
      <c r="IJ24" s="141"/>
      <c r="IK24" s="141"/>
      <c r="IL24" s="141"/>
      <c r="IM24" s="141"/>
      <c r="IN24" s="141"/>
      <c r="IO24" s="141"/>
      <c r="IP24" s="141"/>
      <c r="IQ24" s="141"/>
      <c r="IR24" s="141"/>
      <c r="IS24" s="141"/>
      <c r="IT24" s="141"/>
      <c r="IU24" s="141"/>
      <c r="IV24" s="141"/>
    </row>
    <row r="25" spans="1:256" s="74" customFormat="1" ht="19.5" x14ac:dyDescent="0.35">
      <c r="A25" s="195"/>
      <c r="B25" s="153" t="s">
        <v>380</v>
      </c>
      <c r="C25" s="153" t="s">
        <v>393</v>
      </c>
      <c r="D25" s="122" t="str">
        <f>TEXT(D107*1000000,"0.000")&amp;" µF"</f>
        <v>0.100 µF</v>
      </c>
      <c r="E25" s="123" t="str">
        <f>Vcc_typ&amp;"V"</f>
        <v>5.5V</v>
      </c>
      <c r="F25" s="154"/>
      <c r="G25" s="145"/>
      <c r="H25" s="141"/>
      <c r="I25" s="208"/>
      <c r="J25" s="209"/>
      <c r="K25" s="146"/>
      <c r="L25" s="141"/>
      <c r="M25" s="146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41"/>
      <c r="CN25" s="141"/>
      <c r="CO25" s="141"/>
      <c r="CP25" s="141"/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  <c r="DD25" s="141"/>
      <c r="DE25" s="141"/>
      <c r="DF25" s="141"/>
      <c r="DG25" s="141"/>
      <c r="DH25" s="141"/>
      <c r="DI25" s="141"/>
      <c r="DJ25" s="141"/>
      <c r="DK25" s="141"/>
      <c r="DL25" s="141"/>
      <c r="DM25" s="141"/>
      <c r="DN25" s="141"/>
      <c r="DO25" s="141"/>
      <c r="DP25" s="141"/>
      <c r="DQ25" s="141"/>
      <c r="DR25" s="141"/>
      <c r="DS25" s="141"/>
      <c r="DT25" s="141"/>
      <c r="DU25" s="141"/>
      <c r="DV25" s="141"/>
      <c r="DW25" s="141"/>
      <c r="DX25" s="141"/>
      <c r="DY25" s="141"/>
      <c r="DZ25" s="141"/>
      <c r="EA25" s="141"/>
      <c r="EB25" s="141"/>
      <c r="EC25" s="141"/>
      <c r="ED25" s="141"/>
      <c r="EE25" s="141"/>
      <c r="EF25" s="141"/>
      <c r="EG25" s="141"/>
      <c r="EH25" s="141"/>
      <c r="EI25" s="141"/>
      <c r="EJ25" s="141"/>
      <c r="EK25" s="141"/>
      <c r="EL25" s="141"/>
      <c r="EM25" s="141"/>
      <c r="EN25" s="141"/>
      <c r="EO25" s="141"/>
      <c r="EP25" s="141"/>
      <c r="EQ25" s="141"/>
      <c r="ER25" s="141"/>
      <c r="ES25" s="141"/>
      <c r="ET25" s="141"/>
      <c r="EU25" s="141"/>
      <c r="EV25" s="141"/>
      <c r="EW25" s="141"/>
      <c r="EX25" s="141"/>
      <c r="EY25" s="141"/>
      <c r="EZ25" s="141"/>
      <c r="FA25" s="141"/>
      <c r="FB25" s="141"/>
      <c r="FC25" s="141"/>
      <c r="FD25" s="141"/>
      <c r="FE25" s="141"/>
      <c r="FF25" s="141"/>
      <c r="FG25" s="141"/>
      <c r="FH25" s="141"/>
      <c r="FI25" s="141"/>
      <c r="FJ25" s="141"/>
      <c r="FK25" s="141"/>
      <c r="FL25" s="141"/>
      <c r="FM25" s="141"/>
      <c r="FN25" s="141"/>
      <c r="FO25" s="141"/>
      <c r="FP25" s="141"/>
      <c r="FQ25" s="141"/>
      <c r="FR25" s="141"/>
      <c r="FS25" s="141"/>
      <c r="FT25" s="141"/>
      <c r="FU25" s="141"/>
      <c r="FV25" s="141"/>
      <c r="FW25" s="141"/>
      <c r="FX25" s="141"/>
      <c r="FY25" s="141"/>
      <c r="FZ25" s="141"/>
      <c r="GA25" s="141"/>
      <c r="GB25" s="141"/>
      <c r="GC25" s="141"/>
      <c r="GD25" s="141"/>
      <c r="GE25" s="141"/>
      <c r="GF25" s="141"/>
      <c r="GG25" s="141"/>
      <c r="GH25" s="141"/>
      <c r="GI25" s="141"/>
      <c r="GJ25" s="141"/>
      <c r="GK25" s="141"/>
      <c r="GL25" s="141"/>
      <c r="GM25" s="141"/>
      <c r="GN25" s="141"/>
      <c r="GO25" s="141"/>
      <c r="GP25" s="141"/>
      <c r="GQ25" s="141"/>
      <c r="GR25" s="141"/>
      <c r="GS25" s="141"/>
      <c r="GT25" s="141"/>
      <c r="GU25" s="141"/>
      <c r="GV25" s="141"/>
      <c r="GW25" s="141"/>
      <c r="GX25" s="141"/>
      <c r="GY25" s="141"/>
      <c r="GZ25" s="141"/>
      <c r="HA25" s="141"/>
      <c r="HB25" s="141"/>
      <c r="HC25" s="141"/>
      <c r="HD25" s="141"/>
      <c r="HE25" s="141"/>
      <c r="HF25" s="141"/>
      <c r="HG25" s="141"/>
      <c r="HH25" s="141"/>
      <c r="HI25" s="141"/>
      <c r="HJ25" s="141"/>
      <c r="HK25" s="141"/>
      <c r="HL25" s="141"/>
      <c r="HM25" s="141"/>
      <c r="HN25" s="141"/>
      <c r="HO25" s="141"/>
      <c r="HP25" s="141"/>
      <c r="HQ25" s="141"/>
      <c r="HR25" s="141"/>
      <c r="HS25" s="141"/>
      <c r="HT25" s="141"/>
      <c r="HU25" s="141"/>
      <c r="HV25" s="141"/>
      <c r="HW25" s="141"/>
      <c r="HX25" s="141"/>
      <c r="HY25" s="141"/>
      <c r="HZ25" s="141"/>
      <c r="IA25" s="141"/>
      <c r="IB25" s="141"/>
      <c r="IC25" s="141"/>
      <c r="ID25" s="141"/>
      <c r="IE25" s="141"/>
      <c r="IF25" s="141"/>
      <c r="IG25" s="141"/>
      <c r="IH25" s="141"/>
      <c r="II25" s="141"/>
      <c r="IJ25" s="141"/>
      <c r="IK25" s="141"/>
      <c r="IL25" s="141"/>
      <c r="IM25" s="141"/>
      <c r="IN25" s="141"/>
      <c r="IO25" s="141"/>
      <c r="IP25" s="141"/>
      <c r="IQ25" s="141"/>
      <c r="IR25" s="141"/>
      <c r="IS25" s="141"/>
      <c r="IT25" s="141"/>
      <c r="IU25" s="141"/>
      <c r="IV25" s="141"/>
    </row>
    <row r="26" spans="1:256" s="74" customFormat="1" ht="19.5" x14ac:dyDescent="0.35">
      <c r="A26" s="195"/>
      <c r="B26" s="153" t="s">
        <v>381</v>
      </c>
      <c r="C26" s="153" t="s">
        <v>394</v>
      </c>
      <c r="D26" s="122" t="str">
        <f>TEXT(CVcc*1000000,"0.000")&amp;" µF"</f>
        <v>5.600 µF</v>
      </c>
      <c r="E26" s="123" t="str">
        <f>Vcc_typ&amp;"V"</f>
        <v>5.5V</v>
      </c>
      <c r="F26" s="154"/>
      <c r="G26" s="145"/>
      <c r="H26" s="141"/>
      <c r="I26" s="208"/>
      <c r="J26" s="209"/>
      <c r="K26" s="146"/>
      <c r="L26" s="141"/>
      <c r="M26" s="146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141"/>
      <c r="CP26" s="141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41"/>
      <c r="DP26" s="141"/>
      <c r="DQ26" s="141"/>
      <c r="DR26" s="141"/>
      <c r="DS26" s="141"/>
      <c r="DT26" s="141"/>
      <c r="DU26" s="141"/>
      <c r="DV26" s="141"/>
      <c r="DW26" s="141"/>
      <c r="DX26" s="141"/>
      <c r="DY26" s="141"/>
      <c r="DZ26" s="141"/>
      <c r="EA26" s="141"/>
      <c r="EB26" s="141"/>
      <c r="EC26" s="141"/>
      <c r="ED26" s="141"/>
      <c r="EE26" s="141"/>
      <c r="EF26" s="141"/>
      <c r="EG26" s="141"/>
      <c r="EH26" s="141"/>
      <c r="EI26" s="141"/>
      <c r="EJ26" s="141"/>
      <c r="EK26" s="141"/>
      <c r="EL26" s="141"/>
      <c r="EM26" s="141"/>
      <c r="EN26" s="141"/>
      <c r="EO26" s="141"/>
      <c r="EP26" s="141"/>
      <c r="EQ26" s="141"/>
      <c r="ER26" s="141"/>
      <c r="ES26" s="141"/>
      <c r="ET26" s="141"/>
      <c r="EU26" s="141"/>
      <c r="EV26" s="141"/>
      <c r="EW26" s="141"/>
      <c r="EX26" s="141"/>
      <c r="EY26" s="141"/>
      <c r="EZ26" s="141"/>
      <c r="FA26" s="141"/>
      <c r="FB26" s="141"/>
      <c r="FC26" s="141"/>
      <c r="FD26" s="141"/>
      <c r="FE26" s="141"/>
      <c r="FF26" s="141"/>
      <c r="FG26" s="141"/>
      <c r="FH26" s="141"/>
      <c r="FI26" s="141"/>
      <c r="FJ26" s="141"/>
      <c r="FK26" s="141"/>
      <c r="FL26" s="141"/>
      <c r="FM26" s="141"/>
      <c r="FN26" s="141"/>
      <c r="FO26" s="141"/>
      <c r="FP26" s="141"/>
      <c r="FQ26" s="141"/>
      <c r="FR26" s="141"/>
      <c r="FS26" s="141"/>
      <c r="FT26" s="141"/>
      <c r="FU26" s="141"/>
      <c r="FV26" s="141"/>
      <c r="FW26" s="141"/>
      <c r="FX26" s="141"/>
      <c r="FY26" s="141"/>
      <c r="FZ26" s="141"/>
      <c r="GA26" s="141"/>
      <c r="GB26" s="141"/>
      <c r="GC26" s="141"/>
      <c r="GD26" s="141"/>
      <c r="GE26" s="141"/>
      <c r="GF26" s="141"/>
      <c r="GG26" s="141"/>
      <c r="GH26" s="141"/>
      <c r="GI26" s="141"/>
      <c r="GJ26" s="141"/>
      <c r="GK26" s="141"/>
      <c r="GL26" s="141"/>
      <c r="GM26" s="141"/>
      <c r="GN26" s="141"/>
      <c r="GO26" s="141"/>
      <c r="GP26" s="141"/>
      <c r="GQ26" s="141"/>
      <c r="GR26" s="141"/>
      <c r="GS26" s="141"/>
      <c r="GT26" s="141"/>
      <c r="GU26" s="141"/>
      <c r="GV26" s="141"/>
      <c r="GW26" s="141"/>
      <c r="GX26" s="141"/>
      <c r="GY26" s="141"/>
      <c r="GZ26" s="141"/>
      <c r="HA26" s="141"/>
      <c r="HB26" s="141"/>
      <c r="HC26" s="141"/>
      <c r="HD26" s="141"/>
      <c r="HE26" s="141"/>
      <c r="HF26" s="141"/>
      <c r="HG26" s="141"/>
      <c r="HH26" s="141"/>
      <c r="HI26" s="141"/>
      <c r="HJ26" s="141"/>
      <c r="HK26" s="141"/>
      <c r="HL26" s="141"/>
      <c r="HM26" s="141"/>
      <c r="HN26" s="141"/>
      <c r="HO26" s="141"/>
      <c r="HP26" s="141"/>
      <c r="HQ26" s="141"/>
      <c r="HR26" s="141"/>
      <c r="HS26" s="141"/>
      <c r="HT26" s="141"/>
      <c r="HU26" s="141"/>
      <c r="HV26" s="141"/>
      <c r="HW26" s="141"/>
      <c r="HX26" s="141"/>
      <c r="HY26" s="141"/>
      <c r="HZ26" s="141"/>
      <c r="IA26" s="141"/>
      <c r="IB26" s="141"/>
      <c r="IC26" s="141"/>
      <c r="ID26" s="141"/>
      <c r="IE26" s="141"/>
      <c r="IF26" s="141"/>
      <c r="IG26" s="141"/>
      <c r="IH26" s="141"/>
      <c r="II26" s="141"/>
      <c r="IJ26" s="141"/>
      <c r="IK26" s="141"/>
      <c r="IL26" s="141"/>
      <c r="IM26" s="141"/>
      <c r="IN26" s="141"/>
      <c r="IO26" s="141"/>
      <c r="IP26" s="141"/>
      <c r="IQ26" s="141"/>
      <c r="IR26" s="141"/>
      <c r="IS26" s="141"/>
      <c r="IT26" s="141"/>
      <c r="IU26" s="141"/>
      <c r="IV26" s="141"/>
    </row>
    <row r="27" spans="1:256" s="74" customFormat="1" ht="19.5" x14ac:dyDescent="0.35">
      <c r="A27" s="195"/>
      <c r="B27" s="153" t="s">
        <v>185</v>
      </c>
      <c r="C27" s="153" t="s">
        <v>399</v>
      </c>
      <c r="D27" s="122" t="str">
        <f>TEXT(Cochosen*1000000,"0.0")&amp;" µF, "&amp;TEXT(Co_esr,"0.000")&amp;"Ω"</f>
        <v>220.0 µF, 0.018Ω</v>
      </c>
      <c r="E27" s="123" t="str">
        <f>Vout&amp;"V"</f>
        <v>24V</v>
      </c>
      <c r="F27" s="124" t="str">
        <f>"Irms = "&amp;TEXT(Irms_cout,"0.000")&amp;"A"</f>
        <v>Irms = 7.915A</v>
      </c>
      <c r="G27" s="145"/>
      <c r="H27" s="141"/>
      <c r="I27" s="208"/>
      <c r="J27" s="209"/>
      <c r="K27" s="146"/>
      <c r="L27" s="141"/>
      <c r="M27" s="146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1"/>
      <c r="BN27" s="141"/>
      <c r="BO27" s="141"/>
      <c r="BP27" s="141"/>
      <c r="BQ27" s="141"/>
      <c r="BR27" s="141"/>
      <c r="BS27" s="141"/>
      <c r="BT27" s="141"/>
      <c r="BU27" s="141"/>
      <c r="BV27" s="141"/>
      <c r="BW27" s="141"/>
      <c r="BX27" s="141"/>
      <c r="BY27" s="141"/>
      <c r="BZ27" s="141"/>
      <c r="CA27" s="141"/>
      <c r="CB27" s="141"/>
      <c r="CC27" s="141"/>
      <c r="CD27" s="141"/>
      <c r="CE27" s="141"/>
      <c r="CF27" s="141"/>
      <c r="CG27" s="141"/>
      <c r="CH27" s="141"/>
      <c r="CI27" s="141"/>
      <c r="CJ27" s="141"/>
      <c r="CK27" s="141"/>
      <c r="CL27" s="141"/>
      <c r="CM27" s="141"/>
      <c r="CN27" s="141"/>
      <c r="CO27" s="141"/>
      <c r="CP27" s="141"/>
      <c r="CQ27" s="141"/>
      <c r="CR27" s="141"/>
      <c r="CS27" s="141"/>
      <c r="CT27" s="141"/>
      <c r="CU27" s="141"/>
      <c r="CV27" s="141"/>
      <c r="CW27" s="141"/>
      <c r="CX27" s="141"/>
      <c r="CY27" s="141"/>
      <c r="CZ27" s="141"/>
      <c r="DA27" s="141"/>
      <c r="DB27" s="141"/>
      <c r="DC27" s="141"/>
      <c r="DD27" s="141"/>
      <c r="DE27" s="141"/>
      <c r="DF27" s="141"/>
      <c r="DG27" s="141"/>
      <c r="DH27" s="141"/>
      <c r="DI27" s="141"/>
      <c r="DJ27" s="141"/>
      <c r="DK27" s="141"/>
      <c r="DL27" s="141"/>
      <c r="DM27" s="141"/>
      <c r="DN27" s="141"/>
      <c r="DO27" s="141"/>
      <c r="DP27" s="141"/>
      <c r="DQ27" s="141"/>
      <c r="DR27" s="141"/>
      <c r="DS27" s="141"/>
      <c r="DT27" s="141"/>
      <c r="DU27" s="141"/>
      <c r="DV27" s="141"/>
      <c r="DW27" s="141"/>
      <c r="DX27" s="141"/>
      <c r="DY27" s="141"/>
      <c r="DZ27" s="141"/>
      <c r="EA27" s="141"/>
      <c r="EB27" s="141"/>
      <c r="EC27" s="141"/>
      <c r="ED27" s="141"/>
      <c r="EE27" s="141"/>
      <c r="EF27" s="141"/>
      <c r="EG27" s="141"/>
      <c r="EH27" s="141"/>
      <c r="EI27" s="141"/>
      <c r="EJ27" s="141"/>
      <c r="EK27" s="141"/>
      <c r="EL27" s="141"/>
      <c r="EM27" s="141"/>
      <c r="EN27" s="141"/>
      <c r="EO27" s="141"/>
      <c r="EP27" s="141"/>
      <c r="EQ27" s="141"/>
      <c r="ER27" s="141"/>
      <c r="ES27" s="141"/>
      <c r="ET27" s="141"/>
      <c r="EU27" s="141"/>
      <c r="EV27" s="141"/>
      <c r="EW27" s="141"/>
      <c r="EX27" s="141"/>
      <c r="EY27" s="141"/>
      <c r="EZ27" s="141"/>
      <c r="FA27" s="141"/>
      <c r="FB27" s="141"/>
      <c r="FC27" s="141"/>
      <c r="FD27" s="141"/>
      <c r="FE27" s="141"/>
      <c r="FF27" s="141"/>
      <c r="FG27" s="141"/>
      <c r="FH27" s="141"/>
      <c r="FI27" s="141"/>
      <c r="FJ27" s="141"/>
      <c r="FK27" s="141"/>
      <c r="FL27" s="141"/>
      <c r="FM27" s="141"/>
      <c r="FN27" s="141"/>
      <c r="FO27" s="141"/>
      <c r="FP27" s="141"/>
      <c r="FQ27" s="141"/>
      <c r="FR27" s="141"/>
      <c r="FS27" s="141"/>
      <c r="FT27" s="141"/>
      <c r="FU27" s="141"/>
      <c r="FV27" s="141"/>
      <c r="FW27" s="141"/>
      <c r="FX27" s="141"/>
      <c r="FY27" s="141"/>
      <c r="FZ27" s="141"/>
      <c r="GA27" s="141"/>
      <c r="GB27" s="141"/>
      <c r="GC27" s="141"/>
      <c r="GD27" s="141"/>
      <c r="GE27" s="141"/>
      <c r="GF27" s="141"/>
      <c r="GG27" s="141"/>
      <c r="GH27" s="141"/>
      <c r="GI27" s="141"/>
      <c r="GJ27" s="141"/>
      <c r="GK27" s="141"/>
      <c r="GL27" s="141"/>
      <c r="GM27" s="141"/>
      <c r="GN27" s="141"/>
      <c r="GO27" s="141"/>
      <c r="GP27" s="141"/>
      <c r="GQ27" s="141"/>
      <c r="GR27" s="141"/>
      <c r="GS27" s="141"/>
      <c r="GT27" s="141"/>
      <c r="GU27" s="141"/>
      <c r="GV27" s="141"/>
      <c r="GW27" s="141"/>
      <c r="GX27" s="141"/>
      <c r="GY27" s="141"/>
      <c r="GZ27" s="141"/>
      <c r="HA27" s="141"/>
      <c r="HB27" s="141"/>
      <c r="HC27" s="141"/>
      <c r="HD27" s="141"/>
      <c r="HE27" s="141"/>
      <c r="HF27" s="141"/>
      <c r="HG27" s="141"/>
      <c r="HH27" s="141"/>
      <c r="HI27" s="141"/>
      <c r="HJ27" s="141"/>
      <c r="HK27" s="141"/>
      <c r="HL27" s="141"/>
      <c r="HM27" s="141"/>
      <c r="HN27" s="141"/>
      <c r="HO27" s="141"/>
      <c r="HP27" s="141"/>
      <c r="HQ27" s="141"/>
      <c r="HR27" s="141"/>
      <c r="HS27" s="141"/>
      <c r="HT27" s="141"/>
      <c r="HU27" s="141"/>
      <c r="HV27" s="141"/>
      <c r="HW27" s="141"/>
      <c r="HX27" s="141"/>
      <c r="HY27" s="141"/>
      <c r="HZ27" s="141"/>
      <c r="IA27" s="141"/>
      <c r="IB27" s="141"/>
      <c r="IC27" s="141"/>
      <c r="ID27" s="141"/>
      <c r="IE27" s="141"/>
      <c r="IF27" s="141"/>
      <c r="IG27" s="141"/>
      <c r="IH27" s="141"/>
      <c r="II27" s="141"/>
      <c r="IJ27" s="141"/>
      <c r="IK27" s="141"/>
      <c r="IL27" s="141"/>
      <c r="IM27" s="141"/>
      <c r="IN27" s="141"/>
      <c r="IO27" s="141"/>
      <c r="IP27" s="141"/>
      <c r="IQ27" s="141"/>
      <c r="IR27" s="141"/>
      <c r="IS27" s="141"/>
      <c r="IT27" s="141"/>
      <c r="IU27" s="141"/>
      <c r="IV27" s="141"/>
    </row>
    <row r="28" spans="1:256" s="74" customFormat="1" ht="19.5" x14ac:dyDescent="0.35">
      <c r="A28" s="195"/>
      <c r="B28" s="153" t="s">
        <v>384</v>
      </c>
      <c r="C28" s="153" t="s">
        <v>395</v>
      </c>
      <c r="D28" s="122" t="str">
        <f>D118</f>
        <v>n/a</v>
      </c>
      <c r="E28" s="123" t="str">
        <f>Vout&amp;"V"</f>
        <v>24V</v>
      </c>
      <c r="F28" s="141"/>
      <c r="G28" s="146"/>
      <c r="H28" s="141"/>
      <c r="I28" s="198"/>
      <c r="J28" s="209"/>
      <c r="K28" s="146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/>
      <c r="DA28" s="141"/>
      <c r="DB28" s="141"/>
      <c r="DC28" s="141"/>
      <c r="DD28" s="141"/>
      <c r="DE28" s="141"/>
      <c r="DF28" s="141"/>
      <c r="DG28" s="141"/>
      <c r="DH28" s="141"/>
      <c r="DI28" s="141"/>
      <c r="DJ28" s="141"/>
      <c r="DK28" s="141"/>
      <c r="DL28" s="141"/>
      <c r="DM28" s="141"/>
      <c r="DN28" s="141"/>
      <c r="DO28" s="141"/>
      <c r="DP28" s="141"/>
      <c r="DQ28" s="141"/>
      <c r="DR28" s="141"/>
      <c r="DS28" s="141"/>
      <c r="DT28" s="141"/>
      <c r="DU28" s="141"/>
      <c r="DV28" s="141"/>
      <c r="DW28" s="141"/>
      <c r="DX28" s="141"/>
      <c r="DY28" s="141"/>
      <c r="DZ28" s="141"/>
      <c r="EA28" s="141"/>
      <c r="EB28" s="141"/>
      <c r="EC28" s="141"/>
      <c r="ED28" s="141"/>
      <c r="EE28" s="141"/>
      <c r="EF28" s="141"/>
      <c r="EG28" s="141"/>
      <c r="EH28" s="141"/>
      <c r="EI28" s="141"/>
      <c r="EJ28" s="141"/>
      <c r="EK28" s="141"/>
      <c r="EL28" s="141"/>
      <c r="EM28" s="141"/>
      <c r="EN28" s="141"/>
      <c r="EO28" s="141"/>
      <c r="EP28" s="141"/>
      <c r="EQ28" s="141"/>
      <c r="ER28" s="141"/>
      <c r="ES28" s="141"/>
      <c r="ET28" s="141"/>
      <c r="EU28" s="141"/>
      <c r="EV28" s="141"/>
      <c r="EW28" s="141"/>
      <c r="EX28" s="141"/>
      <c r="EY28" s="141"/>
      <c r="EZ28" s="141"/>
      <c r="FA28" s="141"/>
      <c r="FB28" s="141"/>
      <c r="FC28" s="141"/>
      <c r="FD28" s="141"/>
      <c r="FE28" s="141"/>
      <c r="FF28" s="141"/>
      <c r="FG28" s="141"/>
      <c r="FH28" s="141"/>
      <c r="FI28" s="141"/>
      <c r="FJ28" s="141"/>
      <c r="FK28" s="141"/>
      <c r="FL28" s="141"/>
      <c r="FM28" s="141"/>
      <c r="FN28" s="141"/>
      <c r="FO28" s="141"/>
      <c r="FP28" s="141"/>
      <c r="FQ28" s="141"/>
      <c r="FR28" s="141"/>
      <c r="FS28" s="141"/>
      <c r="FT28" s="141"/>
      <c r="FU28" s="141"/>
      <c r="FV28" s="141"/>
      <c r="FW28" s="141"/>
      <c r="FX28" s="141"/>
      <c r="FY28" s="141"/>
      <c r="FZ28" s="141"/>
      <c r="GA28" s="141"/>
      <c r="GB28" s="141"/>
      <c r="GC28" s="141"/>
      <c r="GD28" s="141"/>
      <c r="GE28" s="141"/>
      <c r="GF28" s="141"/>
      <c r="GG28" s="141"/>
      <c r="GH28" s="141"/>
      <c r="GI28" s="141"/>
      <c r="GJ28" s="141"/>
      <c r="GK28" s="141"/>
      <c r="GL28" s="141"/>
      <c r="GM28" s="141"/>
      <c r="GN28" s="141"/>
      <c r="GO28" s="141"/>
      <c r="GP28" s="141"/>
      <c r="GQ28" s="141"/>
      <c r="GR28" s="141"/>
      <c r="GS28" s="141"/>
      <c r="GT28" s="141"/>
      <c r="GU28" s="141"/>
      <c r="GV28" s="141"/>
      <c r="GW28" s="141"/>
      <c r="GX28" s="141"/>
      <c r="GY28" s="141"/>
      <c r="GZ28" s="141"/>
      <c r="HA28" s="141"/>
      <c r="HB28" s="141"/>
      <c r="HC28" s="141"/>
      <c r="HD28" s="141"/>
      <c r="HE28" s="141"/>
      <c r="HF28" s="141"/>
      <c r="HG28" s="141"/>
      <c r="HH28" s="141"/>
      <c r="HI28" s="141"/>
      <c r="HJ28" s="141"/>
      <c r="HK28" s="141"/>
      <c r="HL28" s="141"/>
      <c r="HM28" s="141"/>
      <c r="HN28" s="141"/>
      <c r="HO28" s="141"/>
      <c r="HP28" s="141"/>
      <c r="HQ28" s="141"/>
      <c r="HR28" s="141"/>
      <c r="HS28" s="141"/>
      <c r="HT28" s="141"/>
      <c r="HU28" s="141"/>
      <c r="HV28" s="141"/>
      <c r="HW28" s="141"/>
      <c r="HX28" s="141"/>
      <c r="HY28" s="141"/>
      <c r="HZ28" s="141"/>
      <c r="IA28" s="141"/>
      <c r="IB28" s="141"/>
      <c r="IC28" s="141"/>
      <c r="ID28" s="141"/>
      <c r="IE28" s="141"/>
      <c r="IF28" s="141"/>
      <c r="IG28" s="141"/>
      <c r="IH28" s="141"/>
      <c r="II28" s="141"/>
      <c r="IJ28" s="141"/>
      <c r="IK28" s="141"/>
      <c r="IL28" s="141"/>
      <c r="IM28" s="141"/>
      <c r="IN28" s="141"/>
      <c r="IO28" s="141"/>
      <c r="IP28" s="141"/>
      <c r="IQ28" s="141"/>
      <c r="IR28" s="141"/>
      <c r="IS28" s="141"/>
      <c r="IT28" s="141"/>
      <c r="IU28" s="141"/>
      <c r="IV28" s="141"/>
    </row>
    <row r="29" spans="1:256" s="74" customFormat="1" x14ac:dyDescent="0.2">
      <c r="A29" s="195"/>
      <c r="B29" s="153" t="s">
        <v>59</v>
      </c>
      <c r="C29" s="153" t="s">
        <v>396</v>
      </c>
      <c r="D29" s="122" t="str">
        <f>TEXT(L*1000000,"0.0")&amp;" µH"</f>
        <v>1.3 µH</v>
      </c>
      <c r="E29" s="124" t="str">
        <f>"Isat = "&amp;TEXT(Isat,"0.000")&amp;"A"</f>
        <v>Isat = 26.757A</v>
      </c>
      <c r="F29" s="124" t="str">
        <f>"Irms = "&amp;TEXT(Ilrms,"0.000")&amp;"A"</f>
        <v>Irms = 20.457A</v>
      </c>
      <c r="G29" s="145"/>
      <c r="H29" s="141"/>
      <c r="I29" s="208"/>
      <c r="J29" s="209"/>
      <c r="K29" s="146"/>
      <c r="L29" s="141"/>
      <c r="M29" s="146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1"/>
      <c r="CG29" s="141"/>
      <c r="CH29" s="141"/>
      <c r="CI29" s="141"/>
      <c r="CJ29" s="141"/>
      <c r="CK29" s="141"/>
      <c r="CL29" s="141"/>
      <c r="CM29" s="141"/>
      <c r="CN29" s="141"/>
      <c r="CO29" s="141"/>
      <c r="CP29" s="141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/>
      <c r="DA29" s="141"/>
      <c r="DB29" s="141"/>
      <c r="DC29" s="141"/>
      <c r="DD29" s="141"/>
      <c r="DE29" s="141"/>
      <c r="DF29" s="141"/>
      <c r="DG29" s="141"/>
      <c r="DH29" s="141"/>
      <c r="DI29" s="141"/>
      <c r="DJ29" s="141"/>
      <c r="DK29" s="141"/>
      <c r="DL29" s="141"/>
      <c r="DM29" s="141"/>
      <c r="DN29" s="141"/>
      <c r="DO29" s="141"/>
      <c r="DP29" s="141"/>
      <c r="DQ29" s="141"/>
      <c r="DR29" s="141"/>
      <c r="DS29" s="141"/>
      <c r="DT29" s="141"/>
      <c r="DU29" s="141"/>
      <c r="DV29" s="141"/>
      <c r="DW29" s="141"/>
      <c r="DX29" s="141"/>
      <c r="DY29" s="141"/>
      <c r="DZ29" s="141"/>
      <c r="EA29" s="141"/>
      <c r="EB29" s="141"/>
      <c r="EC29" s="141"/>
      <c r="ED29" s="141"/>
      <c r="EE29" s="141"/>
      <c r="EF29" s="141"/>
      <c r="EG29" s="141"/>
      <c r="EH29" s="141"/>
      <c r="EI29" s="141"/>
      <c r="EJ29" s="141"/>
      <c r="EK29" s="141"/>
      <c r="EL29" s="141"/>
      <c r="EM29" s="141"/>
      <c r="EN29" s="141"/>
      <c r="EO29" s="141"/>
      <c r="EP29" s="141"/>
      <c r="EQ29" s="141"/>
      <c r="ER29" s="141"/>
      <c r="ES29" s="141"/>
      <c r="ET29" s="141"/>
      <c r="EU29" s="141"/>
      <c r="EV29" s="141"/>
      <c r="EW29" s="141"/>
      <c r="EX29" s="141"/>
      <c r="EY29" s="141"/>
      <c r="EZ29" s="141"/>
      <c r="FA29" s="141"/>
      <c r="FB29" s="141"/>
      <c r="FC29" s="141"/>
      <c r="FD29" s="141"/>
      <c r="FE29" s="141"/>
      <c r="FF29" s="141"/>
      <c r="FG29" s="141"/>
      <c r="FH29" s="141"/>
      <c r="FI29" s="141"/>
      <c r="FJ29" s="141"/>
      <c r="FK29" s="141"/>
      <c r="FL29" s="141"/>
      <c r="FM29" s="141"/>
      <c r="FN29" s="141"/>
      <c r="FO29" s="141"/>
      <c r="FP29" s="141"/>
      <c r="FQ29" s="141"/>
      <c r="FR29" s="141"/>
      <c r="FS29" s="141"/>
      <c r="FT29" s="141"/>
      <c r="FU29" s="141"/>
      <c r="FV29" s="141"/>
      <c r="FW29" s="141"/>
      <c r="FX29" s="141"/>
      <c r="FY29" s="141"/>
      <c r="FZ29" s="141"/>
      <c r="GA29" s="141"/>
      <c r="GB29" s="141"/>
      <c r="GC29" s="141"/>
      <c r="GD29" s="141"/>
      <c r="GE29" s="141"/>
      <c r="GF29" s="141"/>
      <c r="GG29" s="141"/>
      <c r="GH29" s="141"/>
      <c r="GI29" s="141"/>
      <c r="GJ29" s="141"/>
      <c r="GK29" s="141"/>
      <c r="GL29" s="141"/>
      <c r="GM29" s="141"/>
      <c r="GN29" s="141"/>
      <c r="GO29" s="141"/>
      <c r="GP29" s="141"/>
      <c r="GQ29" s="141"/>
      <c r="GR29" s="141"/>
      <c r="GS29" s="141"/>
      <c r="GT29" s="141"/>
      <c r="GU29" s="141"/>
      <c r="GV29" s="141"/>
      <c r="GW29" s="141"/>
      <c r="GX29" s="141"/>
      <c r="GY29" s="141"/>
      <c r="GZ29" s="141"/>
      <c r="HA29" s="141"/>
      <c r="HB29" s="141"/>
      <c r="HC29" s="141"/>
      <c r="HD29" s="141"/>
      <c r="HE29" s="141"/>
      <c r="HF29" s="141"/>
      <c r="HG29" s="141"/>
      <c r="HH29" s="141"/>
      <c r="HI29" s="141"/>
      <c r="HJ29" s="141"/>
      <c r="HK29" s="141"/>
      <c r="HL29" s="141"/>
      <c r="HM29" s="141"/>
      <c r="HN29" s="141"/>
      <c r="HO29" s="141"/>
      <c r="HP29" s="141"/>
      <c r="HQ29" s="141"/>
      <c r="HR29" s="141"/>
      <c r="HS29" s="141"/>
      <c r="HT29" s="141"/>
      <c r="HU29" s="141"/>
      <c r="HV29" s="141"/>
      <c r="HW29" s="141"/>
      <c r="HX29" s="141"/>
      <c r="HY29" s="141"/>
      <c r="HZ29" s="141"/>
      <c r="IA29" s="141"/>
      <c r="IB29" s="141"/>
      <c r="IC29" s="141"/>
      <c r="ID29" s="141"/>
      <c r="IE29" s="141"/>
      <c r="IF29" s="141"/>
      <c r="IG29" s="141"/>
      <c r="IH29" s="141"/>
      <c r="II29" s="141"/>
      <c r="IJ29" s="141"/>
      <c r="IK29" s="141"/>
      <c r="IL29" s="141"/>
      <c r="IM29" s="141"/>
      <c r="IN29" s="141"/>
      <c r="IO29" s="141"/>
      <c r="IP29" s="141"/>
      <c r="IQ29" s="141"/>
      <c r="IR29" s="141"/>
      <c r="IS29" s="141"/>
      <c r="IT29" s="141"/>
      <c r="IU29" s="141"/>
      <c r="IV29" s="141"/>
    </row>
    <row r="30" spans="1:256" s="74" customFormat="1" ht="19.5" x14ac:dyDescent="0.35">
      <c r="A30" s="195"/>
      <c r="B30" s="153" t="s">
        <v>383</v>
      </c>
      <c r="C30" s="153" t="s">
        <v>397</v>
      </c>
      <c r="D30" s="122" t="str">
        <f>D88</f>
        <v>BSC059N04LS6</v>
      </c>
      <c r="E30" s="145"/>
      <c r="F30" s="141"/>
      <c r="G30" s="146"/>
      <c r="H30" s="141"/>
      <c r="I30" s="198"/>
      <c r="J30" s="209"/>
      <c r="K30" s="146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41"/>
      <c r="CL30" s="141"/>
      <c r="CM30" s="141"/>
      <c r="CN30" s="141"/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  <c r="DD30" s="141"/>
      <c r="DE30" s="141"/>
      <c r="DF30" s="141"/>
      <c r="DG30" s="141"/>
      <c r="DH30" s="141"/>
      <c r="DI30" s="141"/>
      <c r="DJ30" s="141"/>
      <c r="DK30" s="141"/>
      <c r="DL30" s="141"/>
      <c r="DM30" s="141"/>
      <c r="DN30" s="141"/>
      <c r="DO30" s="141"/>
      <c r="DP30" s="141"/>
      <c r="DQ30" s="141"/>
      <c r="DR30" s="141"/>
      <c r="DS30" s="141"/>
      <c r="DT30" s="141"/>
      <c r="DU30" s="141"/>
      <c r="DV30" s="141"/>
      <c r="DW30" s="141"/>
      <c r="DX30" s="141"/>
      <c r="DY30" s="141"/>
      <c r="DZ30" s="141"/>
      <c r="EA30" s="141"/>
      <c r="EB30" s="141"/>
      <c r="EC30" s="141"/>
      <c r="ED30" s="141"/>
      <c r="EE30" s="141"/>
      <c r="EF30" s="141"/>
      <c r="EG30" s="141"/>
      <c r="EH30" s="141"/>
      <c r="EI30" s="141"/>
      <c r="EJ30" s="141"/>
      <c r="EK30" s="141"/>
      <c r="EL30" s="141"/>
      <c r="EM30" s="141"/>
      <c r="EN30" s="141"/>
      <c r="EO30" s="141"/>
      <c r="EP30" s="141"/>
      <c r="EQ30" s="141"/>
      <c r="ER30" s="141"/>
      <c r="ES30" s="141"/>
      <c r="ET30" s="141"/>
      <c r="EU30" s="141"/>
      <c r="EV30" s="141"/>
      <c r="EW30" s="141"/>
      <c r="EX30" s="141"/>
      <c r="EY30" s="141"/>
      <c r="EZ30" s="141"/>
      <c r="FA30" s="141"/>
      <c r="FB30" s="141"/>
      <c r="FC30" s="141"/>
      <c r="FD30" s="141"/>
      <c r="FE30" s="141"/>
      <c r="FF30" s="141"/>
      <c r="FG30" s="141"/>
      <c r="FH30" s="141"/>
      <c r="FI30" s="141"/>
      <c r="FJ30" s="141"/>
      <c r="FK30" s="141"/>
      <c r="FL30" s="141"/>
      <c r="FM30" s="141"/>
      <c r="FN30" s="141"/>
      <c r="FO30" s="141"/>
      <c r="FP30" s="141"/>
      <c r="FQ30" s="141"/>
      <c r="FR30" s="141"/>
      <c r="FS30" s="141"/>
      <c r="FT30" s="141"/>
      <c r="FU30" s="141"/>
      <c r="FV30" s="141"/>
      <c r="FW30" s="141"/>
      <c r="FX30" s="141"/>
      <c r="FY30" s="141"/>
      <c r="FZ30" s="141"/>
      <c r="GA30" s="141"/>
      <c r="GB30" s="141"/>
      <c r="GC30" s="141"/>
      <c r="GD30" s="141"/>
      <c r="GE30" s="141"/>
      <c r="GF30" s="141"/>
      <c r="GG30" s="141"/>
      <c r="GH30" s="141"/>
      <c r="GI30" s="141"/>
      <c r="GJ30" s="141"/>
      <c r="GK30" s="141"/>
      <c r="GL30" s="141"/>
      <c r="GM30" s="141"/>
      <c r="GN30" s="141"/>
      <c r="GO30" s="141"/>
      <c r="GP30" s="141"/>
      <c r="GQ30" s="141"/>
      <c r="GR30" s="141"/>
      <c r="GS30" s="141"/>
      <c r="GT30" s="141"/>
      <c r="GU30" s="141"/>
      <c r="GV30" s="141"/>
      <c r="GW30" s="141"/>
      <c r="GX30" s="141"/>
      <c r="GY30" s="141"/>
      <c r="GZ30" s="141"/>
      <c r="HA30" s="141"/>
      <c r="HB30" s="141"/>
      <c r="HC30" s="141"/>
      <c r="HD30" s="141"/>
      <c r="HE30" s="141"/>
      <c r="HF30" s="141"/>
      <c r="HG30" s="141"/>
      <c r="HH30" s="141"/>
      <c r="HI30" s="141"/>
      <c r="HJ30" s="141"/>
      <c r="HK30" s="141"/>
      <c r="HL30" s="141"/>
      <c r="HM30" s="141"/>
      <c r="HN30" s="141"/>
      <c r="HO30" s="141"/>
      <c r="HP30" s="141"/>
      <c r="HQ30" s="141"/>
      <c r="HR30" s="141"/>
      <c r="HS30" s="141"/>
      <c r="HT30" s="141"/>
      <c r="HU30" s="141"/>
      <c r="HV30" s="141"/>
      <c r="HW30" s="141"/>
      <c r="HX30" s="141"/>
      <c r="HY30" s="141"/>
      <c r="HZ30" s="141"/>
      <c r="IA30" s="141"/>
      <c r="IB30" s="141"/>
      <c r="IC30" s="141"/>
      <c r="ID30" s="141"/>
      <c r="IE30" s="141"/>
      <c r="IF30" s="141"/>
      <c r="IG30" s="141"/>
      <c r="IH30" s="141"/>
      <c r="II30" s="141"/>
      <c r="IJ30" s="141"/>
      <c r="IK30" s="141"/>
      <c r="IL30" s="141"/>
      <c r="IM30" s="141"/>
      <c r="IN30" s="141"/>
      <c r="IO30" s="141"/>
      <c r="IP30" s="141"/>
      <c r="IQ30" s="141"/>
      <c r="IR30" s="141"/>
      <c r="IS30" s="141"/>
      <c r="IT30" s="141"/>
      <c r="IU30" s="141"/>
      <c r="IV30" s="141"/>
    </row>
    <row r="31" spans="1:256" s="74" customFormat="1" ht="19.5" x14ac:dyDescent="0.35">
      <c r="A31" s="195"/>
      <c r="B31" s="153" t="s">
        <v>382</v>
      </c>
      <c r="C31" s="153" t="s">
        <v>400</v>
      </c>
      <c r="D31" s="122" t="str">
        <f>D103</f>
        <v>BSC059N04LS6</v>
      </c>
      <c r="E31" s="145"/>
      <c r="F31" s="141"/>
      <c r="G31" s="146"/>
      <c r="H31" s="141"/>
      <c r="I31" s="198"/>
      <c r="J31" s="209"/>
      <c r="K31" s="146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141"/>
      <c r="CP31" s="141"/>
      <c r="CQ31" s="141"/>
      <c r="CR31" s="141"/>
      <c r="CS31" s="141"/>
      <c r="CT31" s="141"/>
      <c r="CU31" s="141"/>
      <c r="CV31" s="141"/>
      <c r="CW31" s="141"/>
      <c r="CX31" s="141"/>
      <c r="CY31" s="141"/>
      <c r="CZ31" s="141"/>
      <c r="DA31" s="141"/>
      <c r="DB31" s="141"/>
      <c r="DC31" s="141"/>
      <c r="DD31" s="141"/>
      <c r="DE31" s="141"/>
      <c r="DF31" s="141"/>
      <c r="DG31" s="141"/>
      <c r="DH31" s="141"/>
      <c r="DI31" s="141"/>
      <c r="DJ31" s="141"/>
      <c r="DK31" s="141"/>
      <c r="DL31" s="141"/>
      <c r="DM31" s="141"/>
      <c r="DN31" s="141"/>
      <c r="DO31" s="141"/>
      <c r="DP31" s="141"/>
      <c r="DQ31" s="141"/>
      <c r="DR31" s="141"/>
      <c r="DS31" s="141"/>
      <c r="DT31" s="141"/>
      <c r="DU31" s="141"/>
      <c r="DV31" s="141"/>
      <c r="DW31" s="141"/>
      <c r="DX31" s="141"/>
      <c r="DY31" s="141"/>
      <c r="DZ31" s="141"/>
      <c r="EA31" s="141"/>
      <c r="EB31" s="141"/>
      <c r="EC31" s="141"/>
      <c r="ED31" s="141"/>
      <c r="EE31" s="141"/>
      <c r="EF31" s="141"/>
      <c r="EG31" s="141"/>
      <c r="EH31" s="141"/>
      <c r="EI31" s="141"/>
      <c r="EJ31" s="141"/>
      <c r="EK31" s="141"/>
      <c r="EL31" s="141"/>
      <c r="EM31" s="141"/>
      <c r="EN31" s="141"/>
      <c r="EO31" s="141"/>
      <c r="EP31" s="141"/>
      <c r="EQ31" s="141"/>
      <c r="ER31" s="141"/>
      <c r="ES31" s="141"/>
      <c r="ET31" s="141"/>
      <c r="EU31" s="141"/>
      <c r="EV31" s="141"/>
      <c r="EW31" s="141"/>
      <c r="EX31" s="141"/>
      <c r="EY31" s="141"/>
      <c r="EZ31" s="141"/>
      <c r="FA31" s="141"/>
      <c r="FB31" s="141"/>
      <c r="FC31" s="141"/>
      <c r="FD31" s="141"/>
      <c r="FE31" s="141"/>
      <c r="FF31" s="141"/>
      <c r="FG31" s="141"/>
      <c r="FH31" s="141"/>
      <c r="FI31" s="141"/>
      <c r="FJ31" s="141"/>
      <c r="FK31" s="141"/>
      <c r="FL31" s="141"/>
      <c r="FM31" s="141"/>
      <c r="FN31" s="141"/>
      <c r="FO31" s="141"/>
      <c r="FP31" s="141"/>
      <c r="FQ31" s="141"/>
      <c r="FR31" s="141"/>
      <c r="FS31" s="141"/>
      <c r="FT31" s="141"/>
      <c r="FU31" s="141"/>
      <c r="FV31" s="141"/>
      <c r="FW31" s="141"/>
      <c r="FX31" s="141"/>
      <c r="FY31" s="141"/>
      <c r="FZ31" s="141"/>
      <c r="GA31" s="141"/>
      <c r="GB31" s="141"/>
      <c r="GC31" s="141"/>
      <c r="GD31" s="141"/>
      <c r="GE31" s="141"/>
      <c r="GF31" s="141"/>
      <c r="GG31" s="141"/>
      <c r="GH31" s="141"/>
      <c r="GI31" s="141"/>
      <c r="GJ31" s="141"/>
      <c r="GK31" s="141"/>
      <c r="GL31" s="141"/>
      <c r="GM31" s="141"/>
      <c r="GN31" s="141"/>
      <c r="GO31" s="141"/>
      <c r="GP31" s="141"/>
      <c r="GQ31" s="141"/>
      <c r="GR31" s="141"/>
      <c r="GS31" s="141"/>
      <c r="GT31" s="141"/>
      <c r="GU31" s="141"/>
      <c r="GV31" s="141"/>
      <c r="GW31" s="141"/>
      <c r="GX31" s="141"/>
      <c r="GY31" s="141"/>
      <c r="GZ31" s="141"/>
      <c r="HA31" s="141"/>
      <c r="HB31" s="141"/>
      <c r="HC31" s="141"/>
      <c r="HD31" s="141"/>
      <c r="HE31" s="141"/>
      <c r="HF31" s="141"/>
      <c r="HG31" s="141"/>
      <c r="HH31" s="141"/>
      <c r="HI31" s="141"/>
      <c r="HJ31" s="141"/>
      <c r="HK31" s="141"/>
      <c r="HL31" s="141"/>
      <c r="HM31" s="141"/>
      <c r="HN31" s="141"/>
      <c r="HO31" s="141"/>
      <c r="HP31" s="141"/>
      <c r="HQ31" s="141"/>
      <c r="HR31" s="141"/>
      <c r="HS31" s="141"/>
      <c r="HT31" s="141"/>
      <c r="HU31" s="141"/>
      <c r="HV31" s="141"/>
      <c r="HW31" s="141"/>
      <c r="HX31" s="141"/>
      <c r="HY31" s="141"/>
      <c r="HZ31" s="141"/>
      <c r="IA31" s="141"/>
      <c r="IB31" s="141"/>
      <c r="IC31" s="141"/>
      <c r="ID31" s="141"/>
      <c r="IE31" s="141"/>
      <c r="IF31" s="141"/>
      <c r="IG31" s="141"/>
      <c r="IH31" s="141"/>
      <c r="II31" s="141"/>
      <c r="IJ31" s="141"/>
      <c r="IK31" s="141"/>
      <c r="IL31" s="141"/>
      <c r="IM31" s="141"/>
      <c r="IN31" s="141"/>
      <c r="IO31" s="141"/>
      <c r="IP31" s="141"/>
      <c r="IQ31" s="141"/>
      <c r="IR31" s="141"/>
      <c r="IS31" s="141"/>
      <c r="IT31" s="141"/>
      <c r="IU31" s="141"/>
      <c r="IV31" s="141"/>
    </row>
    <row r="32" spans="1:256" s="74" customFormat="1" ht="19.5" x14ac:dyDescent="0.35">
      <c r="A32" s="195"/>
      <c r="B32" s="153" t="s">
        <v>375</v>
      </c>
      <c r="C32" s="153" t="s">
        <v>401</v>
      </c>
      <c r="D32" s="123" t="str">
        <f>TEXT(Rsense,"0.000")&amp;" Ω"</f>
        <v>0.002 Ω</v>
      </c>
      <c r="E32" s="123" t="str">
        <f>TEXT(D72,"0.000")&amp;"W"</f>
        <v>3.502W</v>
      </c>
      <c r="F32" s="146"/>
      <c r="G32" s="145"/>
      <c r="H32" s="141"/>
      <c r="I32" s="208"/>
      <c r="J32" s="209"/>
      <c r="K32" s="146"/>
      <c r="L32" s="141"/>
      <c r="M32" s="146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I32" s="141"/>
      <c r="CJ32" s="141"/>
      <c r="CK32" s="141"/>
      <c r="CL32" s="141"/>
      <c r="CM32" s="141"/>
      <c r="CN32" s="141"/>
      <c r="CO32" s="141"/>
      <c r="CP32" s="141"/>
      <c r="CQ32" s="141"/>
      <c r="CR32" s="141"/>
      <c r="CS32" s="141"/>
      <c r="CT32" s="141"/>
      <c r="CU32" s="141"/>
      <c r="CV32" s="141"/>
      <c r="CW32" s="141"/>
      <c r="CX32" s="141"/>
      <c r="CY32" s="141"/>
      <c r="CZ32" s="141"/>
      <c r="DA32" s="141"/>
      <c r="DB32" s="141"/>
      <c r="DC32" s="141"/>
      <c r="DD32" s="141"/>
      <c r="DE32" s="141"/>
      <c r="DF32" s="141"/>
      <c r="DG32" s="141"/>
      <c r="DH32" s="141"/>
      <c r="DI32" s="141"/>
      <c r="DJ32" s="141"/>
      <c r="DK32" s="141"/>
      <c r="DL32" s="141"/>
      <c r="DM32" s="141"/>
      <c r="DN32" s="141"/>
      <c r="DO32" s="141"/>
      <c r="DP32" s="141"/>
      <c r="DQ32" s="141"/>
      <c r="DR32" s="141"/>
      <c r="DS32" s="141"/>
      <c r="DT32" s="141"/>
      <c r="DU32" s="141"/>
      <c r="DV32" s="141"/>
      <c r="DW32" s="141"/>
      <c r="DX32" s="141"/>
      <c r="DY32" s="141"/>
      <c r="DZ32" s="141"/>
      <c r="EA32" s="141"/>
      <c r="EB32" s="141"/>
      <c r="EC32" s="141"/>
      <c r="ED32" s="141"/>
      <c r="EE32" s="141"/>
      <c r="EF32" s="141"/>
      <c r="EG32" s="141"/>
      <c r="EH32" s="141"/>
      <c r="EI32" s="141"/>
      <c r="EJ32" s="141"/>
      <c r="EK32" s="141"/>
      <c r="EL32" s="141"/>
      <c r="EM32" s="141"/>
      <c r="EN32" s="141"/>
      <c r="EO32" s="141"/>
      <c r="EP32" s="141"/>
      <c r="EQ32" s="141"/>
      <c r="ER32" s="141"/>
      <c r="ES32" s="141"/>
      <c r="ET32" s="141"/>
      <c r="EU32" s="141"/>
      <c r="EV32" s="141"/>
      <c r="EW32" s="141"/>
      <c r="EX32" s="141"/>
      <c r="EY32" s="141"/>
      <c r="EZ32" s="141"/>
      <c r="FA32" s="141"/>
      <c r="FB32" s="141"/>
      <c r="FC32" s="141"/>
      <c r="FD32" s="141"/>
      <c r="FE32" s="141"/>
      <c r="FF32" s="141"/>
      <c r="FG32" s="141"/>
      <c r="FH32" s="141"/>
      <c r="FI32" s="141"/>
      <c r="FJ32" s="141"/>
      <c r="FK32" s="141"/>
      <c r="FL32" s="141"/>
      <c r="FM32" s="141"/>
      <c r="FN32" s="141"/>
      <c r="FO32" s="141"/>
      <c r="FP32" s="141"/>
      <c r="FQ32" s="141"/>
      <c r="FR32" s="141"/>
      <c r="FS32" s="141"/>
      <c r="FT32" s="141"/>
      <c r="FU32" s="141"/>
      <c r="FV32" s="141"/>
      <c r="FW32" s="141"/>
      <c r="FX32" s="141"/>
      <c r="FY32" s="141"/>
      <c r="FZ32" s="141"/>
      <c r="GA32" s="141"/>
      <c r="GB32" s="141"/>
      <c r="GC32" s="141"/>
      <c r="GD32" s="141"/>
      <c r="GE32" s="141"/>
      <c r="GF32" s="141"/>
      <c r="GG32" s="141"/>
      <c r="GH32" s="141"/>
      <c r="GI32" s="141"/>
      <c r="GJ32" s="141"/>
      <c r="GK32" s="141"/>
      <c r="GL32" s="141"/>
      <c r="GM32" s="141"/>
      <c r="GN32" s="141"/>
      <c r="GO32" s="141"/>
      <c r="GP32" s="141"/>
      <c r="GQ32" s="141"/>
      <c r="GR32" s="141"/>
      <c r="GS32" s="141"/>
      <c r="GT32" s="141"/>
      <c r="GU32" s="141"/>
      <c r="GV32" s="141"/>
      <c r="GW32" s="141"/>
      <c r="GX32" s="141"/>
      <c r="GY32" s="141"/>
      <c r="GZ32" s="141"/>
      <c r="HA32" s="141"/>
      <c r="HB32" s="141"/>
      <c r="HC32" s="141"/>
      <c r="HD32" s="141"/>
      <c r="HE32" s="141"/>
      <c r="HF32" s="141"/>
      <c r="HG32" s="141"/>
      <c r="HH32" s="141"/>
      <c r="HI32" s="141"/>
      <c r="HJ32" s="141"/>
      <c r="HK32" s="141"/>
      <c r="HL32" s="141"/>
      <c r="HM32" s="141"/>
      <c r="HN32" s="141"/>
      <c r="HO32" s="141"/>
      <c r="HP32" s="141"/>
      <c r="HQ32" s="141"/>
      <c r="HR32" s="141"/>
      <c r="HS32" s="141"/>
      <c r="HT32" s="141"/>
      <c r="HU32" s="141"/>
      <c r="HV32" s="141"/>
      <c r="HW32" s="141"/>
      <c r="HX32" s="141"/>
      <c r="HY32" s="141"/>
      <c r="HZ32" s="141"/>
      <c r="IA32" s="141"/>
      <c r="IB32" s="141"/>
      <c r="IC32" s="141"/>
      <c r="ID32" s="141"/>
      <c r="IE32" s="141"/>
      <c r="IF32" s="141"/>
      <c r="IG32" s="141"/>
      <c r="IH32" s="141"/>
      <c r="II32" s="141"/>
      <c r="IJ32" s="141"/>
      <c r="IK32" s="141"/>
      <c r="IL32" s="141"/>
      <c r="IM32" s="141"/>
      <c r="IN32" s="141"/>
      <c r="IO32" s="141"/>
      <c r="IP32" s="141"/>
      <c r="IQ32" s="141"/>
      <c r="IR32" s="141"/>
      <c r="IS32" s="141"/>
      <c r="IT32" s="141"/>
      <c r="IU32" s="141"/>
      <c r="IV32" s="141"/>
    </row>
    <row r="33" spans="1:256" s="74" customFormat="1" ht="19.5" x14ac:dyDescent="0.35">
      <c r="A33" s="195"/>
      <c r="B33" s="153" t="s">
        <v>414</v>
      </c>
      <c r="C33" s="153" t="s">
        <v>402</v>
      </c>
      <c r="D33" s="123" t="str">
        <f>Ruvloh/1000&amp;" kΩ"</f>
        <v>6.81 kΩ</v>
      </c>
      <c r="E33" s="145"/>
      <c r="F33" s="141"/>
      <c r="G33" s="146"/>
      <c r="H33" s="141"/>
      <c r="I33" s="198"/>
      <c r="J33" s="209"/>
      <c r="K33" s="146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1"/>
      <c r="BN33" s="141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41"/>
      <c r="CG33" s="141"/>
      <c r="CH33" s="141"/>
      <c r="CI33" s="141"/>
      <c r="CJ33" s="141"/>
      <c r="CK33" s="141"/>
      <c r="CL33" s="141"/>
      <c r="CM33" s="141"/>
      <c r="CN33" s="141"/>
      <c r="CO33" s="141"/>
      <c r="CP33" s="141"/>
      <c r="CQ33" s="141"/>
      <c r="CR33" s="141"/>
      <c r="CS33" s="141"/>
      <c r="CT33" s="141"/>
      <c r="CU33" s="141"/>
      <c r="CV33" s="141"/>
      <c r="CW33" s="141"/>
      <c r="CX33" s="141"/>
      <c r="CY33" s="141"/>
      <c r="CZ33" s="141"/>
      <c r="DA33" s="141"/>
      <c r="DB33" s="141"/>
      <c r="DC33" s="141"/>
      <c r="DD33" s="141"/>
      <c r="DE33" s="141"/>
      <c r="DF33" s="141"/>
      <c r="DG33" s="141"/>
      <c r="DH33" s="141"/>
      <c r="DI33" s="141"/>
      <c r="DJ33" s="141"/>
      <c r="DK33" s="141"/>
      <c r="DL33" s="141"/>
      <c r="DM33" s="141"/>
      <c r="DN33" s="141"/>
      <c r="DO33" s="141"/>
      <c r="DP33" s="141"/>
      <c r="DQ33" s="141"/>
      <c r="DR33" s="141"/>
      <c r="DS33" s="141"/>
      <c r="DT33" s="141"/>
      <c r="DU33" s="141"/>
      <c r="DV33" s="141"/>
      <c r="DW33" s="141"/>
      <c r="DX33" s="141"/>
      <c r="DY33" s="141"/>
      <c r="DZ33" s="141"/>
      <c r="EA33" s="141"/>
      <c r="EB33" s="141"/>
      <c r="EC33" s="141"/>
      <c r="ED33" s="141"/>
      <c r="EE33" s="141"/>
      <c r="EF33" s="141"/>
      <c r="EG33" s="141"/>
      <c r="EH33" s="141"/>
      <c r="EI33" s="141"/>
      <c r="EJ33" s="141"/>
      <c r="EK33" s="141"/>
      <c r="EL33" s="141"/>
      <c r="EM33" s="141"/>
      <c r="EN33" s="141"/>
      <c r="EO33" s="141"/>
      <c r="EP33" s="141"/>
      <c r="EQ33" s="141"/>
      <c r="ER33" s="141"/>
      <c r="ES33" s="141"/>
      <c r="ET33" s="141"/>
      <c r="EU33" s="141"/>
      <c r="EV33" s="141"/>
      <c r="EW33" s="141"/>
      <c r="EX33" s="141"/>
      <c r="EY33" s="141"/>
      <c r="EZ33" s="141"/>
      <c r="FA33" s="141"/>
      <c r="FB33" s="141"/>
      <c r="FC33" s="141"/>
      <c r="FD33" s="141"/>
      <c r="FE33" s="141"/>
      <c r="FF33" s="141"/>
      <c r="FG33" s="141"/>
      <c r="FH33" s="141"/>
      <c r="FI33" s="141"/>
      <c r="FJ33" s="141"/>
      <c r="FK33" s="141"/>
      <c r="FL33" s="141"/>
      <c r="FM33" s="141"/>
      <c r="FN33" s="141"/>
      <c r="FO33" s="141"/>
      <c r="FP33" s="141"/>
      <c r="FQ33" s="141"/>
      <c r="FR33" s="141"/>
      <c r="FS33" s="141"/>
      <c r="FT33" s="141"/>
      <c r="FU33" s="141"/>
      <c r="FV33" s="141"/>
      <c r="FW33" s="141"/>
      <c r="FX33" s="141"/>
      <c r="FY33" s="141"/>
      <c r="FZ33" s="141"/>
      <c r="GA33" s="141"/>
      <c r="GB33" s="141"/>
      <c r="GC33" s="141"/>
      <c r="GD33" s="141"/>
      <c r="GE33" s="141"/>
      <c r="GF33" s="141"/>
      <c r="GG33" s="141"/>
      <c r="GH33" s="141"/>
      <c r="GI33" s="141"/>
      <c r="GJ33" s="141"/>
      <c r="GK33" s="141"/>
      <c r="GL33" s="141"/>
      <c r="GM33" s="141"/>
      <c r="GN33" s="141"/>
      <c r="GO33" s="141"/>
      <c r="GP33" s="141"/>
      <c r="GQ33" s="141"/>
      <c r="GR33" s="141"/>
      <c r="GS33" s="141"/>
      <c r="GT33" s="141"/>
      <c r="GU33" s="141"/>
      <c r="GV33" s="141"/>
      <c r="GW33" s="141"/>
      <c r="GX33" s="141"/>
      <c r="GY33" s="141"/>
      <c r="GZ33" s="141"/>
      <c r="HA33" s="141"/>
      <c r="HB33" s="141"/>
      <c r="HC33" s="141"/>
      <c r="HD33" s="141"/>
      <c r="HE33" s="141"/>
      <c r="HF33" s="141"/>
      <c r="HG33" s="141"/>
      <c r="HH33" s="141"/>
      <c r="HI33" s="141"/>
      <c r="HJ33" s="141"/>
      <c r="HK33" s="141"/>
      <c r="HL33" s="141"/>
      <c r="HM33" s="141"/>
      <c r="HN33" s="141"/>
      <c r="HO33" s="141"/>
      <c r="HP33" s="141"/>
      <c r="HQ33" s="141"/>
      <c r="HR33" s="141"/>
      <c r="HS33" s="141"/>
      <c r="HT33" s="141"/>
      <c r="HU33" s="141"/>
      <c r="HV33" s="141"/>
      <c r="HW33" s="141"/>
      <c r="HX33" s="141"/>
      <c r="HY33" s="141"/>
      <c r="HZ33" s="141"/>
      <c r="IA33" s="141"/>
      <c r="IB33" s="141"/>
      <c r="IC33" s="141"/>
      <c r="ID33" s="141"/>
      <c r="IE33" s="141"/>
      <c r="IF33" s="141"/>
      <c r="IG33" s="141"/>
      <c r="IH33" s="141"/>
      <c r="II33" s="141"/>
      <c r="IJ33" s="141"/>
      <c r="IK33" s="141"/>
      <c r="IL33" s="141"/>
      <c r="IM33" s="141"/>
      <c r="IN33" s="141"/>
      <c r="IO33" s="141"/>
      <c r="IP33" s="141"/>
      <c r="IQ33" s="141"/>
      <c r="IR33" s="141"/>
      <c r="IS33" s="141"/>
      <c r="IT33" s="141"/>
      <c r="IU33" s="141"/>
      <c r="IV33" s="141"/>
    </row>
    <row r="34" spans="1:256" s="74" customFormat="1" ht="19.5" x14ac:dyDescent="0.35">
      <c r="A34" s="195"/>
      <c r="B34" s="153" t="s">
        <v>415</v>
      </c>
      <c r="C34" s="153" t="s">
        <v>403</v>
      </c>
      <c r="D34" s="123" t="str">
        <f>Ruvlol/1000&amp;" kΩ"</f>
        <v>2.26 kΩ</v>
      </c>
      <c r="E34" s="145"/>
      <c r="F34" s="141"/>
      <c r="G34" s="146"/>
      <c r="H34" s="141"/>
      <c r="I34" s="198"/>
      <c r="J34" s="209"/>
      <c r="K34" s="146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/>
      <c r="CQ34" s="141"/>
      <c r="CR34" s="141"/>
      <c r="CS34" s="141"/>
      <c r="CT34" s="141"/>
      <c r="CU34" s="141"/>
      <c r="CV34" s="141"/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1"/>
      <c r="DH34" s="141"/>
      <c r="DI34" s="141"/>
      <c r="DJ34" s="141"/>
      <c r="DK34" s="141"/>
      <c r="DL34" s="141"/>
      <c r="DM34" s="141"/>
      <c r="DN34" s="141"/>
      <c r="DO34" s="141"/>
      <c r="DP34" s="141"/>
      <c r="DQ34" s="141"/>
      <c r="DR34" s="141"/>
      <c r="DS34" s="141"/>
      <c r="DT34" s="141"/>
      <c r="DU34" s="141"/>
      <c r="DV34" s="141"/>
      <c r="DW34" s="141"/>
      <c r="DX34" s="141"/>
      <c r="DY34" s="141"/>
      <c r="DZ34" s="141"/>
      <c r="EA34" s="141"/>
      <c r="EB34" s="141"/>
      <c r="EC34" s="141"/>
      <c r="ED34" s="141"/>
      <c r="EE34" s="141"/>
      <c r="EF34" s="141"/>
      <c r="EG34" s="141"/>
      <c r="EH34" s="141"/>
      <c r="EI34" s="141"/>
      <c r="EJ34" s="141"/>
      <c r="EK34" s="141"/>
      <c r="EL34" s="141"/>
      <c r="EM34" s="141"/>
      <c r="EN34" s="141"/>
      <c r="EO34" s="141"/>
      <c r="EP34" s="141"/>
      <c r="EQ34" s="141"/>
      <c r="ER34" s="141"/>
      <c r="ES34" s="141"/>
      <c r="ET34" s="141"/>
      <c r="EU34" s="141"/>
      <c r="EV34" s="141"/>
      <c r="EW34" s="141"/>
      <c r="EX34" s="141"/>
      <c r="EY34" s="141"/>
      <c r="EZ34" s="141"/>
      <c r="FA34" s="141"/>
      <c r="FB34" s="141"/>
      <c r="FC34" s="141"/>
      <c r="FD34" s="141"/>
      <c r="FE34" s="141"/>
      <c r="FF34" s="141"/>
      <c r="FG34" s="141"/>
      <c r="FH34" s="141"/>
      <c r="FI34" s="141"/>
      <c r="FJ34" s="141"/>
      <c r="FK34" s="141"/>
      <c r="FL34" s="141"/>
      <c r="FM34" s="141"/>
      <c r="FN34" s="141"/>
      <c r="FO34" s="141"/>
      <c r="FP34" s="141"/>
      <c r="FQ34" s="141"/>
      <c r="FR34" s="141"/>
      <c r="FS34" s="141"/>
      <c r="FT34" s="141"/>
      <c r="FU34" s="141"/>
      <c r="FV34" s="141"/>
      <c r="FW34" s="141"/>
      <c r="FX34" s="141"/>
      <c r="FY34" s="141"/>
      <c r="FZ34" s="141"/>
      <c r="GA34" s="141"/>
      <c r="GB34" s="141"/>
      <c r="GC34" s="141"/>
      <c r="GD34" s="141"/>
      <c r="GE34" s="141"/>
      <c r="GF34" s="141"/>
      <c r="GG34" s="141"/>
      <c r="GH34" s="141"/>
      <c r="GI34" s="141"/>
      <c r="GJ34" s="141"/>
      <c r="GK34" s="141"/>
      <c r="GL34" s="141"/>
      <c r="GM34" s="141"/>
      <c r="GN34" s="141"/>
      <c r="GO34" s="141"/>
      <c r="GP34" s="141"/>
      <c r="GQ34" s="141"/>
      <c r="GR34" s="141"/>
      <c r="GS34" s="141"/>
      <c r="GT34" s="141"/>
      <c r="GU34" s="141"/>
      <c r="GV34" s="141"/>
      <c r="GW34" s="141"/>
      <c r="GX34" s="141"/>
      <c r="GY34" s="141"/>
      <c r="GZ34" s="141"/>
      <c r="HA34" s="141"/>
      <c r="HB34" s="141"/>
      <c r="HC34" s="141"/>
      <c r="HD34" s="141"/>
      <c r="HE34" s="141"/>
      <c r="HF34" s="141"/>
      <c r="HG34" s="141"/>
      <c r="HH34" s="141"/>
      <c r="HI34" s="141"/>
      <c r="HJ34" s="141"/>
      <c r="HK34" s="141"/>
      <c r="HL34" s="141"/>
      <c r="HM34" s="141"/>
      <c r="HN34" s="141"/>
      <c r="HO34" s="141"/>
      <c r="HP34" s="141"/>
      <c r="HQ34" s="141"/>
      <c r="HR34" s="141"/>
      <c r="HS34" s="141"/>
      <c r="HT34" s="141"/>
      <c r="HU34" s="141"/>
      <c r="HV34" s="141"/>
      <c r="HW34" s="141"/>
      <c r="HX34" s="141"/>
      <c r="HY34" s="141"/>
      <c r="HZ34" s="141"/>
      <c r="IA34" s="141"/>
      <c r="IB34" s="141"/>
      <c r="IC34" s="141"/>
      <c r="ID34" s="141"/>
      <c r="IE34" s="141"/>
      <c r="IF34" s="141"/>
      <c r="IG34" s="141"/>
      <c r="IH34" s="141"/>
      <c r="II34" s="141"/>
      <c r="IJ34" s="141"/>
      <c r="IK34" s="141"/>
      <c r="IL34" s="141"/>
      <c r="IM34" s="141"/>
      <c r="IN34" s="141"/>
      <c r="IO34" s="141"/>
      <c r="IP34" s="141"/>
      <c r="IQ34" s="141"/>
      <c r="IR34" s="141"/>
      <c r="IS34" s="141"/>
      <c r="IT34" s="141"/>
      <c r="IU34" s="141"/>
      <c r="IV34" s="141"/>
    </row>
    <row r="35" spans="1:256" s="74" customFormat="1" ht="19.5" x14ac:dyDescent="0.35">
      <c r="A35" s="195"/>
      <c r="B35" s="153" t="s">
        <v>377</v>
      </c>
      <c r="C35" s="153" t="s">
        <v>402</v>
      </c>
      <c r="D35" s="123" t="str">
        <f>Rcomp/1000&amp;" kΩ"</f>
        <v>22.6 kΩ</v>
      </c>
      <c r="E35" s="145"/>
      <c r="F35" s="141"/>
      <c r="G35" s="146"/>
      <c r="H35" s="141"/>
      <c r="I35" s="198"/>
      <c r="J35" s="209"/>
      <c r="K35" s="146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  <c r="BU35" s="141"/>
      <c r="BV35" s="141"/>
      <c r="BW35" s="141"/>
      <c r="BX35" s="141"/>
      <c r="BY35" s="141"/>
      <c r="BZ35" s="141"/>
      <c r="CA35" s="141"/>
      <c r="CB35" s="141"/>
      <c r="CC35" s="141"/>
      <c r="CD35" s="141"/>
      <c r="CE35" s="141"/>
      <c r="CF35" s="141"/>
      <c r="CG35" s="141"/>
      <c r="CH35" s="141"/>
      <c r="CI35" s="141"/>
      <c r="CJ35" s="141"/>
      <c r="CK35" s="141"/>
      <c r="CL35" s="141"/>
      <c r="CM35" s="141"/>
      <c r="CN35" s="141"/>
      <c r="CO35" s="141"/>
      <c r="CP35" s="141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  <c r="DD35" s="141"/>
      <c r="DE35" s="141"/>
      <c r="DF35" s="141"/>
      <c r="DG35" s="141"/>
      <c r="DH35" s="141"/>
      <c r="DI35" s="141"/>
      <c r="DJ35" s="141"/>
      <c r="DK35" s="141"/>
      <c r="DL35" s="141"/>
      <c r="DM35" s="141"/>
      <c r="DN35" s="141"/>
      <c r="DO35" s="141"/>
      <c r="DP35" s="141"/>
      <c r="DQ35" s="141"/>
      <c r="DR35" s="141"/>
      <c r="DS35" s="141"/>
      <c r="DT35" s="141"/>
      <c r="DU35" s="141"/>
      <c r="DV35" s="141"/>
      <c r="DW35" s="141"/>
      <c r="DX35" s="141"/>
      <c r="DY35" s="141"/>
      <c r="DZ35" s="141"/>
      <c r="EA35" s="141"/>
      <c r="EB35" s="141"/>
      <c r="EC35" s="141"/>
      <c r="ED35" s="141"/>
      <c r="EE35" s="141"/>
      <c r="EF35" s="141"/>
      <c r="EG35" s="141"/>
      <c r="EH35" s="141"/>
      <c r="EI35" s="141"/>
      <c r="EJ35" s="141"/>
      <c r="EK35" s="141"/>
      <c r="EL35" s="141"/>
      <c r="EM35" s="141"/>
      <c r="EN35" s="141"/>
      <c r="EO35" s="141"/>
      <c r="EP35" s="141"/>
      <c r="EQ35" s="141"/>
      <c r="ER35" s="141"/>
      <c r="ES35" s="141"/>
      <c r="ET35" s="141"/>
      <c r="EU35" s="141"/>
      <c r="EV35" s="141"/>
      <c r="EW35" s="141"/>
      <c r="EX35" s="141"/>
      <c r="EY35" s="141"/>
      <c r="EZ35" s="141"/>
      <c r="FA35" s="141"/>
      <c r="FB35" s="141"/>
      <c r="FC35" s="141"/>
      <c r="FD35" s="141"/>
      <c r="FE35" s="141"/>
      <c r="FF35" s="141"/>
      <c r="FG35" s="141"/>
      <c r="FH35" s="141"/>
      <c r="FI35" s="141"/>
      <c r="FJ35" s="141"/>
      <c r="FK35" s="141"/>
      <c r="FL35" s="141"/>
      <c r="FM35" s="141"/>
      <c r="FN35" s="141"/>
      <c r="FO35" s="141"/>
      <c r="FP35" s="141"/>
      <c r="FQ35" s="141"/>
      <c r="FR35" s="141"/>
      <c r="FS35" s="141"/>
      <c r="FT35" s="141"/>
      <c r="FU35" s="141"/>
      <c r="FV35" s="141"/>
      <c r="FW35" s="141"/>
      <c r="FX35" s="141"/>
      <c r="FY35" s="141"/>
      <c r="FZ35" s="141"/>
      <c r="GA35" s="141"/>
      <c r="GB35" s="141"/>
      <c r="GC35" s="141"/>
      <c r="GD35" s="141"/>
      <c r="GE35" s="141"/>
      <c r="GF35" s="141"/>
      <c r="GG35" s="141"/>
      <c r="GH35" s="141"/>
      <c r="GI35" s="141"/>
      <c r="GJ35" s="141"/>
      <c r="GK35" s="141"/>
      <c r="GL35" s="141"/>
      <c r="GM35" s="141"/>
      <c r="GN35" s="141"/>
      <c r="GO35" s="141"/>
      <c r="GP35" s="141"/>
      <c r="GQ35" s="141"/>
      <c r="GR35" s="141"/>
      <c r="GS35" s="141"/>
      <c r="GT35" s="141"/>
      <c r="GU35" s="141"/>
      <c r="GV35" s="141"/>
      <c r="GW35" s="141"/>
      <c r="GX35" s="141"/>
      <c r="GY35" s="141"/>
      <c r="GZ35" s="141"/>
      <c r="HA35" s="141"/>
      <c r="HB35" s="141"/>
      <c r="HC35" s="141"/>
      <c r="HD35" s="141"/>
      <c r="HE35" s="141"/>
      <c r="HF35" s="141"/>
      <c r="HG35" s="141"/>
      <c r="HH35" s="141"/>
      <c r="HI35" s="141"/>
      <c r="HJ35" s="141"/>
      <c r="HK35" s="141"/>
      <c r="HL35" s="141"/>
      <c r="HM35" s="141"/>
      <c r="HN35" s="141"/>
      <c r="HO35" s="141"/>
      <c r="HP35" s="141"/>
      <c r="HQ35" s="141"/>
      <c r="HR35" s="141"/>
      <c r="HS35" s="141"/>
      <c r="HT35" s="141"/>
      <c r="HU35" s="141"/>
      <c r="HV35" s="141"/>
      <c r="HW35" s="141"/>
      <c r="HX35" s="141"/>
      <c r="HY35" s="141"/>
      <c r="HZ35" s="141"/>
      <c r="IA35" s="141"/>
      <c r="IB35" s="141"/>
      <c r="IC35" s="141"/>
      <c r="ID35" s="141"/>
      <c r="IE35" s="141"/>
      <c r="IF35" s="141"/>
      <c r="IG35" s="141"/>
      <c r="IH35" s="141"/>
      <c r="II35" s="141"/>
      <c r="IJ35" s="141"/>
      <c r="IK35" s="141"/>
      <c r="IL35" s="141"/>
      <c r="IM35" s="141"/>
      <c r="IN35" s="141"/>
      <c r="IO35" s="141"/>
      <c r="IP35" s="141"/>
      <c r="IQ35" s="141"/>
      <c r="IR35" s="141"/>
      <c r="IS35" s="141"/>
      <c r="IT35" s="141"/>
      <c r="IU35" s="141"/>
      <c r="IV35" s="141"/>
    </row>
    <row r="36" spans="1:256" s="74" customFormat="1" ht="19.5" x14ac:dyDescent="0.35">
      <c r="A36" s="195"/>
      <c r="B36" s="153" t="s">
        <v>374</v>
      </c>
      <c r="C36" s="153" t="s">
        <v>403</v>
      </c>
      <c r="D36" s="123" t="str">
        <f>Rfreq/1000&amp;" kΩ"</f>
        <v>76.8 kΩ</v>
      </c>
      <c r="E36" s="145"/>
      <c r="F36" s="141"/>
      <c r="G36" s="146"/>
      <c r="H36" s="141"/>
      <c r="I36" s="198"/>
      <c r="J36" s="209"/>
      <c r="K36" s="146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141"/>
      <c r="DE36" s="141"/>
      <c r="DF36" s="141"/>
      <c r="DG36" s="141"/>
      <c r="DH36" s="141"/>
      <c r="DI36" s="141"/>
      <c r="DJ36" s="141"/>
      <c r="DK36" s="141"/>
      <c r="DL36" s="141"/>
      <c r="DM36" s="141"/>
      <c r="DN36" s="141"/>
      <c r="DO36" s="141"/>
      <c r="DP36" s="141"/>
      <c r="DQ36" s="141"/>
      <c r="DR36" s="141"/>
      <c r="DS36" s="141"/>
      <c r="DT36" s="141"/>
      <c r="DU36" s="141"/>
      <c r="DV36" s="141"/>
      <c r="DW36" s="141"/>
      <c r="DX36" s="141"/>
      <c r="DY36" s="141"/>
      <c r="DZ36" s="141"/>
      <c r="EA36" s="141"/>
      <c r="EB36" s="141"/>
      <c r="EC36" s="141"/>
      <c r="ED36" s="141"/>
      <c r="EE36" s="141"/>
      <c r="EF36" s="141"/>
      <c r="EG36" s="141"/>
      <c r="EH36" s="141"/>
      <c r="EI36" s="141"/>
      <c r="EJ36" s="141"/>
      <c r="EK36" s="141"/>
      <c r="EL36" s="141"/>
      <c r="EM36" s="141"/>
      <c r="EN36" s="141"/>
      <c r="EO36" s="141"/>
      <c r="EP36" s="141"/>
      <c r="EQ36" s="141"/>
      <c r="ER36" s="141"/>
      <c r="ES36" s="141"/>
      <c r="ET36" s="141"/>
      <c r="EU36" s="141"/>
      <c r="EV36" s="141"/>
      <c r="EW36" s="141"/>
      <c r="EX36" s="141"/>
      <c r="EY36" s="141"/>
      <c r="EZ36" s="141"/>
      <c r="FA36" s="141"/>
      <c r="FB36" s="141"/>
      <c r="FC36" s="141"/>
      <c r="FD36" s="141"/>
      <c r="FE36" s="141"/>
      <c r="FF36" s="141"/>
      <c r="FG36" s="141"/>
      <c r="FH36" s="141"/>
      <c r="FI36" s="141"/>
      <c r="FJ36" s="141"/>
      <c r="FK36" s="141"/>
      <c r="FL36" s="141"/>
      <c r="FM36" s="141"/>
      <c r="FN36" s="141"/>
      <c r="FO36" s="141"/>
      <c r="FP36" s="141"/>
      <c r="FQ36" s="141"/>
      <c r="FR36" s="141"/>
      <c r="FS36" s="141"/>
      <c r="FT36" s="141"/>
      <c r="FU36" s="141"/>
      <c r="FV36" s="141"/>
      <c r="FW36" s="141"/>
      <c r="FX36" s="141"/>
      <c r="FY36" s="141"/>
      <c r="FZ36" s="141"/>
      <c r="GA36" s="141"/>
      <c r="GB36" s="141"/>
      <c r="GC36" s="141"/>
      <c r="GD36" s="141"/>
      <c r="GE36" s="141"/>
      <c r="GF36" s="141"/>
      <c r="GG36" s="141"/>
      <c r="GH36" s="141"/>
      <c r="GI36" s="141"/>
      <c r="GJ36" s="141"/>
      <c r="GK36" s="141"/>
      <c r="GL36" s="141"/>
      <c r="GM36" s="141"/>
      <c r="GN36" s="141"/>
      <c r="GO36" s="141"/>
      <c r="GP36" s="141"/>
      <c r="GQ36" s="141"/>
      <c r="GR36" s="141"/>
      <c r="GS36" s="141"/>
      <c r="GT36" s="141"/>
      <c r="GU36" s="141"/>
      <c r="GV36" s="141"/>
      <c r="GW36" s="141"/>
      <c r="GX36" s="141"/>
      <c r="GY36" s="141"/>
      <c r="GZ36" s="141"/>
      <c r="HA36" s="141"/>
      <c r="HB36" s="141"/>
      <c r="HC36" s="141"/>
      <c r="HD36" s="141"/>
      <c r="HE36" s="141"/>
      <c r="HF36" s="141"/>
      <c r="HG36" s="141"/>
      <c r="HH36" s="141"/>
      <c r="HI36" s="141"/>
      <c r="HJ36" s="141"/>
      <c r="HK36" s="141"/>
      <c r="HL36" s="141"/>
      <c r="HM36" s="141"/>
      <c r="HN36" s="141"/>
      <c r="HO36" s="141"/>
      <c r="HP36" s="141"/>
      <c r="HQ36" s="141"/>
      <c r="HR36" s="141"/>
      <c r="HS36" s="141"/>
      <c r="HT36" s="141"/>
      <c r="HU36" s="141"/>
      <c r="HV36" s="141"/>
      <c r="HW36" s="141"/>
      <c r="HX36" s="141"/>
      <c r="HY36" s="141"/>
      <c r="HZ36" s="141"/>
      <c r="IA36" s="141"/>
      <c r="IB36" s="141"/>
      <c r="IC36" s="141"/>
      <c r="ID36" s="141"/>
      <c r="IE36" s="141"/>
      <c r="IF36" s="141"/>
      <c r="IG36" s="141"/>
      <c r="IH36" s="141"/>
      <c r="II36" s="141"/>
      <c r="IJ36" s="141"/>
      <c r="IK36" s="141"/>
      <c r="IL36" s="141"/>
      <c r="IM36" s="141"/>
      <c r="IN36" s="141"/>
      <c r="IO36" s="141"/>
      <c r="IP36" s="141"/>
      <c r="IQ36" s="141"/>
      <c r="IR36" s="141"/>
      <c r="IS36" s="141"/>
      <c r="IT36" s="141"/>
      <c r="IU36" s="141"/>
      <c r="IV36" s="141"/>
    </row>
    <row r="37" spans="1:256" s="74" customFormat="1" ht="19.5" x14ac:dyDescent="0.35">
      <c r="A37" s="195"/>
      <c r="B37" s="153" t="s">
        <v>189</v>
      </c>
      <c r="C37" s="153" t="s">
        <v>404</v>
      </c>
      <c r="D37" s="123" t="str">
        <f>Rsl/1000&amp;" kΩ"</f>
        <v>11 kΩ</v>
      </c>
      <c r="E37" s="145"/>
      <c r="F37" s="141"/>
      <c r="G37" s="146"/>
      <c r="H37" s="141"/>
      <c r="I37" s="198"/>
      <c r="J37" s="209"/>
      <c r="K37" s="146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BQ37" s="141"/>
      <c r="BR37" s="141"/>
      <c r="BS37" s="141"/>
      <c r="BT37" s="141"/>
      <c r="BU37" s="141"/>
      <c r="BV37" s="141"/>
      <c r="BW37" s="141"/>
      <c r="BX37" s="141"/>
      <c r="BY37" s="141"/>
      <c r="BZ37" s="141"/>
      <c r="CA37" s="141"/>
      <c r="CB37" s="141"/>
      <c r="CC37" s="141"/>
      <c r="CD37" s="141"/>
      <c r="CE37" s="141"/>
      <c r="CF37" s="141"/>
      <c r="CG37" s="141"/>
      <c r="CH37" s="141"/>
      <c r="CI37" s="141"/>
      <c r="CJ37" s="141"/>
      <c r="CK37" s="141"/>
      <c r="CL37" s="141"/>
      <c r="CM37" s="141"/>
      <c r="CN37" s="141"/>
      <c r="CO37" s="141"/>
      <c r="CP37" s="141"/>
      <c r="CQ37" s="141"/>
      <c r="CR37" s="141"/>
      <c r="CS37" s="141"/>
      <c r="CT37" s="141"/>
      <c r="CU37" s="141"/>
      <c r="CV37" s="141"/>
      <c r="CW37" s="141"/>
      <c r="CX37" s="141"/>
      <c r="CY37" s="141"/>
      <c r="CZ37" s="141"/>
      <c r="DA37" s="141"/>
      <c r="DB37" s="141"/>
      <c r="DC37" s="141"/>
      <c r="DD37" s="141"/>
      <c r="DE37" s="141"/>
      <c r="DF37" s="141"/>
      <c r="DG37" s="141"/>
      <c r="DH37" s="141"/>
      <c r="DI37" s="141"/>
      <c r="DJ37" s="141"/>
      <c r="DK37" s="141"/>
      <c r="DL37" s="141"/>
      <c r="DM37" s="141"/>
      <c r="DN37" s="141"/>
      <c r="DO37" s="141"/>
      <c r="DP37" s="141"/>
      <c r="DQ37" s="141"/>
      <c r="DR37" s="141"/>
      <c r="DS37" s="141"/>
      <c r="DT37" s="141"/>
      <c r="DU37" s="141"/>
      <c r="DV37" s="141"/>
      <c r="DW37" s="141"/>
      <c r="DX37" s="141"/>
      <c r="DY37" s="141"/>
      <c r="DZ37" s="141"/>
      <c r="EA37" s="141"/>
      <c r="EB37" s="141"/>
      <c r="EC37" s="141"/>
      <c r="ED37" s="141"/>
      <c r="EE37" s="141"/>
      <c r="EF37" s="141"/>
      <c r="EG37" s="141"/>
      <c r="EH37" s="141"/>
      <c r="EI37" s="141"/>
      <c r="EJ37" s="141"/>
      <c r="EK37" s="141"/>
      <c r="EL37" s="141"/>
      <c r="EM37" s="141"/>
      <c r="EN37" s="141"/>
      <c r="EO37" s="141"/>
      <c r="EP37" s="141"/>
      <c r="EQ37" s="141"/>
      <c r="ER37" s="141"/>
      <c r="ES37" s="141"/>
      <c r="ET37" s="141"/>
      <c r="EU37" s="141"/>
      <c r="EV37" s="141"/>
      <c r="EW37" s="141"/>
      <c r="EX37" s="141"/>
      <c r="EY37" s="141"/>
      <c r="EZ37" s="141"/>
      <c r="FA37" s="141"/>
      <c r="FB37" s="141"/>
      <c r="FC37" s="141"/>
      <c r="FD37" s="141"/>
      <c r="FE37" s="141"/>
      <c r="FF37" s="141"/>
      <c r="FG37" s="141"/>
      <c r="FH37" s="141"/>
      <c r="FI37" s="141"/>
      <c r="FJ37" s="141"/>
      <c r="FK37" s="141"/>
      <c r="FL37" s="141"/>
      <c r="FM37" s="141"/>
      <c r="FN37" s="141"/>
      <c r="FO37" s="141"/>
      <c r="FP37" s="141"/>
      <c r="FQ37" s="141"/>
      <c r="FR37" s="141"/>
      <c r="FS37" s="141"/>
      <c r="FT37" s="141"/>
      <c r="FU37" s="141"/>
      <c r="FV37" s="141"/>
      <c r="FW37" s="141"/>
      <c r="FX37" s="141"/>
      <c r="FY37" s="141"/>
      <c r="FZ37" s="141"/>
      <c r="GA37" s="141"/>
      <c r="GB37" s="141"/>
      <c r="GC37" s="141"/>
      <c r="GD37" s="141"/>
      <c r="GE37" s="141"/>
      <c r="GF37" s="141"/>
      <c r="GG37" s="141"/>
      <c r="GH37" s="141"/>
      <c r="GI37" s="141"/>
      <c r="GJ37" s="141"/>
      <c r="GK37" s="141"/>
      <c r="GL37" s="141"/>
      <c r="GM37" s="141"/>
      <c r="GN37" s="141"/>
      <c r="GO37" s="141"/>
      <c r="GP37" s="141"/>
      <c r="GQ37" s="141"/>
      <c r="GR37" s="141"/>
      <c r="GS37" s="141"/>
      <c r="GT37" s="141"/>
      <c r="GU37" s="141"/>
      <c r="GV37" s="141"/>
      <c r="GW37" s="141"/>
      <c r="GX37" s="141"/>
      <c r="GY37" s="141"/>
      <c r="GZ37" s="141"/>
      <c r="HA37" s="141"/>
      <c r="HB37" s="141"/>
      <c r="HC37" s="141"/>
      <c r="HD37" s="141"/>
      <c r="HE37" s="141"/>
      <c r="HF37" s="141"/>
      <c r="HG37" s="141"/>
      <c r="HH37" s="141"/>
      <c r="HI37" s="141"/>
      <c r="HJ37" s="141"/>
      <c r="HK37" s="141"/>
      <c r="HL37" s="141"/>
      <c r="HM37" s="141"/>
      <c r="HN37" s="141"/>
      <c r="HO37" s="141"/>
      <c r="HP37" s="141"/>
      <c r="HQ37" s="141"/>
      <c r="HR37" s="141"/>
      <c r="HS37" s="141"/>
      <c r="HT37" s="141"/>
      <c r="HU37" s="141"/>
      <c r="HV37" s="141"/>
      <c r="HW37" s="141"/>
      <c r="HX37" s="141"/>
      <c r="HY37" s="141"/>
      <c r="HZ37" s="141"/>
      <c r="IA37" s="141"/>
      <c r="IB37" s="141"/>
      <c r="IC37" s="141"/>
      <c r="ID37" s="141"/>
      <c r="IE37" s="141"/>
      <c r="IF37" s="141"/>
      <c r="IG37" s="141"/>
      <c r="IH37" s="141"/>
      <c r="II37" s="141"/>
      <c r="IJ37" s="141"/>
      <c r="IK37" s="141"/>
      <c r="IL37" s="141"/>
      <c r="IM37" s="141"/>
      <c r="IN37" s="141"/>
      <c r="IO37" s="141"/>
      <c r="IP37" s="141"/>
      <c r="IQ37" s="141"/>
      <c r="IR37" s="141"/>
      <c r="IS37" s="141"/>
      <c r="IT37" s="141"/>
      <c r="IU37" s="141"/>
      <c r="IV37" s="141"/>
    </row>
    <row r="38" spans="1:256" s="74" customFormat="1" ht="19.5" x14ac:dyDescent="0.35">
      <c r="A38" s="195"/>
      <c r="B38" s="153" t="s">
        <v>188</v>
      </c>
      <c r="C38" s="153" t="s">
        <v>405</v>
      </c>
      <c r="D38" s="123" t="str">
        <f>Rsh/1000&amp;" kΩ"</f>
        <v>205 kΩ</v>
      </c>
      <c r="E38" s="145"/>
      <c r="F38" s="141"/>
      <c r="G38" s="146"/>
      <c r="H38" s="141"/>
      <c r="I38" s="198"/>
      <c r="J38" s="209"/>
      <c r="K38" s="146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41"/>
      <c r="CB38" s="141"/>
      <c r="CC38" s="141"/>
      <c r="CD38" s="141"/>
      <c r="CE38" s="141"/>
      <c r="CF38" s="141"/>
      <c r="CG38" s="141"/>
      <c r="CH38" s="141"/>
      <c r="CI38" s="141"/>
      <c r="CJ38" s="141"/>
      <c r="CK38" s="141"/>
      <c r="CL38" s="141"/>
      <c r="CM38" s="141"/>
      <c r="CN38" s="141"/>
      <c r="CO38" s="141"/>
      <c r="CP38" s="141"/>
      <c r="CQ38" s="141"/>
      <c r="CR38" s="141"/>
      <c r="CS38" s="141"/>
      <c r="CT38" s="141"/>
      <c r="CU38" s="141"/>
      <c r="CV38" s="141"/>
      <c r="CW38" s="141"/>
      <c r="CX38" s="141"/>
      <c r="CY38" s="141"/>
      <c r="CZ38" s="141"/>
      <c r="DA38" s="141"/>
      <c r="DB38" s="141"/>
      <c r="DC38" s="141"/>
      <c r="DD38" s="141"/>
      <c r="DE38" s="141"/>
      <c r="DF38" s="141"/>
      <c r="DG38" s="141"/>
      <c r="DH38" s="141"/>
      <c r="DI38" s="141"/>
      <c r="DJ38" s="141"/>
      <c r="DK38" s="141"/>
      <c r="DL38" s="141"/>
      <c r="DM38" s="141"/>
      <c r="DN38" s="141"/>
      <c r="DO38" s="141"/>
      <c r="DP38" s="141"/>
      <c r="DQ38" s="141"/>
      <c r="DR38" s="141"/>
      <c r="DS38" s="141"/>
      <c r="DT38" s="141"/>
      <c r="DU38" s="141"/>
      <c r="DV38" s="141"/>
      <c r="DW38" s="141"/>
      <c r="DX38" s="141"/>
      <c r="DY38" s="141"/>
      <c r="DZ38" s="141"/>
      <c r="EA38" s="141"/>
      <c r="EB38" s="141"/>
      <c r="EC38" s="141"/>
      <c r="ED38" s="141"/>
      <c r="EE38" s="141"/>
      <c r="EF38" s="141"/>
      <c r="EG38" s="141"/>
      <c r="EH38" s="141"/>
      <c r="EI38" s="141"/>
      <c r="EJ38" s="141"/>
      <c r="EK38" s="141"/>
      <c r="EL38" s="141"/>
      <c r="EM38" s="141"/>
      <c r="EN38" s="141"/>
      <c r="EO38" s="141"/>
      <c r="EP38" s="141"/>
      <c r="EQ38" s="141"/>
      <c r="ER38" s="141"/>
      <c r="ES38" s="141"/>
      <c r="ET38" s="141"/>
      <c r="EU38" s="141"/>
      <c r="EV38" s="141"/>
      <c r="EW38" s="141"/>
      <c r="EX38" s="141"/>
      <c r="EY38" s="141"/>
      <c r="EZ38" s="141"/>
      <c r="FA38" s="141"/>
      <c r="FB38" s="141"/>
      <c r="FC38" s="141"/>
      <c r="FD38" s="141"/>
      <c r="FE38" s="141"/>
      <c r="FF38" s="141"/>
      <c r="FG38" s="141"/>
      <c r="FH38" s="141"/>
      <c r="FI38" s="141"/>
      <c r="FJ38" s="141"/>
      <c r="FK38" s="141"/>
      <c r="FL38" s="141"/>
      <c r="FM38" s="141"/>
      <c r="FN38" s="141"/>
      <c r="FO38" s="141"/>
      <c r="FP38" s="141"/>
      <c r="FQ38" s="141"/>
      <c r="FR38" s="141"/>
      <c r="FS38" s="141"/>
      <c r="FT38" s="141"/>
      <c r="FU38" s="141"/>
      <c r="FV38" s="141"/>
      <c r="FW38" s="141"/>
      <c r="FX38" s="141"/>
      <c r="FY38" s="141"/>
      <c r="FZ38" s="141"/>
      <c r="GA38" s="141"/>
      <c r="GB38" s="141"/>
      <c r="GC38" s="141"/>
      <c r="GD38" s="141"/>
      <c r="GE38" s="141"/>
      <c r="GF38" s="141"/>
      <c r="GG38" s="141"/>
      <c r="GH38" s="141"/>
      <c r="GI38" s="141"/>
      <c r="GJ38" s="141"/>
      <c r="GK38" s="141"/>
      <c r="GL38" s="141"/>
      <c r="GM38" s="141"/>
      <c r="GN38" s="141"/>
      <c r="GO38" s="141"/>
      <c r="GP38" s="141"/>
      <c r="GQ38" s="141"/>
      <c r="GR38" s="141"/>
      <c r="GS38" s="141"/>
      <c r="GT38" s="141"/>
      <c r="GU38" s="141"/>
      <c r="GV38" s="141"/>
      <c r="GW38" s="141"/>
      <c r="GX38" s="141"/>
      <c r="GY38" s="141"/>
      <c r="GZ38" s="141"/>
      <c r="HA38" s="141"/>
      <c r="HB38" s="141"/>
      <c r="HC38" s="141"/>
      <c r="HD38" s="141"/>
      <c r="HE38" s="141"/>
      <c r="HF38" s="141"/>
      <c r="HG38" s="141"/>
      <c r="HH38" s="141"/>
      <c r="HI38" s="141"/>
      <c r="HJ38" s="141"/>
      <c r="HK38" s="141"/>
      <c r="HL38" s="141"/>
      <c r="HM38" s="141"/>
      <c r="HN38" s="141"/>
      <c r="HO38" s="141"/>
      <c r="HP38" s="141"/>
      <c r="HQ38" s="141"/>
      <c r="HR38" s="141"/>
      <c r="HS38" s="141"/>
      <c r="HT38" s="141"/>
      <c r="HU38" s="141"/>
      <c r="HV38" s="141"/>
      <c r="HW38" s="141"/>
      <c r="HX38" s="141"/>
      <c r="HY38" s="141"/>
      <c r="HZ38" s="141"/>
      <c r="IA38" s="141"/>
      <c r="IB38" s="141"/>
      <c r="IC38" s="141"/>
      <c r="ID38" s="141"/>
      <c r="IE38" s="141"/>
      <c r="IF38" s="141"/>
      <c r="IG38" s="141"/>
      <c r="IH38" s="141"/>
      <c r="II38" s="141"/>
      <c r="IJ38" s="141"/>
      <c r="IK38" s="141"/>
      <c r="IL38" s="141"/>
      <c r="IM38" s="141"/>
      <c r="IN38" s="141"/>
      <c r="IO38" s="141"/>
      <c r="IP38" s="141"/>
      <c r="IQ38" s="141"/>
      <c r="IR38" s="141"/>
      <c r="IS38" s="141"/>
      <c r="IT38" s="141"/>
      <c r="IU38" s="141"/>
      <c r="IV38" s="141"/>
    </row>
    <row r="39" spans="1:256" s="74" customFormat="1" ht="19.5" x14ac:dyDescent="0.35">
      <c r="A39" s="195"/>
      <c r="B39" s="153" t="s">
        <v>452</v>
      </c>
      <c r="C39" s="153" t="s">
        <v>453</v>
      </c>
      <c r="D39" s="123" t="str">
        <f>D153/1000&amp;" kΩ"</f>
        <v>100 kΩ</v>
      </c>
      <c r="E39" s="145"/>
      <c r="F39" s="141"/>
      <c r="G39" s="146"/>
      <c r="H39" s="141"/>
      <c r="I39" s="198"/>
      <c r="J39" s="209"/>
      <c r="K39" s="146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41"/>
      <c r="CB39" s="141"/>
      <c r="CC39" s="141"/>
      <c r="CD39" s="141"/>
      <c r="CE39" s="141"/>
      <c r="CF39" s="141"/>
      <c r="CG39" s="141"/>
      <c r="CH39" s="141"/>
      <c r="CI39" s="141"/>
      <c r="CJ39" s="141"/>
      <c r="CK39" s="141"/>
      <c r="CL39" s="141"/>
      <c r="CM39" s="141"/>
      <c r="CN39" s="141"/>
      <c r="CO39" s="141"/>
      <c r="CP39" s="141"/>
      <c r="CQ39" s="141"/>
      <c r="CR39" s="141"/>
      <c r="CS39" s="141"/>
      <c r="CT39" s="141"/>
      <c r="CU39" s="141"/>
      <c r="CV39" s="141"/>
      <c r="CW39" s="141"/>
      <c r="CX39" s="141"/>
      <c r="CY39" s="141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1"/>
      <c r="DM39" s="141"/>
      <c r="DN39" s="141"/>
      <c r="DO39" s="141"/>
      <c r="DP39" s="141"/>
      <c r="DQ39" s="141"/>
      <c r="DR39" s="141"/>
      <c r="DS39" s="141"/>
      <c r="DT39" s="141"/>
      <c r="DU39" s="141"/>
      <c r="DV39" s="141"/>
      <c r="DW39" s="141"/>
      <c r="DX39" s="141"/>
      <c r="DY39" s="141"/>
      <c r="DZ39" s="141"/>
      <c r="EA39" s="141"/>
      <c r="EB39" s="141"/>
      <c r="EC39" s="141"/>
      <c r="ED39" s="141"/>
      <c r="EE39" s="141"/>
      <c r="EF39" s="141"/>
      <c r="EG39" s="141"/>
      <c r="EH39" s="141"/>
      <c r="EI39" s="141"/>
      <c r="EJ39" s="141"/>
      <c r="EK39" s="141"/>
      <c r="EL39" s="141"/>
      <c r="EM39" s="141"/>
      <c r="EN39" s="141"/>
      <c r="EO39" s="141"/>
      <c r="EP39" s="141"/>
      <c r="EQ39" s="141"/>
      <c r="ER39" s="141"/>
      <c r="ES39" s="141"/>
      <c r="ET39" s="141"/>
      <c r="EU39" s="141"/>
      <c r="EV39" s="141"/>
      <c r="EW39" s="141"/>
      <c r="EX39" s="141"/>
      <c r="EY39" s="141"/>
      <c r="EZ39" s="141"/>
      <c r="FA39" s="141"/>
      <c r="FB39" s="141"/>
      <c r="FC39" s="141"/>
      <c r="FD39" s="141"/>
      <c r="FE39" s="141"/>
      <c r="FF39" s="141"/>
      <c r="FG39" s="141"/>
      <c r="FH39" s="141"/>
      <c r="FI39" s="141"/>
      <c r="FJ39" s="141"/>
      <c r="FK39" s="141"/>
      <c r="FL39" s="141"/>
      <c r="FM39" s="141"/>
      <c r="FN39" s="141"/>
      <c r="FO39" s="141"/>
      <c r="FP39" s="141"/>
      <c r="FQ39" s="141"/>
      <c r="FR39" s="141"/>
      <c r="FS39" s="141"/>
      <c r="FT39" s="141"/>
      <c r="FU39" s="141"/>
      <c r="FV39" s="141"/>
      <c r="FW39" s="141"/>
      <c r="FX39" s="141"/>
      <c r="FY39" s="141"/>
      <c r="FZ39" s="141"/>
      <c r="GA39" s="141"/>
      <c r="GB39" s="141"/>
      <c r="GC39" s="141"/>
      <c r="GD39" s="141"/>
      <c r="GE39" s="141"/>
      <c r="GF39" s="141"/>
      <c r="GG39" s="141"/>
      <c r="GH39" s="141"/>
      <c r="GI39" s="141"/>
      <c r="GJ39" s="141"/>
      <c r="GK39" s="141"/>
      <c r="GL39" s="141"/>
      <c r="GM39" s="141"/>
      <c r="GN39" s="141"/>
      <c r="GO39" s="141"/>
      <c r="GP39" s="141"/>
      <c r="GQ39" s="141"/>
      <c r="GR39" s="141"/>
      <c r="GS39" s="141"/>
      <c r="GT39" s="141"/>
      <c r="GU39" s="141"/>
      <c r="GV39" s="141"/>
      <c r="GW39" s="141"/>
      <c r="GX39" s="141"/>
      <c r="GY39" s="141"/>
      <c r="GZ39" s="141"/>
      <c r="HA39" s="141"/>
      <c r="HB39" s="141"/>
      <c r="HC39" s="141"/>
      <c r="HD39" s="141"/>
      <c r="HE39" s="141"/>
      <c r="HF39" s="141"/>
      <c r="HG39" s="141"/>
      <c r="HH39" s="141"/>
      <c r="HI39" s="141"/>
      <c r="HJ39" s="141"/>
      <c r="HK39" s="141"/>
      <c r="HL39" s="141"/>
      <c r="HM39" s="141"/>
      <c r="HN39" s="141"/>
      <c r="HO39" s="141"/>
      <c r="HP39" s="141"/>
      <c r="HQ39" s="141"/>
      <c r="HR39" s="141"/>
      <c r="HS39" s="141"/>
      <c r="HT39" s="141"/>
      <c r="HU39" s="141"/>
      <c r="HV39" s="141"/>
      <c r="HW39" s="141"/>
      <c r="HX39" s="141"/>
      <c r="HY39" s="141"/>
      <c r="HZ39" s="141"/>
      <c r="IA39" s="141"/>
      <c r="IB39" s="141"/>
      <c r="IC39" s="141"/>
      <c r="ID39" s="141"/>
      <c r="IE39" s="141"/>
      <c r="IF39" s="141"/>
      <c r="IG39" s="141"/>
      <c r="IH39" s="141"/>
      <c r="II39" s="141"/>
      <c r="IJ39" s="141"/>
      <c r="IK39" s="141"/>
      <c r="IL39" s="141"/>
      <c r="IM39" s="141"/>
      <c r="IN39" s="141"/>
      <c r="IO39" s="141"/>
      <c r="IP39" s="141"/>
      <c r="IQ39" s="141"/>
      <c r="IR39" s="141"/>
      <c r="IS39" s="141"/>
      <c r="IT39" s="141"/>
      <c r="IU39" s="141"/>
      <c r="IV39" s="141"/>
    </row>
    <row r="40" spans="1:256" ht="15" x14ac:dyDescent="0.25">
      <c r="A40" s="198"/>
      <c r="B40" s="119" t="s">
        <v>120</v>
      </c>
      <c r="C40" s="118" t="s">
        <v>24</v>
      </c>
      <c r="D40" s="261" t="s">
        <v>9</v>
      </c>
      <c r="E40" s="262"/>
      <c r="F40" s="263"/>
      <c r="G40" s="118" t="s">
        <v>8</v>
      </c>
      <c r="H40" s="126" t="s">
        <v>422</v>
      </c>
      <c r="I40" s="210"/>
      <c r="J40" s="202"/>
      <c r="M40" s="147"/>
    </row>
    <row r="41" spans="1:256" x14ac:dyDescent="0.2">
      <c r="A41" s="195"/>
      <c r="B41" s="156"/>
      <c r="C41" s="157"/>
      <c r="D41" s="157"/>
      <c r="E41" s="157"/>
      <c r="F41" s="141"/>
      <c r="G41" s="156"/>
      <c r="H41" s="155"/>
      <c r="I41" s="211"/>
      <c r="J41" s="202"/>
      <c r="M41" s="147"/>
    </row>
    <row r="42" spans="1:256" x14ac:dyDescent="0.2">
      <c r="A42" s="195"/>
      <c r="B42" s="257" t="s">
        <v>36</v>
      </c>
      <c r="C42" s="257"/>
      <c r="D42" s="158"/>
      <c r="E42" s="158"/>
      <c r="F42" s="159"/>
      <c r="G42" s="160"/>
      <c r="H42" s="161"/>
      <c r="I42" s="211"/>
      <c r="J42" s="202"/>
      <c r="M42" s="147"/>
    </row>
    <row r="43" spans="1:256" x14ac:dyDescent="0.2">
      <c r="A43" s="195"/>
      <c r="B43" s="175"/>
      <c r="C43" s="131" t="s">
        <v>198</v>
      </c>
      <c r="D43" s="92">
        <f>MIN(1-toffmin*fsw,95)</f>
        <v>0.8125</v>
      </c>
      <c r="E43" s="92">
        <f>tonmin*fsw</f>
        <v>7.4999999999999997E-2</v>
      </c>
      <c r="F43" s="133"/>
      <c r="G43" s="130"/>
      <c r="H43" s="176" t="s">
        <v>432</v>
      </c>
      <c r="I43" s="211"/>
      <c r="J43" s="202"/>
      <c r="M43" s="147"/>
    </row>
    <row r="44" spans="1:256" x14ac:dyDescent="0.2">
      <c r="A44" s="195"/>
      <c r="B44" s="177">
        <v>11</v>
      </c>
      <c r="C44" s="131" t="s">
        <v>194</v>
      </c>
      <c r="D44" s="92">
        <f>(Vout-Vin_Nom)/(Vout)</f>
        <v>0.81</v>
      </c>
      <c r="E44" s="133"/>
      <c r="F44" s="133"/>
      <c r="G44" s="178"/>
      <c r="H44" s="133" t="s">
        <v>195</v>
      </c>
      <c r="I44" s="198"/>
      <c r="J44" s="202"/>
    </row>
    <row r="45" spans="1:256" x14ac:dyDescent="0.2">
      <c r="A45" s="195"/>
      <c r="B45" s="177">
        <v>11</v>
      </c>
      <c r="C45" s="131" t="s">
        <v>302</v>
      </c>
      <c r="D45" s="92">
        <f>(Vout-Vin_Min)/(Vout)</f>
        <v>0.81666666666666676</v>
      </c>
      <c r="E45" s="133"/>
      <c r="F45" s="133"/>
      <c r="G45" s="178"/>
      <c r="H45" s="133" t="s">
        <v>196</v>
      </c>
      <c r="I45" s="198"/>
      <c r="J45" s="202"/>
    </row>
    <row r="46" spans="1:256" x14ac:dyDescent="0.2">
      <c r="A46" s="195"/>
      <c r="B46" s="177">
        <v>11</v>
      </c>
      <c r="C46" s="131" t="s">
        <v>303</v>
      </c>
      <c r="D46" s="92">
        <f>(Vout-Vin_Max)/(Vout)</f>
        <v>0.75</v>
      </c>
      <c r="E46" s="133"/>
      <c r="F46" s="133"/>
      <c r="G46" s="178"/>
      <c r="H46" s="133" t="s">
        <v>197</v>
      </c>
      <c r="I46" s="198"/>
      <c r="J46" s="202"/>
    </row>
    <row r="47" spans="1:256" x14ac:dyDescent="0.2">
      <c r="A47" s="195"/>
      <c r="B47" s="177" t="s">
        <v>344</v>
      </c>
      <c r="C47" s="131" t="s">
        <v>334</v>
      </c>
      <c r="D47" s="116">
        <f>Dmin/tonmin</f>
        <v>7500000</v>
      </c>
      <c r="E47" s="116">
        <f>(1-Dmax)/(toffmin)</f>
        <v>733333.33333333302</v>
      </c>
      <c r="F47" s="133"/>
      <c r="G47" s="178" t="s">
        <v>5</v>
      </c>
      <c r="H47" s="133" t="s">
        <v>433</v>
      </c>
      <c r="I47" s="198"/>
      <c r="J47" s="202"/>
    </row>
    <row r="48" spans="1:256" x14ac:dyDescent="0.2">
      <c r="A48" s="195"/>
      <c r="B48" s="177">
        <v>14</v>
      </c>
      <c r="C48" s="131" t="s">
        <v>434</v>
      </c>
      <c r="D48" s="95">
        <f>57500/(fsw/1000)*1000</f>
        <v>76666.666666666672</v>
      </c>
      <c r="E48" s="94">
        <f>(IF((10^(LOG(D48)-INT(LOG(D48)))*100)-VLOOKUP((10^(LOG(D48)-INT(LOG(D48)))*100),E96_s:E96_f,1)&lt;VLOOKUP((10^(LOG(D48)-INT(LOG(D48)))*100),E96_s:E96_f,2)-(10^(LOG(D48)-INT(LOG(D48)))*100),VLOOKUP((10^(LOG(D48)-INT(LOG(D48)))*100),E96_s:E96_f,1),VLOOKUP((10^(LOG(D48)-INT(LOG(D48)))*100),E96_s:E96_f,2)))*10^INT(LOG(D48))/100</f>
        <v>76800</v>
      </c>
      <c r="F48" s="133"/>
      <c r="G48" s="178" t="s">
        <v>29</v>
      </c>
      <c r="H48" s="133" t="s">
        <v>264</v>
      </c>
      <c r="I48" s="198"/>
      <c r="J48" s="202"/>
      <c r="M48" s="147"/>
    </row>
    <row r="49" spans="1:41" x14ac:dyDescent="0.2">
      <c r="A49" s="195"/>
      <c r="B49" s="177"/>
      <c r="C49" s="131" t="s">
        <v>435</v>
      </c>
      <c r="D49" s="93">
        <f>E48</f>
        <v>76800</v>
      </c>
      <c r="E49" s="219"/>
      <c r="F49" s="133"/>
      <c r="G49" s="178" t="s">
        <v>29</v>
      </c>
      <c r="H49" s="133" t="s">
        <v>107</v>
      </c>
      <c r="I49" s="198"/>
      <c r="J49" s="202"/>
      <c r="M49" s="147"/>
    </row>
    <row r="50" spans="1:41" x14ac:dyDescent="0.2">
      <c r="A50" s="195"/>
      <c r="B50" s="156"/>
      <c r="C50" s="141"/>
      <c r="D50" s="141"/>
      <c r="E50" s="162"/>
      <c r="F50" s="163"/>
      <c r="G50" s="145"/>
      <c r="H50" s="141"/>
      <c r="I50" s="198"/>
      <c r="J50" s="202"/>
    </row>
    <row r="51" spans="1:41" x14ac:dyDescent="0.2">
      <c r="A51" s="195"/>
      <c r="B51" s="257" t="s">
        <v>111</v>
      </c>
      <c r="C51" s="257"/>
      <c r="D51" s="158"/>
      <c r="E51" s="158"/>
      <c r="F51" s="158"/>
      <c r="G51" s="164"/>
      <c r="H51" s="158"/>
      <c r="I51" s="212"/>
      <c r="J51" s="213"/>
      <c r="M51" s="157"/>
      <c r="N51" s="157"/>
      <c r="AO51" s="165"/>
    </row>
    <row r="52" spans="1:41" x14ac:dyDescent="0.2">
      <c r="A52" s="195"/>
      <c r="B52" s="177">
        <v>15</v>
      </c>
      <c r="C52" s="131" t="s">
        <v>317</v>
      </c>
      <c r="D52" s="115">
        <f>Iout/(1-Dmax)</f>
        <v>20.454545454545464</v>
      </c>
      <c r="E52" s="133"/>
      <c r="F52" s="146"/>
      <c r="G52" s="178" t="s">
        <v>2</v>
      </c>
      <c r="H52" s="133" t="s">
        <v>343</v>
      </c>
      <c r="I52" s="198"/>
      <c r="J52" s="202"/>
    </row>
    <row r="53" spans="1:41" x14ac:dyDescent="0.2">
      <c r="A53" s="195"/>
      <c r="B53" s="177"/>
      <c r="C53" s="131" t="s">
        <v>4</v>
      </c>
      <c r="D53" s="84">
        <v>0.3</v>
      </c>
      <c r="E53" s="133"/>
      <c r="F53" s="133"/>
      <c r="G53" s="178"/>
      <c r="H53" s="133" t="s">
        <v>110</v>
      </c>
      <c r="I53" s="198"/>
      <c r="J53" s="202"/>
    </row>
    <row r="54" spans="1:41" x14ac:dyDescent="0.2">
      <c r="A54" s="195"/>
      <c r="B54" s="177"/>
      <c r="C54" s="131" t="s">
        <v>312</v>
      </c>
      <c r="D54" s="115">
        <f>Iout/(1-Dmax)*Kind</f>
        <v>6.1363636363636394</v>
      </c>
      <c r="E54" s="133"/>
      <c r="F54" s="133"/>
      <c r="G54" s="178" t="s">
        <v>2</v>
      </c>
      <c r="H54" s="133" t="s">
        <v>309</v>
      </c>
      <c r="I54" s="198"/>
      <c r="J54" s="202"/>
    </row>
    <row r="55" spans="1:41" x14ac:dyDescent="0.2">
      <c r="A55" s="195"/>
      <c r="B55" s="177">
        <v>17</v>
      </c>
      <c r="C55" s="131" t="s">
        <v>306</v>
      </c>
      <c r="D55" s="81">
        <f>Vin_Max*Dmin/(fsw*Iout/(1-Dmax)*Kind)</f>
        <v>9.7777777777777736E-7</v>
      </c>
      <c r="E55" s="133"/>
      <c r="F55" s="133"/>
      <c r="G55" s="178" t="s">
        <v>6</v>
      </c>
      <c r="H55" s="176" t="s">
        <v>454</v>
      </c>
      <c r="I55" s="214"/>
      <c r="J55" s="202"/>
      <c r="M55" s="147"/>
    </row>
    <row r="56" spans="1:41" x14ac:dyDescent="0.2">
      <c r="A56" s="195"/>
      <c r="B56" s="177">
        <v>17</v>
      </c>
      <c r="C56" s="131" t="s">
        <v>307</v>
      </c>
      <c r="D56" s="81">
        <f>Vin_Min*Dmax/(fsw*Iout/(1-Dmax)*Kind)</f>
        <v>7.8077366255144012E-7</v>
      </c>
      <c r="E56" s="133"/>
      <c r="F56" s="133"/>
      <c r="G56" s="178" t="s">
        <v>6</v>
      </c>
      <c r="H56" s="176" t="s">
        <v>455</v>
      </c>
      <c r="I56" s="214"/>
      <c r="J56" s="202"/>
      <c r="M56" s="147"/>
    </row>
    <row r="57" spans="1:41" x14ac:dyDescent="0.2">
      <c r="A57" s="195"/>
      <c r="B57" s="177">
        <v>16</v>
      </c>
      <c r="C57" s="131" t="s">
        <v>308</v>
      </c>
      <c r="D57" s="81" t="str">
        <f>IF(Dmax&lt;50%,"n/a",IF(Dmin&gt;50%,"n/a",Vout/(4*fsw*Iout/(1-Dmax)*Kind)))</f>
        <v>n/a</v>
      </c>
      <c r="E57" s="133"/>
      <c r="F57" s="133"/>
      <c r="G57" s="178" t="s">
        <v>6</v>
      </c>
      <c r="H57" s="176" t="s">
        <v>456</v>
      </c>
      <c r="I57" s="214"/>
      <c r="J57" s="202"/>
      <c r="M57" s="147"/>
    </row>
    <row r="58" spans="1:41" x14ac:dyDescent="0.2">
      <c r="A58" s="195"/>
      <c r="B58" s="177"/>
      <c r="C58" s="131" t="s">
        <v>436</v>
      </c>
      <c r="D58" s="93">
        <v>1.3E-6</v>
      </c>
      <c r="E58" s="134"/>
      <c r="F58" s="133"/>
      <c r="G58" s="178" t="s">
        <v>6</v>
      </c>
      <c r="H58" s="176" t="s">
        <v>438</v>
      </c>
      <c r="I58" s="214"/>
      <c r="J58" s="202"/>
      <c r="M58" s="147"/>
    </row>
    <row r="59" spans="1:41" x14ac:dyDescent="0.2">
      <c r="A59" s="195"/>
      <c r="B59" s="177"/>
      <c r="C59" s="131" t="s">
        <v>27</v>
      </c>
      <c r="D59" s="100">
        <v>4.0000000000000001E-3</v>
      </c>
      <c r="E59" s="133"/>
      <c r="F59" s="133"/>
      <c r="G59" s="178" t="s">
        <v>29</v>
      </c>
      <c r="H59" s="133" t="s">
        <v>437</v>
      </c>
      <c r="I59" s="198"/>
      <c r="J59" s="202"/>
    </row>
    <row r="60" spans="1:41" x14ac:dyDescent="0.2">
      <c r="A60" s="195"/>
      <c r="B60" s="177"/>
      <c r="C60" s="179" t="s">
        <v>202</v>
      </c>
      <c r="D60" s="83">
        <f>Vin_Min*Dmax/(L*fsw)</f>
        <v>3.6854700854700861</v>
      </c>
      <c r="E60" s="83">
        <f>Vin_Nom*Dnom/(L*fsw)</f>
        <v>3.7883076923076922</v>
      </c>
      <c r="F60" s="83">
        <f>Vin_Max*Dmin/(L*fsw)</f>
        <v>4.615384615384615</v>
      </c>
      <c r="G60" s="178" t="s">
        <v>2</v>
      </c>
      <c r="H60" s="133" t="s">
        <v>118</v>
      </c>
      <c r="I60" s="198"/>
      <c r="J60" s="202"/>
    </row>
    <row r="61" spans="1:41" x14ac:dyDescent="0.2">
      <c r="A61" s="195"/>
      <c r="B61" s="177">
        <v>48</v>
      </c>
      <c r="C61" s="131" t="s">
        <v>30</v>
      </c>
      <c r="D61" s="83">
        <f>((Vout-Vin_Min)*Vin_Min^2)/(2*(Vout)^2*fsw*L)</f>
        <v>0.33783475783475786</v>
      </c>
      <c r="E61" s="83">
        <f>((Vout-Vin_Nom)*Vin_Nom^2)/(2*(Vout)^2*fsw*L)</f>
        <v>0.35988923076923074</v>
      </c>
      <c r="F61" s="83">
        <f>((Vout-Vin_Max)*Vin_Max^2)/(2*(Vout)^2*fsw*L)</f>
        <v>0.57692307692307687</v>
      </c>
      <c r="G61" s="178" t="s">
        <v>2</v>
      </c>
      <c r="H61" s="133" t="s">
        <v>345</v>
      </c>
      <c r="I61" s="215"/>
      <c r="J61" s="202"/>
      <c r="M61" s="162"/>
    </row>
    <row r="62" spans="1:41" x14ac:dyDescent="0.2">
      <c r="A62" s="195"/>
      <c r="B62" s="177"/>
      <c r="C62" s="131" t="s">
        <v>338</v>
      </c>
      <c r="D62" s="83">
        <f>Vin_Min^2*fsw*tonmin^2/(2*L*(Vout-Vin_Min))</f>
        <v>2.8492935635792776E-3</v>
      </c>
      <c r="E62" s="83">
        <f>Vin_Nom^2*fsw*tonmin^2/(2*L*(Vout-Vin_Nom))</f>
        <v>3.0854700854700844E-3</v>
      </c>
      <c r="F62" s="83">
        <f>Vin_Max^2*fsw*tonmin^2/(2*L*(Vout-Vin_Max))</f>
        <v>5.7692307692307687E-3</v>
      </c>
      <c r="G62" s="178" t="s">
        <v>2</v>
      </c>
      <c r="H62" s="133" t="s">
        <v>346</v>
      </c>
      <c r="I62" s="215"/>
      <c r="J62" s="202"/>
      <c r="M62" s="162"/>
    </row>
    <row r="63" spans="1:41" x14ac:dyDescent="0.2">
      <c r="A63" s="195"/>
      <c r="B63" s="177">
        <v>18</v>
      </c>
      <c r="C63" s="131" t="s">
        <v>203</v>
      </c>
      <c r="D63" s="83">
        <f>(SQRT((Iout/(1-Dmax))^2+(Iripple/12)^2))</f>
        <v>20.456851028113974</v>
      </c>
      <c r="E63" s="83">
        <f>(SQRT((Iout/(1-Dnom))^2+(E60/12)^2))</f>
        <v>19.739366705171296</v>
      </c>
      <c r="F63" s="83">
        <f>(SQRT((Iout/(1-Dmin))^2+(F60/12)^2))</f>
        <v>15.004930156254737</v>
      </c>
      <c r="G63" s="178" t="s">
        <v>2</v>
      </c>
      <c r="H63" s="135" t="s">
        <v>63</v>
      </c>
      <c r="I63" s="215"/>
      <c r="J63" s="202"/>
    </row>
    <row r="64" spans="1:41" x14ac:dyDescent="0.2">
      <c r="A64" s="195"/>
      <c r="B64" s="177">
        <v>19</v>
      </c>
      <c r="C64" s="131" t="s">
        <v>204</v>
      </c>
      <c r="D64" s="83">
        <f>Iout/(1-Dmax)+Iripple/2</f>
        <v>22.297280497280507</v>
      </c>
      <c r="E64" s="83">
        <f>1.2*Ilpeak</f>
        <v>26.756736596736609</v>
      </c>
      <c r="F64" s="133"/>
      <c r="G64" s="178" t="s">
        <v>2</v>
      </c>
      <c r="H64" s="133" t="s">
        <v>119</v>
      </c>
      <c r="I64" s="215"/>
      <c r="J64" s="202"/>
      <c r="M64" s="162"/>
    </row>
    <row r="65" spans="1:41" x14ac:dyDescent="0.2">
      <c r="A65" s="195"/>
      <c r="B65" s="177"/>
      <c r="C65" s="131" t="s">
        <v>205</v>
      </c>
      <c r="D65" s="83">
        <f>Ilrms^2*DCR</f>
        <v>1.673931015945791</v>
      </c>
      <c r="E65" s="83">
        <f>E63^2*DCR</f>
        <v>1.5585703916849005</v>
      </c>
      <c r="F65" s="83">
        <f>F63^2*DCR</f>
        <v>0.90059171597633125</v>
      </c>
      <c r="G65" s="178" t="s">
        <v>12</v>
      </c>
      <c r="H65" s="133" t="s">
        <v>347</v>
      </c>
      <c r="I65" s="198"/>
      <c r="J65" s="202"/>
    </row>
    <row r="66" spans="1:41" x14ac:dyDescent="0.2">
      <c r="A66" s="195"/>
      <c r="B66" s="148"/>
      <c r="C66" s="149"/>
      <c r="D66" s="162"/>
      <c r="E66" s="162"/>
      <c r="F66" s="162"/>
      <c r="G66" s="145"/>
      <c r="H66" s="141"/>
      <c r="I66" s="198"/>
      <c r="J66" s="202"/>
    </row>
    <row r="67" spans="1:41" x14ac:dyDescent="0.2">
      <c r="A67" s="195"/>
      <c r="B67" s="257" t="s">
        <v>407</v>
      </c>
      <c r="C67" s="257"/>
      <c r="D67" s="158"/>
      <c r="E67" s="158"/>
      <c r="F67" s="158"/>
      <c r="G67" s="164"/>
      <c r="H67" s="158"/>
      <c r="I67" s="212"/>
      <c r="J67" s="213"/>
      <c r="M67" s="157"/>
      <c r="N67" s="157"/>
      <c r="AO67" s="165"/>
    </row>
    <row r="68" spans="1:41" x14ac:dyDescent="0.2">
      <c r="A68" s="195"/>
      <c r="B68" s="177">
        <v>20</v>
      </c>
      <c r="C68" s="131" t="s">
        <v>337</v>
      </c>
      <c r="D68" s="83">
        <f>(0.000003*(Dmax*100)^3 - 0.0019*(Dmax*100)^2 + 0.023*(Dmax*100) + 73.402)/1000</f>
        <v>6.4242402777777791E-2</v>
      </c>
      <c r="E68" s="83">
        <f>(0.000003*(Dnom*100)^3 - 0.0019*(Dnom*100)^2 + 0.023*(Dnom*100) + 73.402)/1000</f>
        <v>6.4393423000000005E-2</v>
      </c>
      <c r="F68" s="83">
        <f>(0.000003*(Dmin*100)^3 - 0.0019*(Dmin*100)^2 + 0.023*(Dmin*100) + 73.402)/1000</f>
        <v>6.5705124999999989E-2</v>
      </c>
      <c r="G68" s="178" t="s">
        <v>3</v>
      </c>
      <c r="H68" s="133" t="s">
        <v>349</v>
      </c>
      <c r="I68" s="198"/>
      <c r="J68" s="202"/>
    </row>
    <row r="69" spans="1:41" x14ac:dyDescent="0.2">
      <c r="A69" s="195"/>
      <c r="B69" s="177"/>
      <c r="C69" s="131" t="s">
        <v>199</v>
      </c>
      <c r="D69" s="83">
        <f>((0.000003*Dmax*100^3 - 0.0019*Dmax*100^2 + 0.023*Dmax*100 + 73.402)-10)/1000</f>
        <v>5.2213666666666665E-2</v>
      </c>
      <c r="E69" s="83">
        <f>((0.000003*Dnom*100^3 - 0.0019*Dnom*100^2 + 0.023*Dnom*100 + 73.402)-10)/1000</f>
        <v>5.2304999999999997E-2</v>
      </c>
      <c r="F69" s="83">
        <f>((0.000003*(Dmin*100)^3 - 0.0019*(Dmin*100)^2 + 0.023*(Dmin*100) + 73.402)-10)/1000</f>
        <v>5.5705124999999994E-2</v>
      </c>
      <c r="G69" s="178" t="s">
        <v>3</v>
      </c>
      <c r="H69" s="133" t="s">
        <v>350</v>
      </c>
      <c r="I69" s="198"/>
      <c r="J69" s="202"/>
    </row>
    <row r="70" spans="1:41" x14ac:dyDescent="0.2">
      <c r="A70" s="195"/>
      <c r="B70" s="177">
        <v>21</v>
      </c>
      <c r="C70" s="131" t="s">
        <v>200</v>
      </c>
      <c r="D70" s="81">
        <f>Vcs/(1.2*Ilpeak)</f>
        <v>1.95142133562861E-3</v>
      </c>
      <c r="E70" s="134"/>
      <c r="F70" s="139"/>
      <c r="G70" s="178" t="s">
        <v>29</v>
      </c>
      <c r="H70" s="133" t="s">
        <v>353</v>
      </c>
      <c r="I70" s="212"/>
      <c r="J70" s="213"/>
      <c r="M70" s="157"/>
      <c r="N70" s="157"/>
    </row>
    <row r="71" spans="1:41" x14ac:dyDescent="0.2">
      <c r="A71" s="195"/>
      <c r="B71" s="177"/>
      <c r="C71" s="131" t="s">
        <v>439</v>
      </c>
      <c r="D71" s="100">
        <v>1.92E-3</v>
      </c>
      <c r="E71" s="134"/>
      <c r="F71" s="180"/>
      <c r="G71" s="178" t="s">
        <v>29</v>
      </c>
      <c r="H71" s="133" t="s">
        <v>207</v>
      </c>
      <c r="I71" s="212"/>
      <c r="J71" s="213"/>
      <c r="M71" s="157"/>
      <c r="N71" s="157"/>
    </row>
    <row r="72" spans="1:41" x14ac:dyDescent="0.2">
      <c r="A72" s="195"/>
      <c r="B72" s="177">
        <v>22</v>
      </c>
      <c r="C72" s="131" t="s">
        <v>201</v>
      </c>
      <c r="D72" s="83">
        <f>(Vcs0duty_max)^2/Rsense</f>
        <v>3.5020833333333337</v>
      </c>
      <c r="E72" s="134"/>
      <c r="F72" s="138"/>
      <c r="G72" s="178" t="s">
        <v>12</v>
      </c>
      <c r="H72" s="133" t="s">
        <v>206</v>
      </c>
      <c r="I72" s="212"/>
      <c r="J72" s="213"/>
      <c r="M72" s="157"/>
      <c r="N72" s="157"/>
    </row>
    <row r="73" spans="1:41" x14ac:dyDescent="0.2">
      <c r="A73" s="195"/>
      <c r="B73" s="131"/>
      <c r="C73" s="131" t="s">
        <v>328</v>
      </c>
      <c r="D73" s="83">
        <f>(Vcs/Rsense)</f>
        <v>27.194618055555555</v>
      </c>
      <c r="E73" s="83">
        <f>(E69)/Rsense</f>
        <v>27.242187499999996</v>
      </c>
      <c r="F73" s="83">
        <f>(F69)/Rsense</f>
        <v>29.013085937499998</v>
      </c>
      <c r="G73" s="178" t="s">
        <v>2</v>
      </c>
      <c r="H73" s="133" t="s">
        <v>332</v>
      </c>
      <c r="I73" s="212"/>
      <c r="J73" s="213"/>
      <c r="M73" s="157"/>
      <c r="N73" s="157"/>
    </row>
    <row r="74" spans="1:41" x14ac:dyDescent="0.2">
      <c r="A74" s="195"/>
      <c r="B74" s="177"/>
      <c r="C74" s="131" t="s">
        <v>324</v>
      </c>
      <c r="D74" s="83">
        <f>(D68)/Rsense</f>
        <v>33.459584780092598</v>
      </c>
      <c r="E74" s="83">
        <f>(E68)/Rsense</f>
        <v>33.538241145833332</v>
      </c>
      <c r="F74" s="83">
        <f>(F68)/Rsense</f>
        <v>34.22141927083333</v>
      </c>
      <c r="G74" s="178" t="s">
        <v>2</v>
      </c>
      <c r="H74" s="133" t="s">
        <v>325</v>
      </c>
      <c r="I74" s="212"/>
      <c r="J74" s="213"/>
      <c r="M74" s="157"/>
      <c r="N74" s="157"/>
    </row>
    <row r="75" spans="1:41" x14ac:dyDescent="0.2">
      <c r="A75" s="195"/>
      <c r="B75" s="131"/>
      <c r="C75" s="131" t="s">
        <v>333</v>
      </c>
      <c r="D75" s="120">
        <v>0.93</v>
      </c>
      <c r="E75" s="120">
        <v>0.96</v>
      </c>
      <c r="F75" s="120">
        <v>0.97</v>
      </c>
      <c r="G75" s="178"/>
      <c r="H75" s="133" t="s">
        <v>333</v>
      </c>
      <c r="I75" s="212"/>
      <c r="J75" s="213"/>
      <c r="M75" s="157"/>
      <c r="N75" s="157"/>
    </row>
    <row r="76" spans="1:41" x14ac:dyDescent="0.2">
      <c r="A76" s="195"/>
      <c r="B76" s="131"/>
      <c r="C76" s="131" t="s">
        <v>326</v>
      </c>
      <c r="D76" s="83">
        <f>(D73-Iripple/2)*(1-Dmax)*D75</f>
        <v>4.3224960536858958</v>
      </c>
      <c r="E76" s="83">
        <f>(E73-E60/2)*(1-Dnom)*E75</f>
        <v>4.623481338461537</v>
      </c>
      <c r="F76" s="83">
        <f>(F73-F60/2)*(1-Dmin)*F75</f>
        <v>6.4760579552283648</v>
      </c>
      <c r="G76" s="178" t="s">
        <v>2</v>
      </c>
      <c r="H76" s="133" t="s">
        <v>352</v>
      </c>
      <c r="I76" s="198"/>
      <c r="J76" s="202"/>
    </row>
    <row r="77" spans="1:41" x14ac:dyDescent="0.2">
      <c r="A77" s="195"/>
      <c r="B77" s="177"/>
      <c r="C77" s="131" t="s">
        <v>326</v>
      </c>
      <c r="D77" s="83">
        <f>(D74-Iripple/2)*(1-Dmax)*D75</f>
        <v>5.3906728802194603</v>
      </c>
      <c r="E77" s="83">
        <f>(E74-E60/2)*(1-Dnom)*E75</f>
        <v>5.7718815234615359</v>
      </c>
      <c r="F77" s="83">
        <f>(F74-F60/2)*(1-Dmin)*F75</f>
        <v>7.7390787885616978</v>
      </c>
      <c r="G77" s="178" t="s">
        <v>2</v>
      </c>
      <c r="H77" s="133" t="s">
        <v>351</v>
      </c>
      <c r="I77" s="198"/>
      <c r="J77" s="202"/>
    </row>
    <row r="78" spans="1:41" x14ac:dyDescent="0.2">
      <c r="A78" s="195"/>
      <c r="B78" s="148"/>
      <c r="C78" s="141"/>
      <c r="D78" s="162"/>
      <c r="E78" s="162"/>
      <c r="F78" s="141"/>
      <c r="G78" s="145"/>
      <c r="H78" s="141"/>
      <c r="I78" s="198"/>
      <c r="J78" s="202"/>
    </row>
    <row r="79" spans="1:41" x14ac:dyDescent="0.2">
      <c r="A79" s="195"/>
      <c r="B79" s="257" t="s">
        <v>113</v>
      </c>
      <c r="C79" s="257"/>
      <c r="D79" s="158"/>
      <c r="E79" s="158"/>
      <c r="F79" s="158"/>
      <c r="G79" s="164"/>
      <c r="H79" s="166"/>
      <c r="I79" s="214"/>
      <c r="J79" s="202"/>
      <c r="M79" s="147"/>
    </row>
    <row r="80" spans="1:41" x14ac:dyDescent="0.2">
      <c r="A80" s="195"/>
      <c r="B80" s="177">
        <v>24</v>
      </c>
      <c r="C80" s="131" t="s">
        <v>208</v>
      </c>
      <c r="D80" s="82">
        <f>(Dmax*Iout)/(fsw*Vout_ripple)</f>
        <v>1.7013888888888891E-5</v>
      </c>
      <c r="E80" s="133"/>
      <c r="F80" s="133"/>
      <c r="G80" s="178" t="s">
        <v>7</v>
      </c>
      <c r="H80" s="181" t="s">
        <v>124</v>
      </c>
      <c r="I80" s="198"/>
      <c r="J80" s="202"/>
      <c r="M80" s="147"/>
    </row>
    <row r="81" spans="1:253" x14ac:dyDescent="0.2">
      <c r="A81" s="195"/>
      <c r="B81" s="177">
        <v>23</v>
      </c>
      <c r="C81" s="131" t="s">
        <v>209</v>
      </c>
      <c r="D81" s="82">
        <f>dItran/(2*PI()*Fco_target*dVtran)</f>
        <v>4.7213972107438007E-5</v>
      </c>
      <c r="E81" s="133"/>
      <c r="F81" s="133"/>
      <c r="G81" s="178" t="s">
        <v>7</v>
      </c>
      <c r="H81" s="181" t="s">
        <v>125</v>
      </c>
      <c r="I81" s="198"/>
      <c r="J81" s="202"/>
      <c r="M81" s="147"/>
    </row>
    <row r="82" spans="1:253" x14ac:dyDescent="0.2">
      <c r="A82" s="195"/>
      <c r="B82" s="177"/>
      <c r="C82" s="131" t="s">
        <v>210</v>
      </c>
      <c r="D82" s="83">
        <f>Vout_ripple/Iin_max</f>
        <v>1.1733333333333328E-2</v>
      </c>
      <c r="E82" s="136"/>
      <c r="F82" s="133"/>
      <c r="G82" s="178" t="s">
        <v>29</v>
      </c>
      <c r="H82" s="133" t="s">
        <v>211</v>
      </c>
      <c r="I82" s="198"/>
      <c r="J82" s="202"/>
      <c r="M82" s="147"/>
    </row>
    <row r="83" spans="1:253" x14ac:dyDescent="0.2">
      <c r="A83" s="195"/>
      <c r="B83" s="177"/>
      <c r="C83" s="131" t="s">
        <v>440</v>
      </c>
      <c r="D83" s="93">
        <v>2.2000000000000001E-4</v>
      </c>
      <c r="E83" s="133"/>
      <c r="F83" s="133"/>
      <c r="G83" s="178" t="s">
        <v>7</v>
      </c>
      <c r="H83" s="133" t="s">
        <v>430</v>
      </c>
      <c r="I83" s="198"/>
      <c r="J83" s="202"/>
      <c r="M83" s="147"/>
    </row>
    <row r="84" spans="1:253" x14ac:dyDescent="0.2">
      <c r="A84" s="195"/>
      <c r="B84" s="177"/>
      <c r="C84" s="131" t="s">
        <v>441</v>
      </c>
      <c r="D84" s="87">
        <v>1.7999999999999999E-2</v>
      </c>
      <c r="E84" s="135"/>
      <c r="F84" s="133"/>
      <c r="G84" s="178" t="s">
        <v>29</v>
      </c>
      <c r="H84" s="133" t="s">
        <v>442</v>
      </c>
      <c r="I84" s="198"/>
      <c r="J84" s="202"/>
      <c r="M84" s="147"/>
    </row>
    <row r="85" spans="1:253" x14ac:dyDescent="0.2">
      <c r="A85" s="195"/>
      <c r="B85" s="177"/>
      <c r="C85" s="131" t="s">
        <v>68</v>
      </c>
      <c r="D85" s="83">
        <f>Iout*SQRT(Dmax/(1-Dmax))</f>
        <v>7.9146727951662985</v>
      </c>
      <c r="E85" s="137"/>
      <c r="F85" s="136"/>
      <c r="G85" s="178" t="s">
        <v>2</v>
      </c>
      <c r="H85" s="133" t="s">
        <v>126</v>
      </c>
      <c r="I85" s="198"/>
      <c r="J85" s="202"/>
    </row>
    <row r="86" spans="1:253" x14ac:dyDescent="0.2">
      <c r="A86" s="195"/>
      <c r="B86" s="148"/>
      <c r="C86" s="141"/>
      <c r="D86" s="163"/>
      <c r="E86" s="163"/>
      <c r="F86" s="163"/>
      <c r="G86" s="145"/>
      <c r="H86" s="141"/>
      <c r="I86" s="198"/>
      <c r="J86" s="202"/>
    </row>
    <row r="87" spans="1:253" x14ac:dyDescent="0.2">
      <c r="A87" s="195"/>
      <c r="B87" s="257" t="s">
        <v>406</v>
      </c>
      <c r="C87" s="257"/>
      <c r="D87" s="167"/>
      <c r="E87" s="167"/>
      <c r="F87" s="159"/>
      <c r="G87" s="164"/>
      <c r="H87" s="159"/>
      <c r="I87" s="198"/>
      <c r="J87" s="202"/>
      <c r="M87" s="147"/>
      <c r="Q87" s="147"/>
      <c r="U87" s="147"/>
      <c r="Y87" s="147"/>
      <c r="AC87" s="147"/>
      <c r="AG87" s="147"/>
      <c r="AK87" s="147"/>
      <c r="AO87" s="147"/>
      <c r="AS87" s="147"/>
      <c r="AW87" s="147"/>
      <c r="BA87" s="147"/>
      <c r="BE87" s="147"/>
      <c r="BI87" s="147"/>
      <c r="BM87" s="147"/>
      <c r="BQ87" s="147"/>
      <c r="BU87" s="147"/>
      <c r="BY87" s="147"/>
      <c r="CC87" s="147"/>
      <c r="CG87" s="147"/>
      <c r="CK87" s="147"/>
      <c r="CO87" s="147"/>
      <c r="CS87" s="147"/>
      <c r="CW87" s="147"/>
      <c r="DA87" s="147"/>
      <c r="DE87" s="147"/>
      <c r="DI87" s="147"/>
      <c r="DM87" s="147"/>
      <c r="DQ87" s="147"/>
      <c r="DU87" s="147"/>
      <c r="DY87" s="147"/>
      <c r="EC87" s="147"/>
      <c r="EG87" s="147"/>
      <c r="EK87" s="147"/>
      <c r="EO87" s="147"/>
      <c r="ES87" s="147"/>
      <c r="EW87" s="147"/>
      <c r="FA87" s="147"/>
      <c r="FE87" s="147"/>
      <c r="FI87" s="147"/>
      <c r="FM87" s="147"/>
      <c r="FQ87" s="147"/>
      <c r="FU87" s="147"/>
      <c r="FY87" s="147"/>
      <c r="GC87" s="147"/>
      <c r="GG87" s="147"/>
      <c r="GK87" s="147"/>
      <c r="GO87" s="147"/>
      <c r="GS87" s="147"/>
      <c r="GW87" s="147"/>
      <c r="HA87" s="147"/>
      <c r="HE87" s="147"/>
      <c r="HI87" s="147"/>
      <c r="HM87" s="147"/>
      <c r="HQ87" s="147"/>
      <c r="HU87" s="147"/>
      <c r="HY87" s="147"/>
      <c r="IC87" s="147"/>
      <c r="IG87" s="147"/>
      <c r="IK87" s="147"/>
      <c r="IO87" s="147"/>
      <c r="IS87" s="147"/>
    </row>
    <row r="88" spans="1:253" x14ac:dyDescent="0.2">
      <c r="A88" s="195"/>
      <c r="B88" s="175"/>
      <c r="C88" s="131" t="s">
        <v>365</v>
      </c>
      <c r="D88" s="254" t="s">
        <v>463</v>
      </c>
      <c r="E88" s="136"/>
      <c r="F88" s="133"/>
      <c r="G88" s="178"/>
      <c r="H88" s="133" t="s">
        <v>385</v>
      </c>
      <c r="I88" s="198"/>
      <c r="J88" s="202"/>
      <c r="M88" s="147"/>
      <c r="Q88" s="147"/>
      <c r="U88" s="147"/>
      <c r="Y88" s="147"/>
      <c r="AC88" s="147"/>
      <c r="AG88" s="147"/>
      <c r="AK88" s="147"/>
      <c r="AO88" s="147"/>
      <c r="AS88" s="147"/>
      <c r="AW88" s="147"/>
      <c r="BA88" s="147"/>
      <c r="BE88" s="147"/>
      <c r="BI88" s="147"/>
      <c r="BM88" s="147"/>
      <c r="BQ88" s="147"/>
      <c r="BU88" s="147"/>
      <c r="BY88" s="147"/>
      <c r="CC88" s="147"/>
      <c r="CG88" s="147"/>
      <c r="CK88" s="147"/>
      <c r="CO88" s="147"/>
      <c r="CS88" s="147"/>
      <c r="CW88" s="147"/>
      <c r="DA88" s="147"/>
      <c r="DE88" s="147"/>
      <c r="DI88" s="147"/>
      <c r="DM88" s="147"/>
      <c r="DQ88" s="147"/>
      <c r="DU88" s="147"/>
      <c r="DY88" s="147"/>
      <c r="EC88" s="147"/>
      <c r="EG88" s="147"/>
      <c r="EK88" s="147"/>
      <c r="EO88" s="147"/>
      <c r="ES88" s="147"/>
      <c r="EW88" s="147"/>
      <c r="FA88" s="147"/>
      <c r="FE88" s="147"/>
      <c r="FI88" s="147"/>
      <c r="FM88" s="147"/>
      <c r="FQ88" s="147"/>
      <c r="FU88" s="147"/>
      <c r="FY88" s="147"/>
      <c r="GC88" s="147"/>
      <c r="GG88" s="147"/>
      <c r="GK88" s="147"/>
      <c r="GO88" s="147"/>
      <c r="GS88" s="147"/>
      <c r="GW88" s="147"/>
      <c r="HA88" s="147"/>
      <c r="HE88" s="147"/>
      <c r="HI88" s="147"/>
      <c r="HM88" s="147"/>
      <c r="HQ88" s="147"/>
      <c r="HU88" s="147"/>
      <c r="HY88" s="147"/>
      <c r="IC88" s="147"/>
      <c r="IG88" s="147"/>
      <c r="IK88" s="147"/>
      <c r="IO88" s="147"/>
      <c r="IS88" s="147"/>
    </row>
    <row r="89" spans="1:253" x14ac:dyDescent="0.2">
      <c r="A89" s="195"/>
      <c r="B89" s="175"/>
      <c r="C89" s="131" t="s">
        <v>214</v>
      </c>
      <c r="D89" s="93">
        <v>9.3999999999999998E-9</v>
      </c>
      <c r="E89" s="136"/>
      <c r="F89" s="133"/>
      <c r="G89" s="178" t="s">
        <v>220</v>
      </c>
      <c r="H89" s="133" t="s">
        <v>286</v>
      </c>
      <c r="I89" s="198"/>
      <c r="J89" s="202"/>
      <c r="M89" s="147"/>
      <c r="Q89" s="147"/>
      <c r="U89" s="147"/>
      <c r="Y89" s="147"/>
      <c r="AC89" s="147"/>
      <c r="AG89" s="147"/>
      <c r="AK89" s="147"/>
      <c r="AO89" s="147"/>
      <c r="AS89" s="147"/>
      <c r="AW89" s="147"/>
      <c r="BA89" s="147"/>
      <c r="BE89" s="147"/>
      <c r="BI89" s="147"/>
      <c r="BM89" s="147"/>
      <c r="BQ89" s="147"/>
      <c r="BU89" s="147"/>
      <c r="BY89" s="147"/>
      <c r="CC89" s="147"/>
      <c r="CG89" s="147"/>
      <c r="CK89" s="147"/>
      <c r="CO89" s="147"/>
      <c r="CS89" s="147"/>
      <c r="CW89" s="147"/>
      <c r="DA89" s="147"/>
      <c r="DE89" s="147"/>
      <c r="DI89" s="147"/>
      <c r="DM89" s="147"/>
      <c r="DQ89" s="147"/>
      <c r="DU89" s="147"/>
      <c r="DY89" s="147"/>
      <c r="EC89" s="147"/>
      <c r="EG89" s="147"/>
      <c r="EK89" s="147"/>
      <c r="EO89" s="147"/>
      <c r="ES89" s="147"/>
      <c r="EW89" s="147"/>
      <c r="FA89" s="147"/>
      <c r="FE89" s="147"/>
      <c r="FI89" s="147"/>
      <c r="FM89" s="147"/>
      <c r="FQ89" s="147"/>
      <c r="FU89" s="147"/>
      <c r="FY89" s="147"/>
      <c r="GC89" s="147"/>
      <c r="GG89" s="147"/>
      <c r="GK89" s="147"/>
      <c r="GO89" s="147"/>
      <c r="GS89" s="147"/>
      <c r="GW89" s="147"/>
      <c r="HA89" s="147"/>
      <c r="HE89" s="147"/>
      <c r="HI89" s="147"/>
      <c r="HM89" s="147"/>
      <c r="HQ89" s="147"/>
      <c r="HU89" s="147"/>
      <c r="HY89" s="147"/>
      <c r="IC89" s="147"/>
      <c r="IG89" s="147"/>
      <c r="IK89" s="147"/>
      <c r="IO89" s="147"/>
      <c r="IS89" s="147"/>
    </row>
    <row r="90" spans="1:253" x14ac:dyDescent="0.2">
      <c r="A90" s="195"/>
      <c r="B90" s="175"/>
      <c r="C90" s="131" t="s">
        <v>223</v>
      </c>
      <c r="D90" s="83">
        <f>Qg_ls*fsw</f>
        <v>7.0499999999999998E-3</v>
      </c>
      <c r="E90" s="136"/>
      <c r="F90" s="133"/>
      <c r="G90" s="178" t="s">
        <v>2</v>
      </c>
      <c r="H90" s="133" t="s">
        <v>443</v>
      </c>
      <c r="I90" s="198"/>
      <c r="J90" s="202"/>
      <c r="M90" s="147"/>
      <c r="Q90" s="147"/>
      <c r="U90" s="147"/>
      <c r="Y90" s="147"/>
      <c r="AC90" s="147"/>
      <c r="AG90" s="147"/>
      <c r="AK90" s="147"/>
      <c r="AO90" s="147"/>
      <c r="AS90" s="147"/>
      <c r="AW90" s="147"/>
      <c r="BA90" s="147"/>
      <c r="BE90" s="147"/>
      <c r="BI90" s="147"/>
      <c r="BM90" s="147"/>
      <c r="BQ90" s="147"/>
      <c r="BU90" s="147"/>
      <c r="BY90" s="147"/>
      <c r="CC90" s="147"/>
      <c r="CG90" s="147"/>
      <c r="CK90" s="147"/>
      <c r="CO90" s="147"/>
      <c r="CS90" s="147"/>
      <c r="CW90" s="147"/>
      <c r="DA90" s="147"/>
      <c r="DE90" s="147"/>
      <c r="DI90" s="147"/>
      <c r="DM90" s="147"/>
      <c r="DQ90" s="147"/>
      <c r="DU90" s="147"/>
      <c r="DY90" s="147"/>
      <c r="EC90" s="147"/>
      <c r="EG90" s="147"/>
      <c r="EK90" s="147"/>
      <c r="EO90" s="147"/>
      <c r="ES90" s="147"/>
      <c r="EW90" s="147"/>
      <c r="FA90" s="147"/>
      <c r="FE90" s="147"/>
      <c r="FI90" s="147"/>
      <c r="FM90" s="147"/>
      <c r="FQ90" s="147"/>
      <c r="FU90" s="147"/>
      <c r="FY90" s="147"/>
      <c r="GC90" s="147"/>
      <c r="GG90" s="147"/>
      <c r="GK90" s="147"/>
      <c r="GO90" s="147"/>
      <c r="GS90" s="147"/>
      <c r="GW90" s="147"/>
      <c r="HA90" s="147"/>
      <c r="HE90" s="147"/>
      <c r="HI90" s="147"/>
      <c r="HM90" s="147"/>
      <c r="HQ90" s="147"/>
      <c r="HU90" s="147"/>
      <c r="HY90" s="147"/>
      <c r="IC90" s="147"/>
      <c r="IG90" s="147"/>
      <c r="IK90" s="147"/>
      <c r="IO90" s="147"/>
      <c r="IS90" s="147"/>
    </row>
    <row r="91" spans="1:253" x14ac:dyDescent="0.2">
      <c r="A91" s="195"/>
      <c r="B91" s="175"/>
      <c r="C91" s="131" t="s">
        <v>215</v>
      </c>
      <c r="D91" s="100">
        <v>5.8999999999999999E-3</v>
      </c>
      <c r="E91" s="136"/>
      <c r="F91" s="133"/>
      <c r="G91" s="178" t="s">
        <v>29</v>
      </c>
      <c r="H91" s="133" t="s">
        <v>287</v>
      </c>
      <c r="I91" s="198"/>
      <c r="J91" s="202"/>
      <c r="M91" s="147"/>
      <c r="Q91" s="147"/>
      <c r="U91" s="147"/>
      <c r="Y91" s="147"/>
      <c r="AC91" s="147"/>
      <c r="AG91" s="147"/>
      <c r="AK91" s="147"/>
      <c r="AO91" s="147"/>
      <c r="AS91" s="147"/>
      <c r="AW91" s="147"/>
      <c r="BA91" s="147"/>
      <c r="BE91" s="147"/>
      <c r="BI91" s="147"/>
      <c r="BM91" s="147"/>
      <c r="BQ91" s="147"/>
      <c r="BU91" s="147"/>
      <c r="BY91" s="147"/>
      <c r="CC91" s="147"/>
      <c r="CG91" s="147"/>
      <c r="CK91" s="147"/>
      <c r="CO91" s="147"/>
      <c r="CS91" s="147"/>
      <c r="CW91" s="147"/>
      <c r="DA91" s="147"/>
      <c r="DE91" s="147"/>
      <c r="DI91" s="147"/>
      <c r="DM91" s="147"/>
      <c r="DQ91" s="147"/>
      <c r="DU91" s="147"/>
      <c r="DY91" s="147"/>
      <c r="EC91" s="147"/>
      <c r="EG91" s="147"/>
      <c r="EK91" s="147"/>
      <c r="EO91" s="147"/>
      <c r="ES91" s="147"/>
      <c r="EW91" s="147"/>
      <c r="FA91" s="147"/>
      <c r="FE91" s="147"/>
      <c r="FI91" s="147"/>
      <c r="FM91" s="147"/>
      <c r="FQ91" s="147"/>
      <c r="FU91" s="147"/>
      <c r="FY91" s="147"/>
      <c r="GC91" s="147"/>
      <c r="GG91" s="147"/>
      <c r="GK91" s="147"/>
      <c r="GO91" s="147"/>
      <c r="GS91" s="147"/>
      <c r="GW91" s="147"/>
      <c r="HA91" s="147"/>
      <c r="HE91" s="147"/>
      <c r="HI91" s="147"/>
      <c r="HM91" s="147"/>
      <c r="HQ91" s="147"/>
      <c r="HU91" s="147"/>
      <c r="HY91" s="147"/>
      <c r="IC91" s="147"/>
      <c r="IG91" s="147"/>
      <c r="IK91" s="147"/>
      <c r="IO91" s="147"/>
      <c r="IS91" s="147"/>
    </row>
    <row r="92" spans="1:253" x14ac:dyDescent="0.2">
      <c r="A92" s="195"/>
      <c r="B92" s="177">
        <v>26</v>
      </c>
      <c r="C92" s="131" t="s">
        <v>218</v>
      </c>
      <c r="D92" s="83">
        <f>Dnom*Ilrms^2*(Rdson_ls)</f>
        <v>1.9999290813012338</v>
      </c>
      <c r="E92" s="135"/>
      <c r="F92" s="133"/>
      <c r="G92" s="178" t="s">
        <v>12</v>
      </c>
      <c r="H92" s="133" t="s">
        <v>358</v>
      </c>
      <c r="I92" s="198"/>
      <c r="J92" s="202"/>
    </row>
    <row r="93" spans="1:253" x14ac:dyDescent="0.2">
      <c r="A93" s="195"/>
      <c r="B93" s="175"/>
      <c r="C93" s="131" t="s">
        <v>310</v>
      </c>
      <c r="D93" s="85">
        <v>1.8</v>
      </c>
      <c r="E93" s="136"/>
      <c r="F93" s="133"/>
      <c r="G93" s="178" t="s">
        <v>3</v>
      </c>
      <c r="H93" s="133" t="s">
        <v>311</v>
      </c>
      <c r="I93" s="198"/>
      <c r="J93" s="202"/>
      <c r="M93" s="147"/>
      <c r="Q93" s="147"/>
      <c r="U93" s="147"/>
      <c r="Y93" s="147"/>
      <c r="AC93" s="147"/>
      <c r="AG93" s="147"/>
      <c r="AK93" s="147"/>
      <c r="AO93" s="147"/>
      <c r="AS93" s="147"/>
      <c r="AW93" s="147"/>
      <c r="BA93" s="147"/>
      <c r="BE93" s="147"/>
      <c r="BI93" s="147"/>
      <c r="BM93" s="147"/>
      <c r="BQ93" s="147"/>
      <c r="BU93" s="147"/>
      <c r="BY93" s="147"/>
      <c r="CC93" s="147"/>
      <c r="CG93" s="147"/>
      <c r="CK93" s="147"/>
      <c r="CO93" s="147"/>
      <c r="CS93" s="147"/>
      <c r="CW93" s="147"/>
      <c r="DA93" s="147"/>
      <c r="DE93" s="147"/>
      <c r="DI93" s="147"/>
      <c r="DM93" s="147"/>
      <c r="DQ93" s="147"/>
      <c r="DU93" s="147"/>
      <c r="DY93" s="147"/>
      <c r="EC93" s="147"/>
      <c r="EG93" s="147"/>
      <c r="EK93" s="147"/>
      <c r="EO93" s="147"/>
      <c r="ES93" s="147"/>
      <c r="EW93" s="147"/>
      <c r="FA93" s="147"/>
      <c r="FE93" s="147"/>
      <c r="FI93" s="147"/>
      <c r="FM93" s="147"/>
      <c r="FQ93" s="147"/>
      <c r="FU93" s="147"/>
      <c r="FY93" s="147"/>
      <c r="GC93" s="147"/>
      <c r="GG93" s="147"/>
      <c r="GK93" s="147"/>
      <c r="GO93" s="147"/>
      <c r="GS93" s="147"/>
      <c r="GW93" s="147"/>
      <c r="HA93" s="147"/>
      <c r="HE93" s="147"/>
      <c r="HI93" s="147"/>
      <c r="HM93" s="147"/>
      <c r="HQ93" s="147"/>
      <c r="HU93" s="147"/>
      <c r="HY93" s="147"/>
      <c r="IC93" s="147"/>
      <c r="IG93" s="147"/>
      <c r="IK93" s="147"/>
      <c r="IO93" s="147"/>
      <c r="IS93" s="147"/>
    </row>
    <row r="94" spans="1:253" x14ac:dyDescent="0.2">
      <c r="A94" s="195"/>
      <c r="B94" s="175"/>
      <c r="C94" s="131" t="s">
        <v>319</v>
      </c>
      <c r="D94" s="93">
        <v>2.1E-10</v>
      </c>
      <c r="E94" s="136"/>
      <c r="F94" s="133"/>
      <c r="G94" s="178" t="s">
        <v>7</v>
      </c>
      <c r="H94" s="133" t="s">
        <v>354</v>
      </c>
      <c r="I94" s="198"/>
      <c r="J94" s="202"/>
      <c r="M94" s="147"/>
      <c r="Q94" s="147"/>
      <c r="U94" s="147"/>
      <c r="Y94" s="147"/>
      <c r="AC94" s="147"/>
      <c r="AG94" s="147"/>
      <c r="AK94" s="147"/>
      <c r="AO94" s="147"/>
      <c r="AS94" s="147"/>
      <c r="AW94" s="147"/>
      <c r="BA94" s="147"/>
      <c r="BE94" s="147"/>
      <c r="BI94" s="147"/>
      <c r="BM94" s="147"/>
      <c r="BQ94" s="147"/>
      <c r="BU94" s="147"/>
      <c r="BY94" s="147"/>
      <c r="CC94" s="147"/>
      <c r="CG94" s="147"/>
      <c r="CK94" s="147"/>
      <c r="CO94" s="147"/>
      <c r="CS94" s="147"/>
      <c r="CW94" s="147"/>
      <c r="DA94" s="147"/>
      <c r="DE94" s="147"/>
      <c r="DI94" s="147"/>
      <c r="DM94" s="147"/>
      <c r="DQ94" s="147"/>
      <c r="DU94" s="147"/>
      <c r="DY94" s="147"/>
      <c r="EC94" s="147"/>
      <c r="EG94" s="147"/>
      <c r="EK94" s="147"/>
      <c r="EO94" s="147"/>
      <c r="ES94" s="147"/>
      <c r="EW94" s="147"/>
      <c r="FA94" s="147"/>
      <c r="FE94" s="147"/>
      <c r="FI94" s="147"/>
      <c r="FM94" s="147"/>
      <c r="FQ94" s="147"/>
      <c r="FU94" s="147"/>
      <c r="FY94" s="147"/>
      <c r="GC94" s="147"/>
      <c r="GG94" s="147"/>
      <c r="GK94" s="147"/>
      <c r="GO94" s="147"/>
      <c r="GS94" s="147"/>
      <c r="GW94" s="147"/>
      <c r="HA94" s="147"/>
      <c r="HE94" s="147"/>
      <c r="HI94" s="147"/>
      <c r="HM94" s="147"/>
      <c r="HQ94" s="147"/>
      <c r="HU94" s="147"/>
      <c r="HY94" s="147"/>
      <c r="IC94" s="147"/>
      <c r="IG94" s="147"/>
      <c r="IK94" s="147"/>
      <c r="IO94" s="147"/>
      <c r="IS94" s="147"/>
    </row>
    <row r="95" spans="1:253" x14ac:dyDescent="0.2">
      <c r="A95" s="195"/>
      <c r="B95" s="175"/>
      <c r="C95" s="131" t="s">
        <v>320</v>
      </c>
      <c r="D95" s="93">
        <v>1.3999999999999999E-9</v>
      </c>
      <c r="E95" s="136"/>
      <c r="F95" s="133"/>
      <c r="G95" s="178" t="s">
        <v>220</v>
      </c>
      <c r="H95" s="133" t="s">
        <v>355</v>
      </c>
      <c r="I95" s="198"/>
      <c r="J95" s="202"/>
      <c r="M95" s="147"/>
      <c r="Q95" s="147"/>
      <c r="U95" s="147"/>
      <c r="Y95" s="147"/>
      <c r="AC95" s="147"/>
      <c r="AG95" s="147"/>
      <c r="AK95" s="147"/>
      <c r="AO95" s="147"/>
      <c r="AS95" s="147"/>
      <c r="AW95" s="147"/>
      <c r="BA95" s="147"/>
      <c r="BE95" s="147"/>
      <c r="BI95" s="147"/>
      <c r="BM95" s="147"/>
      <c r="BQ95" s="147"/>
      <c r="BU95" s="147"/>
      <c r="BY95" s="147"/>
      <c r="CC95" s="147"/>
      <c r="CG95" s="147"/>
      <c r="CK95" s="147"/>
      <c r="CO95" s="147"/>
      <c r="CS95" s="147"/>
      <c r="CW95" s="147"/>
      <c r="DA95" s="147"/>
      <c r="DE95" s="147"/>
      <c r="DI95" s="147"/>
      <c r="DM95" s="147"/>
      <c r="DQ95" s="147"/>
      <c r="DU95" s="147"/>
      <c r="DY95" s="147"/>
      <c r="EC95" s="147"/>
      <c r="EG95" s="147"/>
      <c r="EK95" s="147"/>
      <c r="EO95" s="147"/>
      <c r="ES95" s="147"/>
      <c r="EW95" s="147"/>
      <c r="FA95" s="147"/>
      <c r="FE95" s="147"/>
      <c r="FI95" s="147"/>
      <c r="FM95" s="147"/>
      <c r="FQ95" s="147"/>
      <c r="FU95" s="147"/>
      <c r="FY95" s="147"/>
      <c r="GC95" s="147"/>
      <c r="GG95" s="147"/>
      <c r="GK95" s="147"/>
      <c r="GO95" s="147"/>
      <c r="GS95" s="147"/>
      <c r="GW95" s="147"/>
      <c r="HA95" s="147"/>
      <c r="HE95" s="147"/>
      <c r="HI95" s="147"/>
      <c r="HM95" s="147"/>
      <c r="HQ95" s="147"/>
      <c r="HU95" s="147"/>
      <c r="HY95" s="147"/>
      <c r="IC95" s="147"/>
      <c r="IG95" s="147"/>
      <c r="IK95" s="147"/>
      <c r="IO95" s="147"/>
      <c r="IS95" s="147"/>
    </row>
    <row r="96" spans="1:253" x14ac:dyDescent="0.2">
      <c r="A96" s="195"/>
      <c r="B96" s="175"/>
      <c r="C96" s="131" t="s">
        <v>221</v>
      </c>
      <c r="D96" s="85">
        <v>2.2000000000000002</v>
      </c>
      <c r="E96" s="136"/>
      <c r="F96" s="133"/>
      <c r="G96" s="178" t="s">
        <v>29</v>
      </c>
      <c r="H96" s="133" t="s">
        <v>288</v>
      </c>
      <c r="I96" s="198"/>
      <c r="J96" s="202"/>
      <c r="M96" s="147"/>
      <c r="Q96" s="147"/>
      <c r="U96" s="147"/>
      <c r="Y96" s="147"/>
      <c r="AC96" s="147"/>
      <c r="AG96" s="147"/>
      <c r="AK96" s="147"/>
      <c r="AO96" s="147"/>
      <c r="AS96" s="147"/>
      <c r="AW96" s="147"/>
      <c r="BA96" s="147"/>
      <c r="BE96" s="147"/>
      <c r="BI96" s="147"/>
      <c r="BM96" s="147"/>
      <c r="BQ96" s="147"/>
      <c r="BU96" s="147"/>
      <c r="BY96" s="147"/>
      <c r="CC96" s="147"/>
      <c r="CG96" s="147"/>
      <c r="CK96" s="147"/>
      <c r="CO96" s="147"/>
      <c r="CS96" s="147"/>
      <c r="CW96" s="147"/>
      <c r="DA96" s="147"/>
      <c r="DE96" s="147"/>
      <c r="DI96" s="147"/>
      <c r="DM96" s="147"/>
      <c r="DQ96" s="147"/>
      <c r="DU96" s="147"/>
      <c r="DY96" s="147"/>
      <c r="EC96" s="147"/>
      <c r="EG96" s="147"/>
      <c r="EK96" s="147"/>
      <c r="EO96" s="147"/>
      <c r="ES96" s="147"/>
      <c r="EW96" s="147"/>
      <c r="FA96" s="147"/>
      <c r="FE96" s="147"/>
      <c r="FI96" s="147"/>
      <c r="FM96" s="147"/>
      <c r="FQ96" s="147"/>
      <c r="FU96" s="147"/>
      <c r="FY96" s="147"/>
      <c r="GC96" s="147"/>
      <c r="GG96" s="147"/>
      <c r="GK96" s="147"/>
      <c r="GO96" s="147"/>
      <c r="GS96" s="147"/>
      <c r="GW96" s="147"/>
      <c r="HA96" s="147"/>
      <c r="HE96" s="147"/>
      <c r="HI96" s="147"/>
      <c r="HM96" s="147"/>
      <c r="HQ96" s="147"/>
      <c r="HU96" s="147"/>
      <c r="HY96" s="147"/>
      <c r="IC96" s="147"/>
      <c r="IG96" s="147"/>
      <c r="IK96" s="147"/>
      <c r="IO96" s="147"/>
      <c r="IS96" s="147"/>
    </row>
    <row r="97" spans="1:253" x14ac:dyDescent="0.2">
      <c r="A97" s="195"/>
      <c r="B97" s="177">
        <v>27</v>
      </c>
      <c r="C97" s="131" t="s">
        <v>217</v>
      </c>
      <c r="D97" s="83">
        <f>fsw/2*(Coss*Vout^2+Vout*Iin_max*Qgd*Rg_ls/(Vcc_typ-Vth))</f>
        <v>0.19860324324324327</v>
      </c>
      <c r="E97" s="136"/>
      <c r="F97" s="133"/>
      <c r="G97" s="178" t="s">
        <v>12</v>
      </c>
      <c r="H97" s="133" t="s">
        <v>356</v>
      </c>
      <c r="I97" s="198"/>
      <c r="J97" s="202"/>
      <c r="M97" s="147"/>
      <c r="Q97" s="147"/>
      <c r="U97" s="147"/>
      <c r="Y97" s="147"/>
      <c r="AC97" s="147"/>
      <c r="AG97" s="147"/>
      <c r="AK97" s="147"/>
      <c r="AO97" s="147"/>
      <c r="AS97" s="147"/>
      <c r="AW97" s="147"/>
      <c r="BA97" s="147"/>
      <c r="BE97" s="147"/>
      <c r="BI97" s="147"/>
      <c r="BM97" s="147"/>
      <c r="BQ97" s="147"/>
      <c r="BU97" s="147"/>
      <c r="BY97" s="147"/>
      <c r="CC97" s="147"/>
      <c r="CG97" s="147"/>
      <c r="CK97" s="147"/>
      <c r="CO97" s="147"/>
      <c r="CS97" s="147"/>
      <c r="CW97" s="147"/>
      <c r="DA97" s="147"/>
      <c r="DE97" s="147"/>
      <c r="DI97" s="147"/>
      <c r="DM97" s="147"/>
      <c r="DQ97" s="147"/>
      <c r="DU97" s="147"/>
      <c r="DY97" s="147"/>
      <c r="EC97" s="147"/>
      <c r="EG97" s="147"/>
      <c r="EK97" s="147"/>
      <c r="EO97" s="147"/>
      <c r="ES97" s="147"/>
      <c r="EW97" s="147"/>
      <c r="FA97" s="147"/>
      <c r="FE97" s="147"/>
      <c r="FI97" s="147"/>
      <c r="FM97" s="147"/>
      <c r="FQ97" s="147"/>
      <c r="FU97" s="147"/>
      <c r="FY97" s="147"/>
      <c r="GC97" s="147"/>
      <c r="GG97" s="147"/>
      <c r="GK97" s="147"/>
      <c r="GO97" s="147"/>
      <c r="GS97" s="147"/>
      <c r="GW97" s="147"/>
      <c r="HA97" s="147"/>
      <c r="HE97" s="147"/>
      <c r="HI97" s="147"/>
      <c r="HM97" s="147"/>
      <c r="HQ97" s="147"/>
      <c r="HU97" s="147"/>
      <c r="HY97" s="147"/>
      <c r="IC97" s="147"/>
      <c r="IG97" s="147"/>
      <c r="IK97" s="147"/>
      <c r="IO97" s="147"/>
      <c r="IS97" s="147"/>
    </row>
    <row r="98" spans="1:253" hidden="1" x14ac:dyDescent="0.2">
      <c r="A98" s="195"/>
      <c r="B98" s="175"/>
      <c r="C98" s="131" t="s">
        <v>318</v>
      </c>
      <c r="D98" s="80">
        <v>6.3000000000000002E-9</v>
      </c>
      <c r="E98" s="80">
        <v>4.2000000000000004E-9</v>
      </c>
      <c r="F98" s="133"/>
      <c r="G98" s="178" t="s">
        <v>42</v>
      </c>
      <c r="H98" s="133"/>
      <c r="I98" s="198"/>
      <c r="J98" s="202"/>
      <c r="M98" s="147"/>
      <c r="Q98" s="147"/>
      <c r="U98" s="147"/>
      <c r="Y98" s="147"/>
      <c r="AC98" s="147"/>
      <c r="AG98" s="147"/>
      <c r="AK98" s="147"/>
      <c r="AO98" s="147"/>
      <c r="AS98" s="147"/>
      <c r="AW98" s="147"/>
      <c r="BA98" s="147"/>
      <c r="BE98" s="147"/>
      <c r="BI98" s="147"/>
      <c r="BM98" s="147"/>
      <c r="BQ98" s="147"/>
      <c r="BU98" s="147"/>
      <c r="BY98" s="147"/>
      <c r="CC98" s="147"/>
      <c r="CG98" s="147"/>
      <c r="CK98" s="147"/>
      <c r="CO98" s="147"/>
      <c r="CS98" s="147"/>
      <c r="CW98" s="147"/>
      <c r="DA98" s="147"/>
      <c r="DE98" s="147"/>
      <c r="DI98" s="147"/>
      <c r="DM98" s="147"/>
      <c r="DQ98" s="147"/>
      <c r="DU98" s="147"/>
      <c r="DY98" s="147"/>
      <c r="EC98" s="147"/>
      <c r="EG98" s="147"/>
      <c r="EK98" s="147"/>
      <c r="EO98" s="147"/>
      <c r="ES98" s="147"/>
      <c r="EW98" s="147"/>
      <c r="FA98" s="147"/>
      <c r="FE98" s="147"/>
      <c r="FI98" s="147"/>
      <c r="FM98" s="147"/>
      <c r="FQ98" s="147"/>
      <c r="FU98" s="147"/>
      <c r="FY98" s="147"/>
      <c r="GC98" s="147"/>
      <c r="GG98" s="147"/>
      <c r="GK98" s="147"/>
      <c r="GO98" s="147"/>
      <c r="GS98" s="147"/>
      <c r="GW98" s="147"/>
      <c r="HA98" s="147"/>
      <c r="HE98" s="147"/>
      <c r="HI98" s="147"/>
      <c r="HM98" s="147"/>
      <c r="HQ98" s="147"/>
      <c r="HU98" s="147"/>
      <c r="HY98" s="147"/>
      <c r="IC98" s="147"/>
      <c r="IG98" s="147"/>
      <c r="IK98" s="147"/>
      <c r="IO98" s="147"/>
      <c r="IS98" s="147"/>
    </row>
    <row r="99" spans="1:253" hidden="1" x14ac:dyDescent="0.2">
      <c r="A99" s="195"/>
      <c r="B99" s="175"/>
      <c r="C99" s="131" t="s">
        <v>217</v>
      </c>
      <c r="D99" s="83">
        <f>Vout*fsw*Iin_max*(D98+E98)/2/6</f>
        <v>0.32215909090909112</v>
      </c>
      <c r="E99" s="136"/>
      <c r="F99" s="133"/>
      <c r="G99" s="178" t="s">
        <v>12</v>
      </c>
      <c r="H99" s="133"/>
      <c r="I99" s="198"/>
      <c r="J99" s="202"/>
      <c r="M99" s="147"/>
      <c r="Q99" s="147"/>
      <c r="U99" s="147"/>
      <c r="Y99" s="147"/>
      <c r="AC99" s="147"/>
      <c r="AG99" s="147"/>
      <c r="AK99" s="147"/>
      <c r="AO99" s="147"/>
      <c r="AS99" s="147"/>
      <c r="AW99" s="147"/>
      <c r="BA99" s="147"/>
      <c r="BE99" s="147"/>
      <c r="BI99" s="147"/>
      <c r="BM99" s="147"/>
      <c r="BQ99" s="147"/>
      <c r="BU99" s="147"/>
      <c r="BY99" s="147"/>
      <c r="CC99" s="147"/>
      <c r="CG99" s="147"/>
      <c r="CK99" s="147"/>
      <c r="CO99" s="147"/>
      <c r="CS99" s="147"/>
      <c r="CW99" s="147"/>
      <c r="DA99" s="147"/>
      <c r="DE99" s="147"/>
      <c r="DI99" s="147"/>
      <c r="DM99" s="147"/>
      <c r="DQ99" s="147"/>
      <c r="DU99" s="147"/>
      <c r="DY99" s="147"/>
      <c r="EC99" s="147"/>
      <c r="EG99" s="147"/>
      <c r="EK99" s="147"/>
      <c r="EO99" s="147"/>
      <c r="ES99" s="147"/>
      <c r="EW99" s="147"/>
      <c r="FA99" s="147"/>
      <c r="FE99" s="147"/>
      <c r="FI99" s="147"/>
      <c r="FM99" s="147"/>
      <c r="FQ99" s="147"/>
      <c r="FU99" s="147"/>
      <c r="FY99" s="147"/>
      <c r="GC99" s="147"/>
      <c r="GG99" s="147"/>
      <c r="GK99" s="147"/>
      <c r="GO99" s="147"/>
      <c r="GS99" s="147"/>
      <c r="GW99" s="147"/>
      <c r="HA99" s="147"/>
      <c r="HE99" s="147"/>
      <c r="HI99" s="147"/>
      <c r="HM99" s="147"/>
      <c r="HQ99" s="147"/>
      <c r="HU99" s="147"/>
      <c r="HY99" s="147"/>
      <c r="IC99" s="147"/>
      <c r="IG99" s="147"/>
      <c r="IK99" s="147"/>
      <c r="IO99" s="147"/>
      <c r="IS99" s="147"/>
    </row>
    <row r="100" spans="1:253" x14ac:dyDescent="0.2">
      <c r="A100" s="195"/>
      <c r="B100" s="130"/>
      <c r="C100" s="131" t="s">
        <v>335</v>
      </c>
      <c r="D100" s="83">
        <f>Pls_sw+Psw_cond</f>
        <v>2.1985323245444772</v>
      </c>
      <c r="E100" s="135"/>
      <c r="F100" s="133"/>
      <c r="G100" s="178" t="s">
        <v>12</v>
      </c>
      <c r="H100" s="133" t="s">
        <v>359</v>
      </c>
      <c r="I100" s="198"/>
      <c r="J100" s="202"/>
    </row>
    <row r="101" spans="1:253" x14ac:dyDescent="0.2">
      <c r="A101" s="195"/>
      <c r="B101" s="156"/>
      <c r="C101" s="149"/>
      <c r="D101" s="156"/>
      <c r="E101" s="162"/>
      <c r="F101" s="141"/>
      <c r="G101" s="141"/>
      <c r="H101" s="141"/>
      <c r="I101" s="198"/>
      <c r="J101" s="202"/>
    </row>
    <row r="102" spans="1:253" x14ac:dyDescent="0.2">
      <c r="A102" s="195"/>
      <c r="B102" s="257" t="s">
        <v>408</v>
      </c>
      <c r="C102" s="257"/>
      <c r="D102" s="167"/>
      <c r="E102" s="167"/>
      <c r="F102" s="159"/>
      <c r="G102" s="164"/>
      <c r="H102" s="159"/>
      <c r="I102" s="198"/>
      <c r="J102" s="202"/>
      <c r="M102" s="147"/>
      <c r="Q102" s="147"/>
      <c r="U102" s="147"/>
      <c r="Y102" s="147"/>
      <c r="AC102" s="147"/>
      <c r="AG102" s="147"/>
      <c r="AK102" s="147"/>
      <c r="AO102" s="147"/>
      <c r="AS102" s="147"/>
      <c r="AW102" s="147"/>
      <c r="BA102" s="147"/>
      <c r="BE102" s="147"/>
      <c r="BI102" s="147"/>
      <c r="BM102" s="147"/>
      <c r="BQ102" s="147"/>
      <c r="BU102" s="147"/>
      <c r="BY102" s="147"/>
      <c r="CC102" s="147"/>
      <c r="CG102" s="147"/>
      <c r="CK102" s="147"/>
      <c r="CO102" s="147"/>
      <c r="CS102" s="147"/>
      <c r="CW102" s="147"/>
      <c r="DA102" s="147"/>
      <c r="DE102" s="147"/>
      <c r="DI102" s="147"/>
      <c r="DM102" s="147"/>
      <c r="DQ102" s="147"/>
      <c r="DU102" s="147"/>
      <c r="DY102" s="147"/>
      <c r="EC102" s="147"/>
      <c r="EG102" s="147"/>
      <c r="EK102" s="147"/>
      <c r="EO102" s="147"/>
      <c r="ES102" s="147"/>
      <c r="EW102" s="147"/>
      <c r="FA102" s="147"/>
      <c r="FE102" s="147"/>
      <c r="FI102" s="147"/>
      <c r="FM102" s="147"/>
      <c r="FQ102" s="147"/>
      <c r="FU102" s="147"/>
      <c r="FY102" s="147"/>
      <c r="GC102" s="147"/>
      <c r="GG102" s="147"/>
      <c r="GK102" s="147"/>
      <c r="GO102" s="147"/>
      <c r="GS102" s="147"/>
      <c r="GW102" s="147"/>
      <c r="HA102" s="147"/>
      <c r="HE102" s="147"/>
      <c r="HI102" s="147"/>
      <c r="HM102" s="147"/>
      <c r="HQ102" s="147"/>
      <c r="HU102" s="147"/>
      <c r="HY102" s="147"/>
      <c r="IC102" s="147"/>
      <c r="IG102" s="147"/>
      <c r="IK102" s="147"/>
      <c r="IO102" s="147"/>
      <c r="IS102" s="147"/>
    </row>
    <row r="103" spans="1:253" x14ac:dyDescent="0.2">
      <c r="A103" s="195"/>
      <c r="B103" s="175"/>
      <c r="C103" s="131" t="s">
        <v>365</v>
      </c>
      <c r="D103" s="254" t="str">
        <f>D88</f>
        <v>BSC059N04LS6</v>
      </c>
      <c r="E103" s="136"/>
      <c r="F103" s="133"/>
      <c r="G103" s="178"/>
      <c r="H103" s="133" t="s">
        <v>386</v>
      </c>
      <c r="I103" s="198"/>
      <c r="J103" s="202"/>
      <c r="M103" s="147"/>
      <c r="Q103" s="147"/>
      <c r="U103" s="147"/>
      <c r="Y103" s="147"/>
      <c r="AC103" s="147"/>
      <c r="AG103" s="147"/>
      <c r="AK103" s="147"/>
      <c r="AO103" s="147"/>
      <c r="AS103" s="147"/>
      <c r="AW103" s="147"/>
      <c r="BA103" s="147"/>
      <c r="BE103" s="147"/>
      <c r="BI103" s="147"/>
      <c r="BM103" s="147"/>
      <c r="BQ103" s="147"/>
      <c r="BU103" s="147"/>
      <c r="BY103" s="147"/>
      <c r="CC103" s="147"/>
      <c r="CG103" s="147"/>
      <c r="CK103" s="147"/>
      <c r="CO103" s="147"/>
      <c r="CS103" s="147"/>
      <c r="CW103" s="147"/>
      <c r="DA103" s="147"/>
      <c r="DE103" s="147"/>
      <c r="DI103" s="147"/>
      <c r="DM103" s="147"/>
      <c r="DQ103" s="147"/>
      <c r="DU103" s="147"/>
      <c r="DY103" s="147"/>
      <c r="EC103" s="147"/>
      <c r="EG103" s="147"/>
      <c r="EK103" s="147"/>
      <c r="EO103" s="147"/>
      <c r="ES103" s="147"/>
      <c r="EW103" s="147"/>
      <c r="FA103" s="147"/>
      <c r="FE103" s="147"/>
      <c r="FI103" s="147"/>
      <c r="FM103" s="147"/>
      <c r="FQ103" s="147"/>
      <c r="FU103" s="147"/>
      <c r="FY103" s="147"/>
      <c r="GC103" s="147"/>
      <c r="GG103" s="147"/>
      <c r="GK103" s="147"/>
      <c r="GO103" s="147"/>
      <c r="GS103" s="147"/>
      <c r="GW103" s="147"/>
      <c r="HA103" s="147"/>
      <c r="HE103" s="147"/>
      <c r="HI103" s="147"/>
      <c r="HM103" s="147"/>
      <c r="HQ103" s="147"/>
      <c r="HU103" s="147"/>
      <c r="HY103" s="147"/>
      <c r="IC103" s="147"/>
      <c r="IG103" s="147"/>
      <c r="IK103" s="147"/>
      <c r="IO103" s="147"/>
      <c r="IS103" s="147"/>
    </row>
    <row r="104" spans="1:253" x14ac:dyDescent="0.2">
      <c r="A104" s="195"/>
      <c r="B104" s="175"/>
      <c r="C104" s="131" t="s">
        <v>219</v>
      </c>
      <c r="D104" s="93">
        <f>Qg_ls</f>
        <v>9.3999999999999998E-9</v>
      </c>
      <c r="E104" s="136"/>
      <c r="F104" s="133"/>
      <c r="G104" s="178" t="s">
        <v>220</v>
      </c>
      <c r="H104" s="133" t="s">
        <v>286</v>
      </c>
      <c r="I104" s="198"/>
      <c r="J104" s="202"/>
      <c r="M104" s="147"/>
      <c r="Q104" s="147"/>
      <c r="U104" s="147"/>
      <c r="Y104" s="147"/>
      <c r="AC104" s="147"/>
      <c r="AG104" s="147"/>
      <c r="AK104" s="147"/>
      <c r="AO104" s="147"/>
      <c r="AS104" s="147"/>
      <c r="AW104" s="147"/>
      <c r="BA104" s="147"/>
      <c r="BE104" s="147"/>
      <c r="BI104" s="147"/>
      <c r="BM104" s="147"/>
      <c r="BQ104" s="147"/>
      <c r="BU104" s="147"/>
      <c r="BY104" s="147"/>
      <c r="CC104" s="147"/>
      <c r="CG104" s="147"/>
      <c r="CK104" s="147"/>
      <c r="CO104" s="147"/>
      <c r="CS104" s="147"/>
      <c r="CW104" s="147"/>
      <c r="DA104" s="147"/>
      <c r="DE104" s="147"/>
      <c r="DI104" s="147"/>
      <c r="DM104" s="147"/>
      <c r="DQ104" s="147"/>
      <c r="DU104" s="147"/>
      <c r="DY104" s="147"/>
      <c r="EC104" s="147"/>
      <c r="EG104" s="147"/>
      <c r="EK104" s="147"/>
      <c r="EO104" s="147"/>
      <c r="ES104" s="147"/>
      <c r="EW104" s="147"/>
      <c r="FA104" s="147"/>
      <c r="FE104" s="147"/>
      <c r="FI104" s="147"/>
      <c r="FM104" s="147"/>
      <c r="FQ104" s="147"/>
      <c r="FU104" s="147"/>
      <c r="FY104" s="147"/>
      <c r="GC104" s="147"/>
      <c r="GG104" s="147"/>
      <c r="GK104" s="147"/>
      <c r="GO104" s="147"/>
      <c r="GS104" s="147"/>
      <c r="GW104" s="147"/>
      <c r="HA104" s="147"/>
      <c r="HE104" s="147"/>
      <c r="HI104" s="147"/>
      <c r="HM104" s="147"/>
      <c r="HQ104" s="147"/>
      <c r="HU104" s="147"/>
      <c r="HY104" s="147"/>
      <c r="IC104" s="147"/>
      <c r="IG104" s="147"/>
      <c r="IK104" s="147"/>
      <c r="IO104" s="147"/>
      <c r="IS104" s="147"/>
    </row>
    <row r="105" spans="1:253" x14ac:dyDescent="0.2">
      <c r="A105" s="195"/>
      <c r="B105" s="177"/>
      <c r="C105" s="131" t="s">
        <v>223</v>
      </c>
      <c r="D105" s="83">
        <f>Qg_hs*fsw</f>
        <v>7.0499999999999998E-3</v>
      </c>
      <c r="E105" s="136"/>
      <c r="F105" s="133"/>
      <c r="G105" s="178" t="s">
        <v>2</v>
      </c>
      <c r="H105" s="133" t="s">
        <v>443</v>
      </c>
      <c r="I105" s="198"/>
      <c r="J105" s="202"/>
      <c r="M105" s="147"/>
      <c r="Q105" s="147"/>
      <c r="U105" s="147"/>
      <c r="Y105" s="147"/>
      <c r="AC105" s="147"/>
      <c r="AG105" s="147"/>
      <c r="AK105" s="147"/>
      <c r="AO105" s="147"/>
      <c r="AS105" s="147"/>
      <c r="AW105" s="147"/>
      <c r="BA105" s="147"/>
      <c r="BE105" s="147"/>
      <c r="BI105" s="147"/>
      <c r="BM105" s="147"/>
      <c r="BQ105" s="147"/>
      <c r="BU105" s="147"/>
      <c r="BY105" s="147"/>
      <c r="CC105" s="147"/>
      <c r="CG105" s="147"/>
      <c r="CK105" s="147"/>
      <c r="CO105" s="147"/>
      <c r="CS105" s="147"/>
      <c r="CW105" s="147"/>
      <c r="DA105" s="147"/>
      <c r="DE105" s="147"/>
      <c r="DI105" s="147"/>
      <c r="DM105" s="147"/>
      <c r="DQ105" s="147"/>
      <c r="DU105" s="147"/>
      <c r="DY105" s="147"/>
      <c r="EC105" s="147"/>
      <c r="EG105" s="147"/>
      <c r="EK105" s="147"/>
      <c r="EO105" s="147"/>
      <c r="ES105" s="147"/>
      <c r="EW105" s="147"/>
      <c r="FA105" s="147"/>
      <c r="FE105" s="147"/>
      <c r="FI105" s="147"/>
      <c r="FM105" s="147"/>
      <c r="FQ105" s="147"/>
      <c r="FU105" s="147"/>
      <c r="FY105" s="147"/>
      <c r="GC105" s="147"/>
      <c r="GG105" s="147"/>
      <c r="GK105" s="147"/>
      <c r="GO105" s="147"/>
      <c r="GS105" s="147"/>
      <c r="GW105" s="147"/>
      <c r="HA105" s="147"/>
      <c r="HE105" s="147"/>
      <c r="HI105" s="147"/>
      <c r="HM105" s="147"/>
      <c r="HQ105" s="147"/>
      <c r="HU105" s="147"/>
      <c r="HY105" s="147"/>
      <c r="IC105" s="147"/>
      <c r="IG105" s="147"/>
      <c r="IK105" s="147"/>
      <c r="IO105" s="147"/>
      <c r="IS105" s="147"/>
    </row>
    <row r="106" spans="1:253" x14ac:dyDescent="0.2">
      <c r="A106" s="195"/>
      <c r="B106" s="177">
        <v>30</v>
      </c>
      <c r="C106" s="131" t="s">
        <v>304</v>
      </c>
      <c r="D106" s="81">
        <f>Qg_hs/(0.25)</f>
        <v>3.7599999999999999E-8</v>
      </c>
      <c r="E106" s="97">
        <f>IF(D106*10^12&lt;10000,IF((10^(LOG(D106*10^12)-INT(LOG(D106*10^12))))-VLOOKUP((10^(LOG(D106*10^12)-INT(LOG(D106*10^12)))),c_s1:C_f1,1)&lt;VLOOKUP((10^(LOG(D106*10^12)-INT(LOG(D106*10^12)))),c_s1:C_f1,2)-(10^(LOG(D106*10^12)-INT(LOG(D106*10^12)))),VLOOKUP((10^(LOG(D106*10^12)-INT(LOG(D106*10^12)))),c_s1:C_f1,1),VLOOKUP((10^(LOG(D106*10^12)-INT(LOG(D106*10^12)))),c_s1:C_f1,2))*10^INT(LOG(D106*10^12)),IF((10^(LOG(D106*10^12)-INT(LOG(D106*10^12))))-VLOOKUP((10^(LOG(D106*10^12)-INT(LOG(D106*10^12)))),C_s2:C_f2,1)&lt;VLOOKUP((10^(LOG(D106*10^12)-INT(LOG(D106*10^12)))),C_s2:C_f2,2)-(10^(LOG(D106*10^12)-INT(LOG(D106*10^12)))),VLOOKUP((10^(LOG(D106*10^12)-INT(LOG(D106*10^12)))),C_s2:C_f2,1),VLOOKUP((10^(LOG(D106*10^12)-INT(LOG(D106*10^12)))),C_s2:C_f2,2))*10^INT(LOG(D106*10^12)))*10^-12</f>
        <v>3.2999999999999998E-8</v>
      </c>
      <c r="F106" s="133"/>
      <c r="G106" s="178" t="s">
        <v>7</v>
      </c>
      <c r="H106" s="133" t="s">
        <v>305</v>
      </c>
      <c r="I106" s="198"/>
      <c r="J106" s="202"/>
    </row>
    <row r="107" spans="1:253" x14ac:dyDescent="0.2">
      <c r="A107" s="195"/>
      <c r="B107" s="177"/>
      <c r="C107" s="131" t="s">
        <v>304</v>
      </c>
      <c r="D107" s="100">
        <v>9.9999999999999995E-8</v>
      </c>
      <c r="E107" s="133"/>
      <c r="F107" s="133"/>
      <c r="G107" s="178" t="s">
        <v>7</v>
      </c>
      <c r="H107" s="133" t="s">
        <v>357</v>
      </c>
      <c r="I107" s="198"/>
      <c r="J107" s="202"/>
    </row>
    <row r="108" spans="1:253" x14ac:dyDescent="0.2">
      <c r="A108" s="195"/>
      <c r="B108" s="177"/>
      <c r="C108" s="131" t="s">
        <v>213</v>
      </c>
      <c r="D108" s="100">
        <f>Rdson_ls</f>
        <v>5.8999999999999999E-3</v>
      </c>
      <c r="E108" s="136"/>
      <c r="F108" s="133"/>
      <c r="G108" s="178" t="s">
        <v>29</v>
      </c>
      <c r="H108" s="133" t="s">
        <v>287</v>
      </c>
      <c r="I108" s="198"/>
      <c r="J108" s="202"/>
      <c r="M108" s="147"/>
      <c r="Q108" s="147"/>
      <c r="U108" s="147"/>
      <c r="Y108" s="147"/>
      <c r="AC108" s="147"/>
      <c r="AG108" s="147"/>
      <c r="AK108" s="147"/>
      <c r="AO108" s="147"/>
      <c r="AS108" s="147"/>
      <c r="AW108" s="147"/>
      <c r="BA108" s="147"/>
      <c r="BE108" s="147"/>
      <c r="BI108" s="147"/>
      <c r="BM108" s="147"/>
      <c r="BQ108" s="147"/>
      <c r="BU108" s="147"/>
      <c r="BY108" s="147"/>
      <c r="CC108" s="147"/>
      <c r="CG108" s="147"/>
      <c r="CK108" s="147"/>
      <c r="CO108" s="147"/>
      <c r="CS108" s="147"/>
      <c r="CW108" s="147"/>
      <c r="DA108" s="147"/>
      <c r="DE108" s="147"/>
      <c r="DI108" s="147"/>
      <c r="DM108" s="147"/>
      <c r="DQ108" s="147"/>
      <c r="DU108" s="147"/>
      <c r="DY108" s="147"/>
      <c r="EC108" s="147"/>
      <c r="EG108" s="147"/>
      <c r="EK108" s="147"/>
      <c r="EO108" s="147"/>
      <c r="ES108" s="147"/>
      <c r="EW108" s="147"/>
      <c r="FA108" s="147"/>
      <c r="FE108" s="147"/>
      <c r="FI108" s="147"/>
      <c r="FM108" s="147"/>
      <c r="FQ108" s="147"/>
      <c r="FU108" s="147"/>
      <c r="FY108" s="147"/>
      <c r="GC108" s="147"/>
      <c r="GG108" s="147"/>
      <c r="GK108" s="147"/>
      <c r="GO108" s="147"/>
      <c r="GS108" s="147"/>
      <c r="GW108" s="147"/>
      <c r="HA108" s="147"/>
      <c r="HE108" s="147"/>
      <c r="HI108" s="147"/>
      <c r="HM108" s="147"/>
      <c r="HQ108" s="147"/>
      <c r="HU108" s="147"/>
      <c r="HY108" s="147"/>
      <c r="IC108" s="147"/>
      <c r="IG108" s="147"/>
      <c r="IK108" s="147"/>
      <c r="IO108" s="147"/>
      <c r="IS108" s="147"/>
    </row>
    <row r="109" spans="1:253" x14ac:dyDescent="0.2">
      <c r="A109" s="195"/>
      <c r="B109" s="177">
        <v>28</v>
      </c>
      <c r="C109" s="131" t="s">
        <v>216</v>
      </c>
      <c r="D109" s="83">
        <f>(1-Dmax)*Ilrms^2*(Rdson_hs)</f>
        <v>0.45265884556200736</v>
      </c>
      <c r="E109" s="135"/>
      <c r="F109" s="133"/>
      <c r="G109" s="178" t="s">
        <v>12</v>
      </c>
      <c r="H109" s="133" t="s">
        <v>360</v>
      </c>
      <c r="I109" s="198"/>
      <c r="J109" s="202"/>
    </row>
    <row r="110" spans="1:253" x14ac:dyDescent="0.2">
      <c r="A110" s="195"/>
      <c r="B110" s="177"/>
      <c r="C110" s="131" t="s">
        <v>225</v>
      </c>
      <c r="D110" s="85">
        <f>Rg_ls</f>
        <v>2.2000000000000002</v>
      </c>
      <c r="E110" s="136"/>
      <c r="F110" s="133"/>
      <c r="G110" s="178" t="s">
        <v>29</v>
      </c>
      <c r="H110" s="133" t="s">
        <v>288</v>
      </c>
      <c r="I110" s="198"/>
      <c r="J110" s="202"/>
      <c r="M110" s="147"/>
      <c r="Q110" s="147"/>
      <c r="U110" s="147"/>
      <c r="Y110" s="147"/>
      <c r="AC110" s="147"/>
      <c r="AG110" s="147"/>
      <c r="AK110" s="147"/>
      <c r="AO110" s="147"/>
      <c r="AS110" s="147"/>
      <c r="AW110" s="147"/>
      <c r="BA110" s="147"/>
      <c r="BE110" s="147"/>
      <c r="BI110" s="147"/>
      <c r="BM110" s="147"/>
      <c r="BQ110" s="147"/>
      <c r="BU110" s="147"/>
      <c r="BY110" s="147"/>
      <c r="CC110" s="147"/>
      <c r="CG110" s="147"/>
      <c r="CK110" s="147"/>
      <c r="CO110" s="147"/>
      <c r="CS110" s="147"/>
      <c r="CW110" s="147"/>
      <c r="DA110" s="147"/>
      <c r="DE110" s="147"/>
      <c r="DI110" s="147"/>
      <c r="DM110" s="147"/>
      <c r="DQ110" s="147"/>
      <c r="DU110" s="147"/>
      <c r="DY110" s="147"/>
      <c r="EC110" s="147"/>
      <c r="EG110" s="147"/>
      <c r="EK110" s="147"/>
      <c r="EO110" s="147"/>
      <c r="ES110" s="147"/>
      <c r="EW110" s="147"/>
      <c r="FA110" s="147"/>
      <c r="FE110" s="147"/>
      <c r="FI110" s="147"/>
      <c r="FM110" s="147"/>
      <c r="FQ110" s="147"/>
      <c r="FU110" s="147"/>
      <c r="FY110" s="147"/>
      <c r="GC110" s="147"/>
      <c r="GG110" s="147"/>
      <c r="GK110" s="147"/>
      <c r="GO110" s="147"/>
      <c r="GS110" s="147"/>
      <c r="GW110" s="147"/>
      <c r="HA110" s="147"/>
      <c r="HE110" s="147"/>
      <c r="HI110" s="147"/>
      <c r="HM110" s="147"/>
      <c r="HQ110" s="147"/>
      <c r="HU110" s="147"/>
      <c r="HY110" s="147"/>
      <c r="IC110" s="147"/>
      <c r="IG110" s="147"/>
      <c r="IK110" s="147"/>
      <c r="IO110" s="147"/>
      <c r="IS110" s="147"/>
    </row>
    <row r="111" spans="1:253" x14ac:dyDescent="0.2">
      <c r="A111" s="195"/>
      <c r="B111" s="177"/>
      <c r="C111" s="131" t="s">
        <v>230</v>
      </c>
      <c r="D111" s="101">
        <v>0.92</v>
      </c>
      <c r="E111" s="136"/>
      <c r="F111" s="133"/>
      <c r="G111" s="178" t="s">
        <v>3</v>
      </c>
      <c r="H111" s="133" t="s">
        <v>235</v>
      </c>
      <c r="I111" s="198"/>
      <c r="J111" s="202"/>
      <c r="M111" s="147"/>
      <c r="Q111" s="147"/>
      <c r="U111" s="147"/>
      <c r="Y111" s="147"/>
      <c r="AC111" s="147"/>
      <c r="AG111" s="147"/>
      <c r="AK111" s="147"/>
      <c r="AO111" s="147"/>
      <c r="AS111" s="147"/>
      <c r="AW111" s="147"/>
      <c r="BA111" s="147"/>
      <c r="BE111" s="147"/>
      <c r="BI111" s="147"/>
      <c r="BM111" s="147"/>
      <c r="BQ111" s="147"/>
      <c r="BU111" s="147"/>
      <c r="BY111" s="147"/>
      <c r="CC111" s="147"/>
      <c r="CG111" s="147"/>
      <c r="CK111" s="147"/>
      <c r="CO111" s="147"/>
      <c r="CS111" s="147"/>
      <c r="CW111" s="147"/>
      <c r="DA111" s="147"/>
      <c r="DE111" s="147"/>
      <c r="DI111" s="147"/>
      <c r="DM111" s="147"/>
      <c r="DQ111" s="147"/>
      <c r="DU111" s="147"/>
      <c r="DY111" s="147"/>
      <c r="EC111" s="147"/>
      <c r="EG111" s="147"/>
      <c r="EK111" s="147"/>
      <c r="EO111" s="147"/>
      <c r="ES111" s="147"/>
      <c r="EW111" s="147"/>
      <c r="FA111" s="147"/>
      <c r="FE111" s="147"/>
      <c r="FI111" s="147"/>
      <c r="FM111" s="147"/>
      <c r="FQ111" s="147"/>
      <c r="FU111" s="147"/>
      <c r="FY111" s="147"/>
      <c r="GC111" s="147"/>
      <c r="GG111" s="147"/>
      <c r="GK111" s="147"/>
      <c r="GO111" s="147"/>
      <c r="GS111" s="147"/>
      <c r="GW111" s="147"/>
      <c r="HA111" s="147"/>
      <c r="HE111" s="147"/>
      <c r="HI111" s="147"/>
      <c r="HM111" s="147"/>
      <c r="HQ111" s="147"/>
      <c r="HU111" s="147"/>
      <c r="HY111" s="147"/>
      <c r="IC111" s="147"/>
      <c r="IG111" s="147"/>
      <c r="IK111" s="147"/>
      <c r="IO111" s="147"/>
      <c r="IS111" s="147"/>
    </row>
    <row r="112" spans="1:253" x14ac:dyDescent="0.2">
      <c r="A112" s="195"/>
      <c r="B112" s="177">
        <v>29</v>
      </c>
      <c r="C112" s="131" t="s">
        <v>231</v>
      </c>
      <c r="D112" s="83">
        <f>2*vf_body*Ilrms*tnonoverlap*fsw</f>
        <v>1.8349795372218236</v>
      </c>
      <c r="E112" s="136"/>
      <c r="F112" s="133"/>
      <c r="G112" s="178" t="s">
        <v>12</v>
      </c>
      <c r="H112" s="133" t="s">
        <v>361</v>
      </c>
      <c r="I112" s="198"/>
      <c r="J112" s="202"/>
      <c r="M112" s="147"/>
      <c r="Q112" s="147"/>
      <c r="U112" s="147"/>
      <c r="Y112" s="147"/>
      <c r="AC112" s="147"/>
      <c r="AG112" s="147"/>
      <c r="AK112" s="147"/>
      <c r="AO112" s="147"/>
      <c r="AS112" s="147"/>
      <c r="AW112" s="147"/>
      <c r="BA112" s="147"/>
      <c r="BE112" s="147"/>
      <c r="BI112" s="147"/>
      <c r="BM112" s="147"/>
      <c r="BQ112" s="147"/>
      <c r="BU112" s="147"/>
      <c r="BY112" s="147"/>
      <c r="CC112" s="147"/>
      <c r="CG112" s="147"/>
      <c r="CK112" s="147"/>
      <c r="CO112" s="147"/>
      <c r="CS112" s="147"/>
      <c r="CW112" s="147"/>
      <c r="DA112" s="147"/>
      <c r="DE112" s="147"/>
      <c r="DI112" s="147"/>
      <c r="DM112" s="147"/>
      <c r="DQ112" s="147"/>
      <c r="DU112" s="147"/>
      <c r="DY112" s="147"/>
      <c r="EC112" s="147"/>
      <c r="EG112" s="147"/>
      <c r="EK112" s="147"/>
      <c r="EO112" s="147"/>
      <c r="ES112" s="147"/>
      <c r="EW112" s="147"/>
      <c r="FA112" s="147"/>
      <c r="FE112" s="147"/>
      <c r="FI112" s="147"/>
      <c r="FM112" s="147"/>
      <c r="FQ112" s="147"/>
      <c r="FU112" s="147"/>
      <c r="FY112" s="147"/>
      <c r="GC112" s="147"/>
      <c r="GG112" s="147"/>
      <c r="GK112" s="147"/>
      <c r="GO112" s="147"/>
      <c r="GS112" s="147"/>
      <c r="GW112" s="147"/>
      <c r="HA112" s="147"/>
      <c r="HE112" s="147"/>
      <c r="HI112" s="147"/>
      <c r="HM112" s="147"/>
      <c r="HQ112" s="147"/>
      <c r="HU112" s="147"/>
      <c r="HY112" s="147"/>
      <c r="IC112" s="147"/>
      <c r="IG112" s="147"/>
      <c r="IK112" s="147"/>
      <c r="IO112" s="147"/>
      <c r="IS112" s="147"/>
    </row>
    <row r="113" spans="1:254" x14ac:dyDescent="0.2">
      <c r="A113" s="195"/>
      <c r="B113" s="177"/>
      <c r="C113" s="131" t="s">
        <v>336</v>
      </c>
      <c r="D113" s="83">
        <f>D109+D112</f>
        <v>2.2876383827838311</v>
      </c>
      <c r="E113" s="135"/>
      <c r="F113" s="133"/>
      <c r="G113" s="178" t="s">
        <v>12</v>
      </c>
      <c r="H113" s="133" t="s">
        <v>362</v>
      </c>
      <c r="I113" s="198"/>
      <c r="J113" s="202"/>
    </row>
    <row r="114" spans="1:254" x14ac:dyDescent="0.2">
      <c r="A114" s="195"/>
      <c r="B114" s="156"/>
      <c r="C114" s="141"/>
      <c r="D114" s="162"/>
      <c r="E114" s="162"/>
      <c r="F114" s="141"/>
      <c r="G114" s="145"/>
      <c r="H114" s="141"/>
      <c r="I114" s="198"/>
      <c r="J114" s="202"/>
    </row>
    <row r="115" spans="1:254" x14ac:dyDescent="0.2">
      <c r="A115" s="195"/>
      <c r="B115" s="257" t="s">
        <v>409</v>
      </c>
      <c r="C115" s="257"/>
      <c r="D115" s="167"/>
      <c r="E115" s="167"/>
      <c r="F115" s="159"/>
      <c r="G115" s="164"/>
      <c r="H115" s="159"/>
      <c r="I115" s="198"/>
      <c r="J115" s="202"/>
      <c r="M115" s="147"/>
      <c r="Q115" s="147"/>
      <c r="U115" s="147"/>
      <c r="Y115" s="147"/>
      <c r="AC115" s="147"/>
      <c r="AG115" s="147"/>
      <c r="AK115" s="147"/>
      <c r="AO115" s="147"/>
      <c r="AS115" s="147"/>
      <c r="AW115" s="147"/>
      <c r="BA115" s="147"/>
      <c r="BE115" s="147"/>
      <c r="BI115" s="147"/>
      <c r="BM115" s="147"/>
      <c r="BQ115" s="147"/>
      <c r="BU115" s="147"/>
      <c r="BY115" s="147"/>
      <c r="CC115" s="147"/>
      <c r="CG115" s="147"/>
      <c r="CK115" s="147"/>
      <c r="CO115" s="147"/>
      <c r="CS115" s="147"/>
      <c r="CW115" s="147"/>
      <c r="DA115" s="147"/>
      <c r="DE115" s="147"/>
      <c r="DI115" s="147"/>
      <c r="DM115" s="147"/>
      <c r="DQ115" s="147"/>
      <c r="DU115" s="147"/>
      <c r="DY115" s="147"/>
      <c r="EC115" s="147"/>
      <c r="EG115" s="147"/>
      <c r="EK115" s="147"/>
      <c r="EO115" s="147"/>
      <c r="ES115" s="147"/>
      <c r="EW115" s="147"/>
      <c r="FA115" s="147"/>
      <c r="FE115" s="147"/>
      <c r="FI115" s="147"/>
      <c r="FM115" s="147"/>
      <c r="FQ115" s="147"/>
      <c r="FU115" s="147"/>
      <c r="FY115" s="147"/>
      <c r="GC115" s="147"/>
      <c r="GG115" s="147"/>
      <c r="GK115" s="147"/>
      <c r="GO115" s="147"/>
      <c r="GS115" s="147"/>
      <c r="GW115" s="147"/>
      <c r="HA115" s="147"/>
      <c r="HE115" s="147"/>
      <c r="HI115" s="147"/>
      <c r="HM115" s="147"/>
      <c r="HQ115" s="147"/>
      <c r="HU115" s="147"/>
      <c r="HY115" s="147"/>
      <c r="IC115" s="147"/>
      <c r="IG115" s="147"/>
      <c r="IK115" s="147"/>
      <c r="IO115" s="147"/>
      <c r="IS115" s="147"/>
    </row>
    <row r="116" spans="1:254" x14ac:dyDescent="0.2">
      <c r="A116" s="195"/>
      <c r="B116" s="177">
        <v>25</v>
      </c>
      <c r="C116" s="131" t="s">
        <v>223</v>
      </c>
      <c r="D116" s="83">
        <f>Idrive_ls+Idrive_hs</f>
        <v>1.41E-2</v>
      </c>
      <c r="E116" s="136"/>
      <c r="F116" s="133"/>
      <c r="G116" s="178" t="s">
        <v>2</v>
      </c>
      <c r="H116" s="133" t="s">
        <v>387</v>
      </c>
      <c r="I116" s="198"/>
      <c r="J116" s="202"/>
      <c r="M116" s="147"/>
      <c r="Q116" s="147"/>
      <c r="U116" s="147"/>
      <c r="Y116" s="147"/>
      <c r="AC116" s="147"/>
      <c r="AG116" s="147"/>
      <c r="AK116" s="147"/>
      <c r="AO116" s="147"/>
      <c r="AS116" s="147"/>
      <c r="AW116" s="147"/>
      <c r="BA116" s="147"/>
      <c r="BE116" s="147"/>
      <c r="BI116" s="147"/>
      <c r="BM116" s="147"/>
      <c r="BQ116" s="147"/>
      <c r="BU116" s="147"/>
      <c r="BY116" s="147"/>
      <c r="CC116" s="147"/>
      <c r="CG116" s="147"/>
      <c r="CK116" s="147"/>
      <c r="CO116" s="147"/>
      <c r="CS116" s="147"/>
      <c r="CW116" s="147"/>
      <c r="DA116" s="147"/>
      <c r="DE116" s="147"/>
      <c r="DI116" s="147"/>
      <c r="DM116" s="147"/>
      <c r="DQ116" s="147"/>
      <c r="DU116" s="147"/>
      <c r="DY116" s="147"/>
      <c r="EC116" s="147"/>
      <c r="EG116" s="147"/>
      <c r="EK116" s="147"/>
      <c r="EO116" s="147"/>
      <c r="ES116" s="147"/>
      <c r="EW116" s="147"/>
      <c r="FA116" s="147"/>
      <c r="FE116" s="147"/>
      <c r="FI116" s="147"/>
      <c r="FM116" s="147"/>
      <c r="FQ116" s="147"/>
      <c r="FU116" s="147"/>
      <c r="FY116" s="147"/>
      <c r="GC116" s="147"/>
      <c r="GG116" s="147"/>
      <c r="GK116" s="147"/>
      <c r="GO116" s="147"/>
      <c r="GS116" s="147"/>
      <c r="GW116" s="147"/>
      <c r="HA116" s="147"/>
      <c r="HE116" s="147"/>
      <c r="HI116" s="147"/>
      <c r="HM116" s="147"/>
      <c r="HQ116" s="147"/>
      <c r="HU116" s="147"/>
      <c r="HY116" s="147"/>
      <c r="IC116" s="147"/>
      <c r="IG116" s="147"/>
      <c r="IK116" s="147"/>
      <c r="IO116" s="147"/>
      <c r="IS116" s="147"/>
    </row>
    <row r="117" spans="1:254" x14ac:dyDescent="0.2">
      <c r="A117" s="195"/>
      <c r="B117" s="177"/>
      <c r="C117" s="131" t="s">
        <v>379</v>
      </c>
      <c r="D117" s="100">
        <v>5.5999999999999997E-6</v>
      </c>
      <c r="E117" s="136"/>
      <c r="F117" s="133"/>
      <c r="G117" s="178" t="s">
        <v>7</v>
      </c>
      <c r="H117" s="133" t="s">
        <v>444</v>
      </c>
      <c r="I117" s="198"/>
      <c r="J117" s="202"/>
      <c r="M117" s="147"/>
      <c r="Q117" s="147"/>
      <c r="U117" s="147"/>
      <c r="Y117" s="147"/>
      <c r="AC117" s="147"/>
      <c r="AG117" s="147"/>
      <c r="AK117" s="147"/>
      <c r="AO117" s="147"/>
      <c r="AS117" s="147"/>
      <c r="AW117" s="147"/>
      <c r="BA117" s="147"/>
      <c r="BE117" s="147"/>
      <c r="BI117" s="147"/>
      <c r="BM117" s="147"/>
      <c r="BQ117" s="147"/>
      <c r="BU117" s="147"/>
      <c r="BY117" s="147"/>
      <c r="CC117" s="147"/>
      <c r="CG117" s="147"/>
      <c r="CK117" s="147"/>
      <c r="CO117" s="147"/>
      <c r="CS117" s="147"/>
      <c r="CW117" s="147"/>
      <c r="DA117" s="147"/>
      <c r="DE117" s="147"/>
      <c r="DI117" s="147"/>
      <c r="DM117" s="147"/>
      <c r="DQ117" s="147"/>
      <c r="DU117" s="147"/>
      <c r="DY117" s="147"/>
      <c r="EC117" s="147"/>
      <c r="EG117" s="147"/>
      <c r="EK117" s="147"/>
      <c r="EO117" s="147"/>
      <c r="ES117" s="147"/>
      <c r="EW117" s="147"/>
      <c r="FA117" s="147"/>
      <c r="FE117" s="147"/>
      <c r="FI117" s="147"/>
      <c r="FM117" s="147"/>
      <c r="FQ117" s="147"/>
      <c r="FU117" s="147"/>
      <c r="FY117" s="147"/>
      <c r="GC117" s="147"/>
      <c r="GG117" s="147"/>
      <c r="GK117" s="147"/>
      <c r="GO117" s="147"/>
      <c r="GS117" s="147"/>
      <c r="GW117" s="147"/>
      <c r="HA117" s="147"/>
      <c r="HE117" s="147"/>
      <c r="HI117" s="147"/>
      <c r="HM117" s="147"/>
      <c r="HQ117" s="147"/>
      <c r="HU117" s="147"/>
      <c r="HY117" s="147"/>
      <c r="IC117" s="147"/>
      <c r="IG117" s="147"/>
      <c r="IK117" s="147"/>
      <c r="IO117" s="147"/>
      <c r="IS117" s="147"/>
    </row>
    <row r="118" spans="1:254" x14ac:dyDescent="0.2">
      <c r="A118" s="195"/>
      <c r="B118" s="175"/>
      <c r="C118" s="131" t="s">
        <v>366</v>
      </c>
      <c r="D118" s="121" t="str">
        <f>IF(Vfboot_int=0.75,"n/a","MBR1H100SFT3G")</f>
        <v>n/a</v>
      </c>
      <c r="E118" s="136"/>
      <c r="F118" s="133"/>
      <c r="G118" s="178"/>
      <c r="H118" s="133" t="s">
        <v>388</v>
      </c>
      <c r="I118" s="198"/>
      <c r="J118" s="202"/>
      <c r="M118" s="147"/>
      <c r="Q118" s="147"/>
      <c r="U118" s="147"/>
      <c r="Y118" s="147"/>
      <c r="AC118" s="147"/>
      <c r="AG118" s="147"/>
      <c r="AK118" s="147"/>
      <c r="AO118" s="147"/>
      <c r="AS118" s="147"/>
      <c r="AW118" s="147"/>
      <c r="BA118" s="147"/>
      <c r="BE118" s="147"/>
      <c r="BI118" s="147"/>
      <c r="BM118" s="147"/>
      <c r="BQ118" s="147"/>
      <c r="BU118" s="147"/>
      <c r="BY118" s="147"/>
      <c r="CC118" s="147"/>
      <c r="CG118" s="147"/>
      <c r="CK118" s="147"/>
      <c r="CO118" s="147"/>
      <c r="CS118" s="147"/>
      <c r="CW118" s="147"/>
      <c r="DA118" s="147"/>
      <c r="DE118" s="147"/>
      <c r="DI118" s="147"/>
      <c r="DM118" s="147"/>
      <c r="DQ118" s="147"/>
      <c r="DU118" s="147"/>
      <c r="DY118" s="147"/>
      <c r="EC118" s="147"/>
      <c r="EG118" s="147"/>
      <c r="EK118" s="147"/>
      <c r="EO118" s="147"/>
      <c r="ES118" s="147"/>
      <c r="EW118" s="147"/>
      <c r="FA118" s="147"/>
      <c r="FE118" s="147"/>
      <c r="FI118" s="147"/>
      <c r="FM118" s="147"/>
      <c r="FQ118" s="147"/>
      <c r="FU118" s="147"/>
      <c r="FY118" s="147"/>
      <c r="GC118" s="147"/>
      <c r="GG118" s="147"/>
      <c r="GK118" s="147"/>
      <c r="GO118" s="147"/>
      <c r="GS118" s="147"/>
      <c r="GW118" s="147"/>
      <c r="HA118" s="147"/>
      <c r="HE118" s="147"/>
      <c r="HI118" s="147"/>
      <c r="HM118" s="147"/>
      <c r="HQ118" s="147"/>
      <c r="HU118" s="147"/>
      <c r="HY118" s="147"/>
      <c r="IC118" s="147"/>
      <c r="IG118" s="147"/>
      <c r="IK118" s="147"/>
      <c r="IO118" s="147"/>
      <c r="IS118" s="147"/>
    </row>
    <row r="119" spans="1:254" x14ac:dyDescent="0.2">
      <c r="A119" s="195"/>
      <c r="B119" s="175"/>
      <c r="C119" s="131" t="s">
        <v>224</v>
      </c>
      <c r="D119" s="101">
        <f>IF(Vfboot_int=0.75,0.75,0.7)</f>
        <v>0.75</v>
      </c>
      <c r="E119" s="136"/>
      <c r="F119" s="133"/>
      <c r="G119" s="178" t="s">
        <v>3</v>
      </c>
      <c r="H119" s="133" t="s">
        <v>226</v>
      </c>
      <c r="I119" s="198"/>
      <c r="J119" s="202"/>
      <c r="M119" s="147"/>
      <c r="Q119" s="147"/>
      <c r="U119" s="147"/>
      <c r="Y119" s="147"/>
      <c r="AC119" s="147"/>
      <c r="AG119" s="147"/>
      <c r="AK119" s="147"/>
      <c r="AO119" s="147"/>
      <c r="AS119" s="147"/>
      <c r="AW119" s="147"/>
      <c r="BA119" s="147"/>
      <c r="BE119" s="147"/>
      <c r="BI119" s="147"/>
      <c r="BM119" s="147"/>
      <c r="BQ119" s="147"/>
      <c r="BU119" s="147"/>
      <c r="BY119" s="147"/>
      <c r="CC119" s="147"/>
      <c r="CG119" s="147"/>
      <c r="CK119" s="147"/>
      <c r="CO119" s="147"/>
      <c r="CS119" s="147"/>
      <c r="CW119" s="147"/>
      <c r="DA119" s="147"/>
      <c r="DE119" s="147"/>
      <c r="DI119" s="147"/>
      <c r="DM119" s="147"/>
      <c r="DQ119" s="147"/>
      <c r="DU119" s="147"/>
      <c r="DY119" s="147"/>
      <c r="EC119" s="147"/>
      <c r="EG119" s="147"/>
      <c r="EK119" s="147"/>
      <c r="EO119" s="147"/>
      <c r="ES119" s="147"/>
      <c r="EW119" s="147"/>
      <c r="FA119" s="147"/>
      <c r="FE119" s="147"/>
      <c r="FI119" s="147"/>
      <c r="FM119" s="147"/>
      <c r="FQ119" s="147"/>
      <c r="FU119" s="147"/>
      <c r="FY119" s="147"/>
      <c r="GC119" s="147"/>
      <c r="GG119" s="147"/>
      <c r="GK119" s="147"/>
      <c r="GO119" s="147"/>
      <c r="GS119" s="147"/>
      <c r="GW119" s="147"/>
      <c r="HA119" s="147"/>
      <c r="HE119" s="147"/>
      <c r="HI119" s="147"/>
      <c r="HM119" s="147"/>
      <c r="HQ119" s="147"/>
      <c r="HU119" s="147"/>
      <c r="HY119" s="147"/>
      <c r="IC119" s="147"/>
      <c r="IG119" s="147"/>
      <c r="IK119" s="147"/>
      <c r="IO119" s="147"/>
      <c r="IS119" s="147"/>
    </row>
    <row r="120" spans="1:254" ht="12.75" hidden="1" customHeight="1" x14ac:dyDescent="0.2">
      <c r="A120" s="195"/>
      <c r="B120" s="175"/>
      <c r="C120" s="131" t="s">
        <v>242</v>
      </c>
      <c r="D120" s="82">
        <f>Idrive_ls*Vcc_typ+Idrive_hs*(Vcc_typ-Vfboot)</f>
        <v>7.2262499999999993E-2</v>
      </c>
      <c r="E120" s="136"/>
      <c r="F120" s="133"/>
      <c r="G120" s="178" t="s">
        <v>12</v>
      </c>
      <c r="H120" s="133" t="s">
        <v>316</v>
      </c>
      <c r="I120" s="198"/>
      <c r="J120" s="202"/>
      <c r="M120" s="147"/>
      <c r="Q120" s="147"/>
      <c r="U120" s="147"/>
      <c r="Y120" s="147"/>
      <c r="AC120" s="147"/>
      <c r="AG120" s="147"/>
      <c r="AK120" s="147"/>
      <c r="AO120" s="147"/>
      <c r="AS120" s="147"/>
      <c r="AW120" s="147"/>
      <c r="BA120" s="147"/>
      <c r="BE120" s="147"/>
      <c r="BI120" s="147"/>
      <c r="BM120" s="147"/>
      <c r="BQ120" s="147"/>
      <c r="BU120" s="147"/>
      <c r="BY120" s="147"/>
      <c r="CC120" s="147"/>
      <c r="CG120" s="147"/>
      <c r="CK120" s="147"/>
      <c r="CO120" s="147"/>
      <c r="CS120" s="147"/>
      <c r="CW120" s="147"/>
      <c r="DA120" s="147"/>
      <c r="DE120" s="147"/>
      <c r="DI120" s="147"/>
      <c r="DM120" s="147"/>
      <c r="DQ120" s="147"/>
      <c r="DU120" s="147"/>
      <c r="DY120" s="147"/>
      <c r="EC120" s="147"/>
      <c r="EG120" s="147"/>
      <c r="EK120" s="147"/>
      <c r="EO120" s="147"/>
      <c r="ES120" s="147"/>
      <c r="EW120" s="147"/>
      <c r="FA120" s="147"/>
      <c r="FE120" s="147"/>
      <c r="FI120" s="147"/>
      <c r="FM120" s="147"/>
      <c r="FQ120" s="147"/>
      <c r="FU120" s="147"/>
      <c r="FY120" s="147"/>
      <c r="GC120" s="147"/>
      <c r="GG120" s="147"/>
      <c r="GK120" s="147"/>
      <c r="GO120" s="147"/>
      <c r="GS120" s="147"/>
      <c r="GW120" s="147"/>
      <c r="HA120" s="147"/>
      <c r="HE120" s="147"/>
      <c r="HI120" s="147"/>
      <c r="HM120" s="147"/>
      <c r="HQ120" s="147"/>
      <c r="HU120" s="147"/>
      <c r="HY120" s="147"/>
      <c r="IC120" s="147"/>
      <c r="IG120" s="147"/>
      <c r="IK120" s="147"/>
      <c r="IO120" s="147"/>
      <c r="IS120" s="147"/>
    </row>
    <row r="121" spans="1:254" ht="12.75" hidden="1" customHeight="1" x14ac:dyDescent="0.2">
      <c r="A121" s="195"/>
      <c r="B121" s="175"/>
      <c r="C121" s="131" t="s">
        <v>222</v>
      </c>
      <c r="D121" s="85">
        <v>0</v>
      </c>
      <c r="E121" s="136"/>
      <c r="F121" s="133"/>
      <c r="G121" s="178" t="s">
        <v>29</v>
      </c>
      <c r="H121" s="133" t="s">
        <v>292</v>
      </c>
      <c r="I121" s="198"/>
      <c r="J121" s="202"/>
      <c r="M121" s="147"/>
      <c r="Q121" s="147"/>
      <c r="U121" s="147"/>
      <c r="Y121" s="147"/>
      <c r="AC121" s="147"/>
      <c r="AG121" s="147"/>
      <c r="AK121" s="147"/>
      <c r="AO121" s="147"/>
      <c r="AS121" s="147"/>
      <c r="AW121" s="147"/>
      <c r="BA121" s="147"/>
      <c r="BE121" s="147"/>
      <c r="BI121" s="147"/>
      <c r="BM121" s="147"/>
      <c r="BQ121" s="147"/>
      <c r="BU121" s="147"/>
      <c r="BY121" s="147"/>
      <c r="CC121" s="147"/>
      <c r="CG121" s="147"/>
      <c r="CK121" s="147"/>
      <c r="CO121" s="147"/>
      <c r="CS121" s="147"/>
      <c r="CW121" s="147"/>
      <c r="DA121" s="147"/>
      <c r="DE121" s="147"/>
      <c r="DI121" s="147"/>
      <c r="DM121" s="147"/>
      <c r="DQ121" s="147"/>
      <c r="DU121" s="147"/>
      <c r="DY121" s="147"/>
      <c r="EC121" s="147"/>
      <c r="EG121" s="147"/>
      <c r="EK121" s="147"/>
      <c r="EO121" s="147"/>
      <c r="ES121" s="147"/>
      <c r="EW121" s="147"/>
      <c r="FA121" s="147"/>
      <c r="FE121" s="147"/>
      <c r="FI121" s="147"/>
      <c r="FM121" s="147"/>
      <c r="FQ121" s="147"/>
      <c r="FU121" s="147"/>
      <c r="FY121" s="147"/>
      <c r="GC121" s="147"/>
      <c r="GG121" s="147"/>
      <c r="GK121" s="147"/>
      <c r="GO121" s="147"/>
      <c r="GS121" s="147"/>
      <c r="GW121" s="147"/>
      <c r="HA121" s="147"/>
      <c r="HE121" s="147"/>
      <c r="HI121" s="147"/>
      <c r="HM121" s="147"/>
      <c r="HQ121" s="147"/>
      <c r="HU121" s="147"/>
      <c r="HY121" s="147"/>
      <c r="IC121" s="147"/>
      <c r="IG121" s="147"/>
      <c r="IK121" s="147"/>
      <c r="IO121" s="147"/>
      <c r="IS121" s="147"/>
    </row>
    <row r="122" spans="1:254" ht="12.75" hidden="1" customHeight="1" x14ac:dyDescent="0.2">
      <c r="A122" s="195"/>
      <c r="B122" s="175"/>
      <c r="C122" s="131" t="s">
        <v>228</v>
      </c>
      <c r="D122" s="85">
        <v>0</v>
      </c>
      <c r="E122" s="136"/>
      <c r="F122" s="133"/>
      <c r="G122" s="178" t="s">
        <v>29</v>
      </c>
      <c r="H122" s="133" t="s">
        <v>293</v>
      </c>
      <c r="I122" s="198"/>
      <c r="J122" s="202"/>
      <c r="M122" s="147"/>
      <c r="Q122" s="147"/>
      <c r="U122" s="147"/>
      <c r="Y122" s="147"/>
      <c r="AC122" s="147"/>
      <c r="AG122" s="147"/>
      <c r="AK122" s="147"/>
      <c r="AO122" s="147"/>
      <c r="AS122" s="147"/>
      <c r="AW122" s="147"/>
      <c r="BA122" s="147"/>
      <c r="BE122" s="147"/>
      <c r="BI122" s="147"/>
      <c r="BM122" s="147"/>
      <c r="BQ122" s="147"/>
      <c r="BU122" s="147"/>
      <c r="BY122" s="147"/>
      <c r="CC122" s="147"/>
      <c r="CG122" s="147"/>
      <c r="CK122" s="147"/>
      <c r="CO122" s="147"/>
      <c r="CS122" s="147"/>
      <c r="CW122" s="147"/>
      <c r="DA122" s="147"/>
      <c r="DE122" s="147"/>
      <c r="DI122" s="147"/>
      <c r="DM122" s="147"/>
      <c r="DQ122" s="147"/>
      <c r="DU122" s="147"/>
      <c r="DY122" s="147"/>
      <c r="EC122" s="147"/>
      <c r="EG122" s="147"/>
      <c r="EK122" s="147"/>
      <c r="EO122" s="147"/>
      <c r="ES122" s="147"/>
      <c r="EW122" s="147"/>
      <c r="FA122" s="147"/>
      <c r="FE122" s="147"/>
      <c r="FI122" s="147"/>
      <c r="FM122" s="147"/>
      <c r="FQ122" s="147"/>
      <c r="FU122" s="147"/>
      <c r="FY122" s="147"/>
      <c r="GC122" s="147"/>
      <c r="GG122" s="147"/>
      <c r="GK122" s="147"/>
      <c r="GO122" s="147"/>
      <c r="GS122" s="147"/>
      <c r="GW122" s="147"/>
      <c r="HA122" s="147"/>
      <c r="HE122" s="147"/>
      <c r="HI122" s="147"/>
      <c r="HM122" s="147"/>
      <c r="HQ122" s="147"/>
      <c r="HU122" s="147"/>
      <c r="HY122" s="147"/>
      <c r="IC122" s="147"/>
      <c r="IG122" s="147"/>
      <c r="IK122" s="147"/>
      <c r="IO122" s="147"/>
      <c r="IS122" s="147"/>
    </row>
    <row r="123" spans="1:254" x14ac:dyDescent="0.2">
      <c r="A123" s="195"/>
      <c r="B123" s="175"/>
      <c r="C123" s="131" t="s">
        <v>242</v>
      </c>
      <c r="D123" s="82">
        <f>(Vcc_typ-Vfboot)*Qg_hs*fsw/2*(Rhdrv_pu/(Rhdrv_pu+Rg_hs+Rgd_hs)+Rhdrv_pd/(Rhdrv_pd+Rg_hs+Rgd_hs))+Vcc_typ*Qg_ls*fsw/2*(Rldrv_pu/(Rldrv_pu+Rg_ls+Rgd_ls)+Rldrv_pd/(Rldrv_pd+Rg_ls+Rgd_ls))</f>
        <v>3.976311783063427E-2</v>
      </c>
      <c r="E123" s="136"/>
      <c r="F123" s="133"/>
      <c r="G123" s="178" t="s">
        <v>12</v>
      </c>
      <c r="H123" s="133" t="s">
        <v>315</v>
      </c>
      <c r="I123" s="198"/>
      <c r="J123" s="202"/>
      <c r="M123" s="147"/>
      <c r="Q123" s="147"/>
      <c r="U123" s="147"/>
      <c r="Y123" s="147"/>
      <c r="AC123" s="147"/>
      <c r="AG123" s="147"/>
      <c r="AK123" s="147"/>
      <c r="AO123" s="147"/>
      <c r="AS123" s="147"/>
      <c r="AW123" s="147"/>
      <c r="BA123" s="147"/>
      <c r="BE123" s="147"/>
      <c r="BI123" s="147"/>
      <c r="BM123" s="147"/>
      <c r="BQ123" s="147"/>
      <c r="BU123" s="147"/>
      <c r="BY123" s="147"/>
      <c r="CC123" s="147"/>
      <c r="CG123" s="147"/>
      <c r="CK123" s="147"/>
      <c r="CO123" s="147"/>
      <c r="CS123" s="147"/>
      <c r="CW123" s="147"/>
      <c r="DA123" s="147"/>
      <c r="DE123" s="147"/>
      <c r="DI123" s="147"/>
      <c r="DM123" s="147"/>
      <c r="DQ123" s="147"/>
      <c r="DU123" s="147"/>
      <c r="DY123" s="147"/>
      <c r="EC123" s="147"/>
      <c r="EG123" s="147"/>
      <c r="EK123" s="147"/>
      <c r="EO123" s="147"/>
      <c r="ES123" s="147"/>
      <c r="EW123" s="147"/>
      <c r="FA123" s="147"/>
      <c r="FE123" s="147"/>
      <c r="FI123" s="147"/>
      <c r="FM123" s="147"/>
      <c r="FQ123" s="147"/>
      <c r="FU123" s="147"/>
      <c r="FY123" s="147"/>
      <c r="GC123" s="147"/>
      <c r="GG123" s="147"/>
      <c r="GK123" s="147"/>
      <c r="GO123" s="147"/>
      <c r="GS123" s="147"/>
      <c r="GW123" s="147"/>
      <c r="HA123" s="147"/>
      <c r="HE123" s="147"/>
      <c r="HI123" s="147"/>
      <c r="HM123" s="147"/>
      <c r="HQ123" s="147"/>
      <c r="HU123" s="147"/>
      <c r="HY123" s="147"/>
      <c r="IC123" s="147"/>
      <c r="IG123" s="147"/>
      <c r="IK123" s="147"/>
      <c r="IO123" s="147"/>
      <c r="IS123" s="147"/>
    </row>
    <row r="124" spans="1:254" x14ac:dyDescent="0.2">
      <c r="A124" s="195"/>
      <c r="B124" s="175"/>
      <c r="C124" s="131" t="s">
        <v>363</v>
      </c>
      <c r="D124" s="82">
        <f>(Vin_Max-Vcc_typ)*(Idrive_ls+Idrive_ls)</f>
        <v>7.0499999999999998E-3</v>
      </c>
      <c r="E124" s="136"/>
      <c r="F124" s="133"/>
      <c r="G124" s="178" t="s">
        <v>12</v>
      </c>
      <c r="H124" s="133" t="s">
        <v>364</v>
      </c>
      <c r="I124" s="198"/>
      <c r="J124" s="202"/>
      <c r="M124" s="147"/>
      <c r="Q124" s="147"/>
      <c r="U124" s="147"/>
      <c r="Y124" s="147"/>
      <c r="AC124" s="147"/>
      <c r="AG124" s="147"/>
      <c r="AK124" s="147"/>
      <c r="AO124" s="147"/>
      <c r="AS124" s="147"/>
      <c r="AW124" s="147"/>
      <c r="BA124" s="147"/>
      <c r="BE124" s="147"/>
      <c r="BI124" s="147"/>
      <c r="BM124" s="147"/>
      <c r="BQ124" s="147"/>
      <c r="BU124" s="147"/>
      <c r="BY124" s="147"/>
      <c r="CC124" s="147"/>
      <c r="CG124" s="147"/>
      <c r="CK124" s="147"/>
      <c r="CO124" s="147"/>
      <c r="CS124" s="147"/>
      <c r="CW124" s="147"/>
      <c r="DA124" s="147"/>
      <c r="DE124" s="147"/>
      <c r="DI124" s="147"/>
      <c r="DM124" s="147"/>
      <c r="DQ124" s="147"/>
      <c r="DU124" s="147"/>
      <c r="DY124" s="147"/>
      <c r="EC124" s="147"/>
      <c r="EG124" s="147"/>
      <c r="EK124" s="147"/>
      <c r="EO124" s="147"/>
      <c r="ES124" s="147"/>
      <c r="EW124" s="147"/>
      <c r="FA124" s="147"/>
      <c r="FE124" s="147"/>
      <c r="FI124" s="147"/>
      <c r="FM124" s="147"/>
      <c r="FQ124" s="147"/>
      <c r="FU124" s="147"/>
      <c r="FY124" s="147"/>
      <c r="GC124" s="147"/>
      <c r="GG124" s="147"/>
      <c r="GK124" s="147"/>
      <c r="GO124" s="147"/>
      <c r="GS124" s="147"/>
      <c r="GW124" s="147"/>
      <c r="HA124" s="147"/>
      <c r="HE124" s="147"/>
      <c r="HI124" s="147"/>
      <c r="HM124" s="147"/>
      <c r="HQ124" s="147"/>
      <c r="HU124" s="147"/>
      <c r="HY124" s="147"/>
      <c r="IC124" s="147"/>
      <c r="IG124" s="147"/>
      <c r="IK124" s="147"/>
      <c r="IO124" s="147"/>
      <c r="IS124" s="147"/>
    </row>
    <row r="125" spans="1:254" x14ac:dyDescent="0.2">
      <c r="A125" s="195"/>
      <c r="B125" s="175"/>
      <c r="C125" s="131" t="s">
        <v>234</v>
      </c>
      <c r="D125" s="82">
        <f>Vin_Nom*Iq</f>
        <v>2.7359999999999997E-3</v>
      </c>
      <c r="E125" s="136"/>
      <c r="F125" s="133"/>
      <c r="G125" s="178" t="s">
        <v>12</v>
      </c>
      <c r="H125" s="133" t="s">
        <v>294</v>
      </c>
      <c r="I125" s="198"/>
      <c r="J125" s="202"/>
      <c r="M125" s="147"/>
      <c r="Q125" s="147"/>
      <c r="U125" s="147"/>
      <c r="Y125" s="147"/>
      <c r="AC125" s="147"/>
      <c r="AG125" s="147"/>
      <c r="AK125" s="147"/>
      <c r="AO125" s="147"/>
      <c r="AS125" s="147"/>
      <c r="AW125" s="147"/>
      <c r="BA125" s="147"/>
      <c r="BE125" s="147"/>
      <c r="BI125" s="147"/>
      <c r="BM125" s="147"/>
      <c r="BQ125" s="147"/>
      <c r="BU125" s="147"/>
      <c r="BY125" s="147"/>
      <c r="CC125" s="147"/>
      <c r="CG125" s="147"/>
      <c r="CK125" s="147"/>
      <c r="CO125" s="147"/>
      <c r="CS125" s="147"/>
      <c r="CW125" s="147"/>
      <c r="DA125" s="147"/>
      <c r="DE125" s="147"/>
      <c r="DI125" s="147"/>
      <c r="DM125" s="147"/>
      <c r="DQ125" s="147"/>
      <c r="DU125" s="147"/>
      <c r="DY125" s="147"/>
      <c r="EC125" s="147"/>
      <c r="EG125" s="147"/>
      <c r="EK125" s="147"/>
      <c r="EO125" s="147"/>
      <c r="ES125" s="147"/>
      <c r="EW125" s="147"/>
      <c r="FA125" s="147"/>
      <c r="FE125" s="147"/>
      <c r="FI125" s="147"/>
      <c r="FM125" s="147"/>
      <c r="FQ125" s="147"/>
      <c r="FU125" s="147"/>
      <c r="FY125" s="147"/>
      <c r="GC125" s="147"/>
      <c r="GG125" s="147"/>
      <c r="GK125" s="147"/>
      <c r="GO125" s="147"/>
      <c r="GS125" s="147"/>
      <c r="GW125" s="147"/>
      <c r="HA125" s="147"/>
      <c r="HE125" s="147"/>
      <c r="HI125" s="147"/>
      <c r="HM125" s="147"/>
      <c r="HQ125" s="147"/>
      <c r="HU125" s="147"/>
      <c r="HY125" s="147"/>
      <c r="IC125" s="147"/>
      <c r="IG125" s="147"/>
      <c r="IK125" s="147"/>
      <c r="IO125" s="147"/>
      <c r="IS125" s="147"/>
    </row>
    <row r="126" spans="1:254" x14ac:dyDescent="0.2">
      <c r="A126" s="195"/>
      <c r="B126" s="156"/>
      <c r="C126" s="141"/>
      <c r="D126" s="162"/>
      <c r="E126" s="162"/>
      <c r="F126" s="141"/>
      <c r="G126" s="145"/>
      <c r="H126" s="141"/>
      <c r="I126" s="198"/>
      <c r="J126" s="202"/>
    </row>
    <row r="127" spans="1:254" x14ac:dyDescent="0.2">
      <c r="A127" s="195"/>
      <c r="B127" s="257" t="s">
        <v>112</v>
      </c>
      <c r="C127" s="257"/>
      <c r="D127" s="158"/>
      <c r="E127" s="158"/>
      <c r="F127" s="158"/>
      <c r="G127" s="160"/>
      <c r="H127" s="158"/>
      <c r="I127" s="212"/>
      <c r="J127" s="213"/>
      <c r="L127" s="168"/>
      <c r="M127" s="157"/>
      <c r="N127" s="157"/>
      <c r="P127" s="157"/>
      <c r="Q127" s="157"/>
      <c r="R127" s="157"/>
      <c r="T127" s="157"/>
      <c r="U127" s="157"/>
      <c r="V127" s="157"/>
      <c r="X127" s="157"/>
      <c r="Y127" s="157"/>
      <c r="Z127" s="157"/>
      <c r="AB127" s="157"/>
      <c r="AC127" s="157"/>
      <c r="AD127" s="157"/>
      <c r="AF127" s="157"/>
      <c r="AG127" s="157"/>
      <c r="AH127" s="157"/>
      <c r="AJ127" s="157"/>
      <c r="AK127" s="157"/>
      <c r="AL127" s="157"/>
      <c r="AN127" s="157"/>
      <c r="AO127" s="157"/>
      <c r="AP127" s="157"/>
      <c r="AR127" s="157"/>
      <c r="AS127" s="157"/>
      <c r="AT127" s="157"/>
      <c r="AV127" s="157"/>
      <c r="AW127" s="157"/>
      <c r="AX127" s="157"/>
      <c r="AZ127" s="157"/>
      <c r="BA127" s="157"/>
      <c r="BB127" s="157"/>
      <c r="BD127" s="157"/>
      <c r="BE127" s="157"/>
      <c r="BF127" s="157"/>
      <c r="BH127" s="157"/>
      <c r="BI127" s="157"/>
      <c r="BJ127" s="157"/>
      <c r="BL127" s="157"/>
      <c r="BM127" s="157"/>
      <c r="BN127" s="157"/>
      <c r="BP127" s="157"/>
      <c r="BQ127" s="157"/>
      <c r="BR127" s="157"/>
      <c r="BT127" s="157"/>
      <c r="BU127" s="157"/>
      <c r="BV127" s="157"/>
      <c r="BX127" s="157"/>
      <c r="BY127" s="157"/>
      <c r="BZ127" s="157"/>
      <c r="CB127" s="157"/>
      <c r="CC127" s="157"/>
      <c r="CD127" s="157"/>
      <c r="CF127" s="157"/>
      <c r="CG127" s="157"/>
      <c r="CH127" s="157"/>
      <c r="CJ127" s="157"/>
      <c r="CK127" s="157"/>
      <c r="CL127" s="157"/>
      <c r="CN127" s="157"/>
      <c r="CO127" s="157"/>
      <c r="CP127" s="157"/>
      <c r="CR127" s="157"/>
      <c r="CS127" s="157"/>
      <c r="CT127" s="157"/>
      <c r="CV127" s="157"/>
      <c r="CW127" s="157"/>
      <c r="CX127" s="157"/>
      <c r="CZ127" s="157"/>
      <c r="DA127" s="157"/>
      <c r="DB127" s="157"/>
      <c r="DD127" s="157"/>
      <c r="DE127" s="157"/>
      <c r="DF127" s="157"/>
      <c r="DH127" s="157"/>
      <c r="DI127" s="157"/>
      <c r="DJ127" s="157"/>
      <c r="DL127" s="157"/>
      <c r="DM127" s="157"/>
      <c r="DN127" s="157"/>
      <c r="DP127" s="157"/>
      <c r="DQ127" s="157"/>
      <c r="DR127" s="157"/>
      <c r="DT127" s="157"/>
      <c r="DU127" s="157"/>
      <c r="DV127" s="157"/>
      <c r="DX127" s="157"/>
      <c r="DY127" s="157"/>
      <c r="DZ127" s="157"/>
      <c r="EB127" s="157"/>
      <c r="EC127" s="157"/>
      <c r="ED127" s="157"/>
      <c r="EF127" s="157"/>
      <c r="EG127" s="157"/>
      <c r="EH127" s="157"/>
      <c r="EJ127" s="157"/>
      <c r="EK127" s="157"/>
      <c r="EL127" s="157"/>
      <c r="EN127" s="157"/>
      <c r="EO127" s="157"/>
      <c r="EP127" s="157"/>
      <c r="ER127" s="157"/>
      <c r="ES127" s="157"/>
      <c r="ET127" s="157"/>
      <c r="EV127" s="157"/>
      <c r="EW127" s="157"/>
      <c r="EX127" s="157"/>
      <c r="EZ127" s="157"/>
      <c r="FA127" s="157"/>
      <c r="FB127" s="157"/>
      <c r="FD127" s="157"/>
      <c r="FE127" s="157"/>
      <c r="FF127" s="157"/>
      <c r="FH127" s="157"/>
      <c r="FI127" s="157"/>
      <c r="FJ127" s="157"/>
      <c r="FL127" s="157"/>
      <c r="FM127" s="157"/>
      <c r="FN127" s="157"/>
      <c r="FP127" s="157"/>
      <c r="FQ127" s="157"/>
      <c r="FR127" s="157"/>
      <c r="FT127" s="157"/>
      <c r="FU127" s="157"/>
      <c r="FV127" s="157"/>
      <c r="FX127" s="157"/>
      <c r="FY127" s="157"/>
      <c r="FZ127" s="157"/>
      <c r="GB127" s="157"/>
      <c r="GC127" s="157"/>
      <c r="GD127" s="157"/>
      <c r="GF127" s="157"/>
      <c r="GG127" s="157"/>
      <c r="GH127" s="157"/>
      <c r="GJ127" s="157"/>
      <c r="GK127" s="157"/>
      <c r="GL127" s="157"/>
      <c r="GN127" s="157"/>
      <c r="GO127" s="157"/>
      <c r="GP127" s="157"/>
      <c r="GR127" s="157"/>
      <c r="GS127" s="157"/>
      <c r="GT127" s="157"/>
      <c r="GV127" s="157"/>
      <c r="GW127" s="157"/>
      <c r="GX127" s="157"/>
      <c r="GZ127" s="157"/>
      <c r="HA127" s="157"/>
      <c r="HB127" s="157"/>
      <c r="HD127" s="157"/>
      <c r="HE127" s="157"/>
      <c r="HF127" s="157"/>
      <c r="HH127" s="157"/>
      <c r="HI127" s="157"/>
      <c r="HJ127" s="157"/>
      <c r="HL127" s="157"/>
      <c r="HM127" s="157"/>
      <c r="HN127" s="157"/>
      <c r="HP127" s="157"/>
      <c r="HQ127" s="157"/>
      <c r="HR127" s="157"/>
      <c r="HT127" s="157"/>
      <c r="HU127" s="157"/>
      <c r="HV127" s="157"/>
      <c r="HX127" s="157"/>
      <c r="HY127" s="157"/>
      <c r="HZ127" s="157"/>
      <c r="IB127" s="157"/>
      <c r="IC127" s="157"/>
      <c r="ID127" s="157"/>
      <c r="IF127" s="157"/>
      <c r="IG127" s="157"/>
      <c r="IH127" s="157"/>
      <c r="IJ127" s="157"/>
      <c r="IK127" s="157"/>
      <c r="IL127" s="157"/>
      <c r="IN127" s="157"/>
      <c r="IO127" s="157"/>
      <c r="IP127" s="157"/>
      <c r="IR127" s="157"/>
      <c r="IS127" s="157"/>
      <c r="IT127" s="157"/>
    </row>
    <row r="128" spans="1:254" x14ac:dyDescent="0.2">
      <c r="A128" s="195"/>
      <c r="B128" s="177">
        <v>31</v>
      </c>
      <c r="C128" s="131" t="s">
        <v>424</v>
      </c>
      <c r="D128" s="81">
        <f>Iripple/(4*fsw*Viripple)</f>
        <v>2.6940570800219932E-5</v>
      </c>
      <c r="E128" s="136"/>
      <c r="F128" s="133"/>
      <c r="G128" s="178" t="s">
        <v>3</v>
      </c>
      <c r="H128" s="181" t="s">
        <v>227</v>
      </c>
      <c r="I128" s="198"/>
      <c r="J128" s="202"/>
      <c r="M128" s="147"/>
      <c r="Q128" s="147"/>
      <c r="U128" s="147"/>
      <c r="Y128" s="147"/>
      <c r="AC128" s="147"/>
      <c r="AG128" s="147"/>
      <c r="AK128" s="147"/>
      <c r="AO128" s="147"/>
      <c r="AS128" s="147"/>
      <c r="AW128" s="147"/>
      <c r="BA128" s="147"/>
      <c r="BE128" s="147"/>
      <c r="BI128" s="147"/>
      <c r="BM128" s="147"/>
      <c r="BQ128" s="147"/>
      <c r="BU128" s="147"/>
      <c r="BY128" s="147"/>
      <c r="CC128" s="147"/>
      <c r="CG128" s="147"/>
      <c r="CK128" s="147"/>
      <c r="CO128" s="147"/>
      <c r="CS128" s="147"/>
      <c r="CW128" s="147"/>
      <c r="DA128" s="147"/>
      <c r="DE128" s="147"/>
      <c r="DI128" s="147"/>
      <c r="DM128" s="147"/>
      <c r="DQ128" s="147"/>
      <c r="DU128" s="147"/>
      <c r="DY128" s="147"/>
      <c r="EC128" s="147"/>
      <c r="EG128" s="147"/>
      <c r="EK128" s="147"/>
      <c r="EO128" s="147"/>
      <c r="ES128" s="147"/>
      <c r="EW128" s="147"/>
      <c r="FA128" s="147"/>
      <c r="FE128" s="147"/>
      <c r="FI128" s="147"/>
      <c r="FM128" s="147"/>
      <c r="FQ128" s="147"/>
      <c r="FU128" s="147"/>
      <c r="FY128" s="147"/>
      <c r="GC128" s="147"/>
      <c r="GG128" s="147"/>
      <c r="GK128" s="147"/>
      <c r="GO128" s="147"/>
      <c r="GS128" s="147"/>
      <c r="GW128" s="147"/>
      <c r="HA128" s="147"/>
      <c r="HE128" s="147"/>
      <c r="HI128" s="147"/>
      <c r="HM128" s="147"/>
      <c r="HQ128" s="147"/>
      <c r="HU128" s="147"/>
      <c r="HY128" s="147"/>
      <c r="IC128" s="147"/>
      <c r="IG128" s="147"/>
      <c r="IK128" s="147"/>
      <c r="IO128" s="147"/>
      <c r="IS128" s="147"/>
    </row>
    <row r="129" spans="1:253" x14ac:dyDescent="0.2">
      <c r="A129" s="195"/>
      <c r="B129" s="130"/>
      <c r="C129" s="131" t="s">
        <v>425</v>
      </c>
      <c r="D129" s="93">
        <v>2.2000000000000001E-4</v>
      </c>
      <c r="E129" s="133"/>
      <c r="F129" s="133"/>
      <c r="G129" s="178" t="s">
        <v>7</v>
      </c>
      <c r="H129" s="133" t="s">
        <v>431</v>
      </c>
      <c r="I129" s="198"/>
      <c r="J129" s="202"/>
      <c r="M129" s="147"/>
      <c r="Q129" s="147"/>
      <c r="U129" s="147"/>
      <c r="Y129" s="147"/>
      <c r="AC129" s="147"/>
      <c r="AG129" s="147"/>
      <c r="AK129" s="147"/>
      <c r="AO129" s="147"/>
      <c r="AS129" s="147"/>
      <c r="AW129" s="147"/>
      <c r="BA129" s="147"/>
      <c r="BE129" s="147"/>
      <c r="BI129" s="147"/>
      <c r="BM129" s="147"/>
      <c r="BQ129" s="147"/>
      <c r="BU129" s="147"/>
      <c r="BY129" s="147"/>
      <c r="CC129" s="147"/>
      <c r="CG129" s="147"/>
      <c r="CK129" s="147"/>
      <c r="CO129" s="147"/>
      <c r="CS129" s="147"/>
      <c r="CW129" s="147"/>
      <c r="DA129" s="147"/>
      <c r="DE129" s="147"/>
      <c r="DI129" s="147"/>
      <c r="DM129" s="147"/>
      <c r="DQ129" s="147"/>
      <c r="DU129" s="147"/>
      <c r="DY129" s="147"/>
      <c r="EC129" s="147"/>
      <c r="EG129" s="147"/>
      <c r="EK129" s="147"/>
      <c r="EO129" s="147"/>
      <c r="ES129" s="147"/>
      <c r="EW129" s="147"/>
      <c r="FA129" s="147"/>
      <c r="FE129" s="147"/>
      <c r="FI129" s="147"/>
      <c r="FM129" s="147"/>
      <c r="FQ129" s="147"/>
      <c r="FU129" s="147"/>
      <c r="FY129" s="147"/>
      <c r="GC129" s="147"/>
      <c r="GG129" s="147"/>
      <c r="GK129" s="147"/>
      <c r="GO129" s="147"/>
      <c r="GS129" s="147"/>
      <c r="GW129" s="147"/>
      <c r="HA129" s="147"/>
      <c r="HE129" s="147"/>
      <c r="HI129" s="147"/>
      <c r="HM129" s="147"/>
      <c r="HQ129" s="147"/>
      <c r="HU129" s="147"/>
      <c r="HY129" s="147"/>
      <c r="IC129" s="147"/>
      <c r="IG129" s="147"/>
      <c r="IK129" s="147"/>
      <c r="IO129" s="147"/>
      <c r="IS129" s="147"/>
    </row>
    <row r="130" spans="1:253" x14ac:dyDescent="0.2">
      <c r="A130" s="195"/>
      <c r="B130" s="177">
        <v>32</v>
      </c>
      <c r="C130" s="131" t="s">
        <v>67</v>
      </c>
      <c r="D130" s="83">
        <f>Iripple/SQRT(12)</f>
        <v>1.0639035729682338</v>
      </c>
      <c r="E130" s="136"/>
      <c r="F130" s="133"/>
      <c r="G130" s="178" t="s">
        <v>2</v>
      </c>
      <c r="H130" s="181" t="s">
        <v>91</v>
      </c>
      <c r="I130" s="198"/>
      <c r="J130" s="202"/>
      <c r="M130" s="147"/>
      <c r="Q130" s="147"/>
      <c r="U130" s="147"/>
      <c r="Y130" s="147"/>
      <c r="AC130" s="147"/>
      <c r="AG130" s="147"/>
      <c r="AK130" s="147"/>
      <c r="AO130" s="147"/>
      <c r="AS130" s="147"/>
      <c r="AW130" s="147"/>
      <c r="BA130" s="147"/>
      <c r="BE130" s="147"/>
      <c r="BI130" s="147"/>
      <c r="BM130" s="147"/>
      <c r="BQ130" s="147"/>
      <c r="BU130" s="147"/>
      <c r="BY130" s="147"/>
      <c r="CC130" s="147"/>
      <c r="CG130" s="147"/>
      <c r="CK130" s="147"/>
      <c r="CO130" s="147"/>
      <c r="CS130" s="147"/>
      <c r="CW130" s="147"/>
      <c r="DA130" s="147"/>
      <c r="DE130" s="147"/>
      <c r="DI130" s="147"/>
      <c r="DM130" s="147"/>
      <c r="DQ130" s="147"/>
      <c r="DU130" s="147"/>
      <c r="DY130" s="147"/>
      <c r="EC130" s="147"/>
      <c r="EG130" s="147"/>
      <c r="EK130" s="147"/>
      <c r="EO130" s="147"/>
      <c r="ES130" s="147"/>
      <c r="EW130" s="147"/>
      <c r="FA130" s="147"/>
      <c r="FE130" s="147"/>
      <c r="FI130" s="147"/>
      <c r="FM130" s="147"/>
      <c r="FQ130" s="147"/>
      <c r="FU130" s="147"/>
      <c r="FY130" s="147"/>
      <c r="GC130" s="147"/>
      <c r="GG130" s="147"/>
      <c r="GK130" s="147"/>
      <c r="GO130" s="147"/>
      <c r="GS130" s="147"/>
      <c r="GW130" s="147"/>
      <c r="HA130" s="147"/>
      <c r="HE130" s="147"/>
      <c r="HI130" s="147"/>
      <c r="HM130" s="147"/>
      <c r="HQ130" s="147"/>
      <c r="HU130" s="147"/>
      <c r="HY130" s="147"/>
      <c r="IC130" s="147"/>
      <c r="IG130" s="147"/>
      <c r="IK130" s="147"/>
      <c r="IO130" s="147"/>
      <c r="IS130" s="147"/>
    </row>
    <row r="131" spans="1:253" x14ac:dyDescent="0.2">
      <c r="A131" s="195"/>
      <c r="B131" s="156"/>
      <c r="C131" s="141"/>
      <c r="D131" s="162"/>
      <c r="E131" s="162"/>
      <c r="F131" s="141"/>
      <c r="G131" s="145"/>
      <c r="H131" s="141"/>
      <c r="I131" s="198"/>
      <c r="J131" s="202"/>
    </row>
    <row r="132" spans="1:253" ht="15" x14ac:dyDescent="0.25">
      <c r="A132" s="198"/>
      <c r="B132" s="119" t="s">
        <v>120</v>
      </c>
      <c r="C132" s="118" t="s">
        <v>57</v>
      </c>
      <c r="D132" s="261" t="s">
        <v>9</v>
      </c>
      <c r="E132" s="262"/>
      <c r="F132" s="263"/>
      <c r="G132" s="118" t="s">
        <v>8</v>
      </c>
      <c r="H132" s="126" t="s">
        <v>422</v>
      </c>
      <c r="I132" s="216"/>
      <c r="J132" s="202"/>
      <c r="M132" s="147"/>
    </row>
    <row r="133" spans="1:253" x14ac:dyDescent="0.2">
      <c r="A133" s="195"/>
      <c r="B133" s="156"/>
      <c r="C133" s="141"/>
      <c r="D133" s="162"/>
      <c r="E133" s="162"/>
      <c r="F133" s="141"/>
      <c r="G133" s="145"/>
      <c r="H133" s="141"/>
      <c r="I133" s="198"/>
      <c r="J133" s="202"/>
    </row>
    <row r="134" spans="1:253" x14ac:dyDescent="0.2">
      <c r="A134" s="195"/>
      <c r="B134" s="257" t="s">
        <v>410</v>
      </c>
      <c r="C134" s="257"/>
      <c r="D134" s="159"/>
      <c r="E134" s="159"/>
      <c r="F134" s="159"/>
      <c r="G134" s="164"/>
      <c r="H134" s="159"/>
      <c r="I134" s="198"/>
      <c r="J134" s="202"/>
    </row>
    <row r="135" spans="1:253" x14ac:dyDescent="0.2">
      <c r="A135" s="195"/>
      <c r="B135" s="177"/>
      <c r="C135" s="131" t="s">
        <v>445</v>
      </c>
      <c r="D135" s="93">
        <v>11000</v>
      </c>
      <c r="E135" s="133"/>
      <c r="F135" s="133"/>
      <c r="G135" s="178" t="s">
        <v>29</v>
      </c>
      <c r="H135" s="133" t="s">
        <v>266</v>
      </c>
      <c r="I135" s="198"/>
      <c r="J135" s="202"/>
    </row>
    <row r="136" spans="1:253" x14ac:dyDescent="0.2">
      <c r="A136" s="195"/>
      <c r="B136" s="177">
        <v>33</v>
      </c>
      <c r="C136" s="131" t="s">
        <v>367</v>
      </c>
      <c r="D136" s="82">
        <f>Rsl*(Vout/Vref-1)</f>
        <v>205393.44262295082</v>
      </c>
      <c r="E136" s="94">
        <f>(IF((10^(LOG(D136)-INT(LOG(D136)))*100)-VLOOKUP((10^(LOG(D136)-INT(LOG(D136)))*100),E96_s:E96_f,1)&lt;VLOOKUP((10^(LOG(D136)-INT(LOG(D136)))*100),E96_s:E96_f,2)-(10^(LOG(D136)-INT(LOG(D136)))*100),VLOOKUP((10^(LOG(D136)-INT(LOG(D136)))*100),E96_s:E96_f,1),VLOOKUP((10^(LOG(D136)-INT(LOG(D136)))*100),E96_s:E96_f,2)))*10^INT(LOG(D136))/100</f>
        <v>205000</v>
      </c>
      <c r="F136" s="133"/>
      <c r="G136" s="178" t="s">
        <v>29</v>
      </c>
      <c r="H136" s="133" t="s">
        <v>265</v>
      </c>
      <c r="I136" s="198"/>
      <c r="J136" s="202"/>
    </row>
    <row r="137" spans="1:253" x14ac:dyDescent="0.2">
      <c r="A137" s="195"/>
      <c r="B137" s="177"/>
      <c r="C137" s="131" t="s">
        <v>368</v>
      </c>
      <c r="D137" s="93">
        <f>E136</f>
        <v>205000</v>
      </c>
      <c r="E137" s="136"/>
      <c r="F137" s="133"/>
      <c r="G137" s="178" t="s">
        <v>29</v>
      </c>
      <c r="H137" s="133" t="s">
        <v>106</v>
      </c>
      <c r="I137" s="198"/>
      <c r="J137" s="202"/>
    </row>
    <row r="138" spans="1:253" x14ac:dyDescent="0.2">
      <c r="A138" s="195"/>
      <c r="B138" s="148"/>
      <c r="C138" s="141"/>
      <c r="D138" s="163"/>
      <c r="E138" s="163"/>
      <c r="F138" s="163"/>
      <c r="G138" s="145"/>
      <c r="H138" s="141"/>
      <c r="I138" s="198"/>
      <c r="J138" s="202"/>
    </row>
    <row r="139" spans="1:253" x14ac:dyDescent="0.2">
      <c r="A139" s="195"/>
      <c r="B139" s="257" t="s">
        <v>411</v>
      </c>
      <c r="C139" s="257"/>
      <c r="D139" s="159"/>
      <c r="E139" s="159"/>
      <c r="F139" s="159"/>
      <c r="G139" s="164"/>
      <c r="H139" s="159"/>
      <c r="I139" s="198"/>
      <c r="J139" s="202"/>
      <c r="M139" s="147"/>
    </row>
    <row r="140" spans="1:253" x14ac:dyDescent="0.2">
      <c r="A140" s="195"/>
      <c r="B140" s="175"/>
      <c r="C140" s="131" t="s">
        <v>243</v>
      </c>
      <c r="D140" s="93">
        <v>2.5000000000000001E-2</v>
      </c>
      <c r="E140" s="133"/>
      <c r="F140" s="133"/>
      <c r="G140" s="178" t="s">
        <v>42</v>
      </c>
      <c r="H140" s="133" t="s">
        <v>244</v>
      </c>
      <c r="I140" s="198"/>
      <c r="J140" s="202"/>
      <c r="M140" s="147"/>
    </row>
    <row r="141" spans="1:253" x14ac:dyDescent="0.2">
      <c r="A141" s="195"/>
      <c r="B141" s="177">
        <v>34</v>
      </c>
      <c r="C141" s="131" t="s">
        <v>261</v>
      </c>
      <c r="D141" s="95">
        <f>tss*Iss/Vref</f>
        <v>1.0245901639344264E-7</v>
      </c>
      <c r="E141" s="97">
        <f>IF(D141*10^12&lt;10000,IF((10^(LOG(D141*10^12)-INT(LOG(D141*10^12))))-VLOOKUP((10^(LOG(D141*10^12)-INT(LOG(D141*10^12)))),c_s1:C_f1,1)&lt;VLOOKUP((10^(LOG(D141*10^12)-INT(LOG(D141*10^12)))),c_s1:C_f1,2)-(10^(LOG(D141*10^12)-INT(LOG(D141*10^12)))),VLOOKUP((10^(LOG(D141*10^12)-INT(LOG(D141*10^12)))),c_s1:C_f1,1),VLOOKUP((10^(LOG(D141*10^12)-INT(LOG(D141*10^12)))),c_s1:C_f1,2))*10^INT(LOG(D141*10^12)),IF((10^(LOG(D141*10^12)-INT(LOG(D141*10^12))))-VLOOKUP((10^(LOG(D141*10^12)-INT(LOG(D141*10^12)))),C_s2:C_f2,1)&lt;VLOOKUP((10^(LOG(D141*10^12)-INT(LOG(D141*10^12)))),C_s2:C_f2,2)-(10^(LOG(D141*10^12)-INT(LOG(D141*10^12)))),VLOOKUP((10^(LOG(D141*10^12)-INT(LOG(D141*10^12)))),C_s2:C_f2,1),VLOOKUP((10^(LOG(D141*10^12)-INT(LOG(D141*10^12)))),C_s2:C_f2,2))*10^INT(LOG(D141*10^12)))*10^-12</f>
        <v>9.9999999999999995E-8</v>
      </c>
      <c r="F141" s="133"/>
      <c r="G141" s="178" t="s">
        <v>7</v>
      </c>
      <c r="H141" s="133" t="s">
        <v>262</v>
      </c>
      <c r="I141" s="198"/>
      <c r="J141" s="202"/>
      <c r="M141" s="147"/>
    </row>
    <row r="142" spans="1:253" x14ac:dyDescent="0.2">
      <c r="A142" s="195"/>
      <c r="B142" s="177"/>
      <c r="C142" s="131" t="s">
        <v>446</v>
      </c>
      <c r="D142" s="93">
        <f>E141</f>
        <v>9.9999999999999995E-8</v>
      </c>
      <c r="E142" s="132"/>
      <c r="F142" s="133"/>
      <c r="G142" s="178" t="s">
        <v>7</v>
      </c>
      <c r="H142" s="133" t="s">
        <v>263</v>
      </c>
      <c r="I142" s="198"/>
      <c r="J142" s="202"/>
      <c r="M142" s="147"/>
    </row>
    <row r="143" spans="1:253" x14ac:dyDescent="0.2">
      <c r="A143" s="195"/>
      <c r="B143" s="156"/>
      <c r="C143" s="157"/>
      <c r="D143" s="157"/>
      <c r="E143" s="157"/>
      <c r="F143" s="141"/>
      <c r="G143" s="156"/>
      <c r="H143" s="157"/>
      <c r="I143" s="212"/>
      <c r="J143" s="202"/>
      <c r="M143" s="147"/>
    </row>
    <row r="144" spans="1:253" x14ac:dyDescent="0.2">
      <c r="A144" s="195"/>
      <c r="B144" s="257" t="s">
        <v>412</v>
      </c>
      <c r="C144" s="257"/>
      <c r="D144" s="159"/>
      <c r="E144" s="159"/>
      <c r="F144" s="159"/>
      <c r="G144" s="164"/>
      <c r="H144" s="159"/>
      <c r="I144" s="198"/>
      <c r="J144" s="202"/>
    </row>
    <row r="145" spans="1:13" x14ac:dyDescent="0.2">
      <c r="A145" s="195"/>
      <c r="B145" s="177">
        <v>35</v>
      </c>
      <c r="C145" s="131" t="s">
        <v>416</v>
      </c>
      <c r="D145" s="82">
        <f>(Vstart*(Ven_dis/Ven_on)-Vstop)/(Ien_pup*(1-Ven_dis/Ven_on)+Ien_hys)</f>
        <v>6753.3766883439685</v>
      </c>
      <c r="E145" s="94">
        <f>(IF((10^(LOG(D145)-INT(LOG(D145)))*100)-VLOOKUP((10^(LOG(D145)-INT(LOG(D145)))*100),E96_s:E96_f,1)&lt;VLOOKUP((10^(LOG(D145)-INT(LOG(D145)))*100),E96_s:E96_f,2)-(10^(LOG(D145)-INT(LOG(D145)))*100),VLOOKUP((10^(LOG(D145)-INT(LOG(D145)))*100),E96_s:E96_f,1),VLOOKUP((10^(LOG(D145)-INT(LOG(D145)))*100),E96_s:E96_f,2)))*10^INT(LOG(D145))/100</f>
        <v>6810</v>
      </c>
      <c r="F145" s="133"/>
      <c r="G145" s="178" t="s">
        <v>29</v>
      </c>
      <c r="H145" s="133" t="s">
        <v>267</v>
      </c>
      <c r="I145" s="198"/>
      <c r="J145" s="202"/>
    </row>
    <row r="146" spans="1:13" x14ac:dyDescent="0.2">
      <c r="A146" s="195"/>
      <c r="B146" s="177"/>
      <c r="C146" s="131" t="s">
        <v>447</v>
      </c>
      <c r="D146" s="93">
        <f>E145</f>
        <v>6810</v>
      </c>
      <c r="E146" s="133"/>
      <c r="F146" s="133"/>
      <c r="G146" s="178" t="s">
        <v>29</v>
      </c>
      <c r="H146" s="133" t="s">
        <v>268</v>
      </c>
      <c r="I146" s="198"/>
      <c r="J146" s="202"/>
    </row>
    <row r="147" spans="1:13" x14ac:dyDescent="0.2">
      <c r="A147" s="195"/>
      <c r="B147" s="177">
        <v>36</v>
      </c>
      <c r="C147" s="131" t="s">
        <v>417</v>
      </c>
      <c r="D147" s="82">
        <f>Ruvloh*Ven_dis/(Vstop-Ven_dis+Ruvloh*(Ien_pup+Ien_hys)+Ien_hys)</f>
        <v>2287.353657273256</v>
      </c>
      <c r="E147" s="94">
        <f>(IF((10^(LOG(D147)-INT(LOG(D147)))*100)-VLOOKUP((10^(LOG(D147)-INT(LOG(D147)))*100),E96_s:E96_f,1)&lt;VLOOKUP((10^(LOG(D147)-INT(LOG(D147)))*100),E96_s:E96_f,2)-(10^(LOG(D147)-INT(LOG(D147)))*100),VLOOKUP((10^(LOG(D147)-INT(LOG(D147)))*100),E96_s:E96_f,1),VLOOKUP((10^(LOG(D147)-INT(LOG(D147)))*100),E96_s:E96_f,2)))*10^INT(LOG(D147))/100</f>
        <v>2260</v>
      </c>
      <c r="F147" s="133"/>
      <c r="G147" s="178" t="s">
        <v>29</v>
      </c>
      <c r="H147" s="133" t="s">
        <v>270</v>
      </c>
      <c r="I147" s="198"/>
      <c r="J147" s="202"/>
    </row>
    <row r="148" spans="1:13" x14ac:dyDescent="0.2">
      <c r="A148" s="195"/>
      <c r="B148" s="177"/>
      <c r="C148" s="131" t="s">
        <v>448</v>
      </c>
      <c r="D148" s="93">
        <f>E147</f>
        <v>2260</v>
      </c>
      <c r="E148" s="136"/>
      <c r="F148" s="133"/>
      <c r="G148" s="178" t="s">
        <v>29</v>
      </c>
      <c r="H148" s="133" t="s">
        <v>269</v>
      </c>
      <c r="I148" s="198"/>
      <c r="J148" s="202"/>
    </row>
    <row r="149" spans="1:13" x14ac:dyDescent="0.2">
      <c r="A149" s="195"/>
      <c r="B149" s="130"/>
      <c r="C149" s="131" t="s">
        <v>369</v>
      </c>
      <c r="D149" s="99">
        <f>Ven_on-Ien_pup*Ruvloh-Ien_hys*Ven_on/Ven_dis+Ruvloh*Ven_on/Ruvlol</f>
        <v>4.8438005504114265</v>
      </c>
      <c r="E149" s="135"/>
      <c r="F149" s="133"/>
      <c r="G149" s="178" t="s">
        <v>3</v>
      </c>
      <c r="H149" s="133" t="s">
        <v>296</v>
      </c>
      <c r="I149" s="198"/>
      <c r="J149" s="202"/>
    </row>
    <row r="150" spans="1:13" x14ac:dyDescent="0.2">
      <c r="A150" s="195"/>
      <c r="B150" s="130"/>
      <c r="C150" s="131" t="s">
        <v>370</v>
      </c>
      <c r="D150" s="99">
        <f>Ven_dis-Ien_hys-Ien_hys*Ruvloh-Ien_pup*Ruvloh+Ruvloh*Ven_dis/Ruvlol</f>
        <v>4.541079543362831</v>
      </c>
      <c r="E150" s="135"/>
      <c r="F150" s="133"/>
      <c r="G150" s="178" t="s">
        <v>3</v>
      </c>
      <c r="H150" s="133" t="s">
        <v>295</v>
      </c>
      <c r="I150" s="198"/>
      <c r="J150" s="202"/>
    </row>
    <row r="151" spans="1:13" x14ac:dyDescent="0.2">
      <c r="A151" s="195"/>
      <c r="B151" s="148"/>
      <c r="C151" s="141"/>
      <c r="D151" s="162"/>
      <c r="E151" s="162"/>
      <c r="F151" s="141"/>
      <c r="G151" s="145"/>
      <c r="H151" s="141"/>
      <c r="I151" s="198"/>
      <c r="J151" s="202"/>
    </row>
    <row r="152" spans="1:13" x14ac:dyDescent="0.2">
      <c r="A152" s="195"/>
      <c r="B152" s="257" t="s">
        <v>449</v>
      </c>
      <c r="C152" s="257"/>
      <c r="D152" s="159"/>
      <c r="E152" s="159"/>
      <c r="F152" s="159"/>
      <c r="G152" s="164"/>
      <c r="H152" s="159"/>
      <c r="I152" s="198"/>
      <c r="J152" s="202"/>
    </row>
    <row r="153" spans="1:13" x14ac:dyDescent="0.2">
      <c r="A153" s="195"/>
      <c r="B153" s="177"/>
      <c r="C153" s="131" t="s">
        <v>450</v>
      </c>
      <c r="D153" s="93">
        <v>100000</v>
      </c>
      <c r="E153" s="133"/>
      <c r="F153" s="133"/>
      <c r="G153" s="178" t="s">
        <v>29</v>
      </c>
      <c r="H153" s="133" t="s">
        <v>451</v>
      </c>
      <c r="I153" s="198"/>
      <c r="J153" s="202"/>
    </row>
    <row r="154" spans="1:13" x14ac:dyDescent="0.2">
      <c r="A154" s="195"/>
      <c r="B154" s="148"/>
      <c r="C154" s="141"/>
      <c r="D154" s="163"/>
      <c r="E154" s="163"/>
      <c r="F154" s="163"/>
      <c r="G154" s="145"/>
      <c r="H154" s="141"/>
      <c r="I154" s="198"/>
      <c r="J154" s="202"/>
    </row>
    <row r="155" spans="1:13" ht="15" x14ac:dyDescent="0.25">
      <c r="A155" s="195"/>
      <c r="B155" s="119" t="s">
        <v>120</v>
      </c>
      <c r="C155" s="118" t="s">
        <v>31</v>
      </c>
      <c r="D155" s="261" t="s">
        <v>9</v>
      </c>
      <c r="E155" s="262"/>
      <c r="F155" s="263"/>
      <c r="G155" s="118" t="s">
        <v>8</v>
      </c>
      <c r="H155" s="126" t="s">
        <v>422</v>
      </c>
      <c r="I155" s="198"/>
      <c r="J155" s="202"/>
    </row>
    <row r="156" spans="1:13" x14ac:dyDescent="0.2">
      <c r="A156" s="195"/>
      <c r="B156" s="156"/>
      <c r="C156" s="157"/>
      <c r="D156" s="157"/>
      <c r="E156" s="157"/>
      <c r="F156" s="141"/>
      <c r="G156" s="156"/>
      <c r="H156" s="157"/>
      <c r="I156" s="198"/>
      <c r="J156" s="202"/>
    </row>
    <row r="157" spans="1:13" x14ac:dyDescent="0.2">
      <c r="A157" s="198"/>
      <c r="B157" s="257" t="s">
        <v>37</v>
      </c>
      <c r="C157" s="257"/>
      <c r="D157" s="158"/>
      <c r="E157" s="158"/>
      <c r="F157" s="159"/>
      <c r="G157" s="160"/>
      <c r="H157" s="158"/>
      <c r="I157" s="216"/>
      <c r="J157" s="202"/>
      <c r="M157" s="147"/>
    </row>
    <row r="158" spans="1:13" x14ac:dyDescent="0.2">
      <c r="A158" s="195"/>
      <c r="B158" s="177"/>
      <c r="C158" s="131" t="s">
        <v>10</v>
      </c>
      <c r="D158" s="98">
        <f>Vout/(Iout)</f>
        <v>6.4</v>
      </c>
      <c r="E158" s="134"/>
      <c r="F158" s="133"/>
      <c r="G158" s="178" t="s">
        <v>29</v>
      </c>
      <c r="H158" s="133" t="s">
        <v>64</v>
      </c>
      <c r="I158" s="212"/>
      <c r="J158" s="202"/>
      <c r="M158" s="147"/>
    </row>
    <row r="159" spans="1:13" x14ac:dyDescent="0.2">
      <c r="A159" s="195"/>
      <c r="B159" s="177">
        <v>37</v>
      </c>
      <c r="C159" s="131" t="s">
        <v>241</v>
      </c>
      <c r="D159" s="98">
        <f>20*LOG(Vin_Min/(2*40/3*Rsense*Iout))</f>
        <v>27.203028955652755</v>
      </c>
      <c r="E159" s="98">
        <f>Vin_Min/(2*40/3*Rsense*Iout)</f>
        <v>22.916666666666668</v>
      </c>
      <c r="F159" s="133"/>
      <c r="G159" s="178" t="s">
        <v>11</v>
      </c>
      <c r="H159" s="133" t="s">
        <v>297</v>
      </c>
      <c r="I159" s="212"/>
      <c r="J159" s="202"/>
      <c r="M159" s="147"/>
    </row>
    <row r="160" spans="1:13" x14ac:dyDescent="0.2">
      <c r="A160" s="195"/>
      <c r="B160" s="177">
        <v>38</v>
      </c>
      <c r="C160" s="131" t="s">
        <v>21</v>
      </c>
      <c r="D160" s="81">
        <f>2/(2*PI()*Ro*Co)</f>
        <v>226.07236234644225</v>
      </c>
      <c r="E160" s="134"/>
      <c r="F160" s="133"/>
      <c r="G160" s="182" t="s">
        <v>5</v>
      </c>
      <c r="H160" s="133" t="s">
        <v>65</v>
      </c>
      <c r="I160" s="212"/>
      <c r="J160" s="202"/>
      <c r="M160" s="147"/>
    </row>
    <row r="161" spans="1:13" x14ac:dyDescent="0.2">
      <c r="A161" s="195"/>
      <c r="B161" s="177">
        <v>39</v>
      </c>
      <c r="C161" s="131" t="s">
        <v>20</v>
      </c>
      <c r="D161" s="81">
        <f>(Ro/(2*PI()*L))*(Vin_Min/Vout)^2</f>
        <v>26335.38203640252</v>
      </c>
      <c r="E161" s="134"/>
      <c r="F161" s="134"/>
      <c r="G161" s="182" t="s">
        <v>5</v>
      </c>
      <c r="H161" s="133" t="s">
        <v>66</v>
      </c>
      <c r="I161" s="212"/>
      <c r="J161" s="202"/>
      <c r="M161" s="147"/>
    </row>
    <row r="162" spans="1:13" x14ac:dyDescent="0.2">
      <c r="A162" s="195"/>
      <c r="B162" s="177">
        <v>40</v>
      </c>
      <c r="C162" s="131" t="s">
        <v>92</v>
      </c>
      <c r="D162" s="81">
        <f>1/(2*PI()*Co_esr*Co)</f>
        <v>40190.642194923072</v>
      </c>
      <c r="E162" s="134"/>
      <c r="F162" s="134"/>
      <c r="G162" s="178" t="s">
        <v>5</v>
      </c>
      <c r="H162" s="133" t="s">
        <v>298</v>
      </c>
      <c r="I162" s="212"/>
      <c r="J162" s="202"/>
      <c r="M162" s="147"/>
    </row>
    <row r="163" spans="1:13" x14ac:dyDescent="0.2">
      <c r="A163" s="195"/>
      <c r="B163" s="148"/>
      <c r="C163" s="157"/>
      <c r="D163" s="157"/>
      <c r="E163" s="141"/>
      <c r="F163" s="141"/>
      <c r="G163" s="156"/>
      <c r="H163" s="157"/>
      <c r="I163" s="212"/>
      <c r="J163" s="202"/>
      <c r="M163" s="147"/>
    </row>
    <row r="164" spans="1:13" x14ac:dyDescent="0.2">
      <c r="A164" s="195"/>
      <c r="B164" s="257" t="s">
        <v>413</v>
      </c>
      <c r="C164" s="257"/>
      <c r="D164" s="158"/>
      <c r="E164" s="158"/>
      <c r="F164" s="159"/>
      <c r="G164" s="160"/>
      <c r="H164" s="158"/>
      <c r="I164" s="212"/>
      <c r="J164" s="202"/>
      <c r="M164" s="147"/>
    </row>
    <row r="165" spans="1:13" x14ac:dyDescent="0.2">
      <c r="A165" s="195"/>
      <c r="B165" s="177">
        <v>41</v>
      </c>
      <c r="C165" s="131" t="s">
        <v>256</v>
      </c>
      <c r="D165" s="81">
        <f>frhpz/4</f>
        <v>6583.8455091006299</v>
      </c>
      <c r="E165" s="177"/>
      <c r="F165" s="177"/>
      <c r="G165" s="178" t="s">
        <v>5</v>
      </c>
      <c r="H165" s="133" t="s">
        <v>281</v>
      </c>
      <c r="I165" s="212"/>
      <c r="J165" s="202"/>
      <c r="M165" s="147"/>
    </row>
    <row r="166" spans="1:13" ht="12" customHeight="1" x14ac:dyDescent="0.2">
      <c r="A166" s="195"/>
      <c r="B166" s="177">
        <v>42</v>
      </c>
      <c r="C166" s="131" t="s">
        <v>257</v>
      </c>
      <c r="D166" s="81">
        <f>fsw/5</f>
        <v>150000</v>
      </c>
      <c r="E166" s="133"/>
      <c r="F166" s="133"/>
      <c r="G166" s="178" t="s">
        <v>5</v>
      </c>
      <c r="H166" s="133" t="s">
        <v>339</v>
      </c>
      <c r="I166" s="212"/>
      <c r="J166" s="202"/>
      <c r="M166" s="147"/>
    </row>
    <row r="167" spans="1:13" x14ac:dyDescent="0.2">
      <c r="A167" s="195"/>
      <c r="B167" s="177"/>
      <c r="C167" s="131" t="s">
        <v>371</v>
      </c>
      <c r="D167" s="100">
        <f>MIN(D166,D165)</f>
        <v>6583.8455091006299</v>
      </c>
      <c r="E167" s="133"/>
      <c r="F167" s="133"/>
      <c r="G167" s="178" t="s">
        <v>5</v>
      </c>
      <c r="H167" s="133" t="s">
        <v>69</v>
      </c>
      <c r="I167" s="198"/>
      <c r="J167" s="202"/>
      <c r="M167" s="147"/>
    </row>
    <row r="168" spans="1:13" x14ac:dyDescent="0.2">
      <c r="A168" s="195"/>
      <c r="B168" s="177"/>
      <c r="C168" s="131" t="s">
        <v>58</v>
      </c>
      <c r="D168" s="99">
        <f>VLOOKUP(MIN('Small Signal'!M4:M404),'Small Signal'!M4:AB404,16,FALSE)</f>
        <v>-3.094433469986166</v>
      </c>
      <c r="E168" s="137"/>
      <c r="F168" s="133"/>
      <c r="G168" s="178" t="s">
        <v>11</v>
      </c>
      <c r="H168" s="133" t="s">
        <v>258</v>
      </c>
      <c r="I168" s="198"/>
      <c r="J168" s="202"/>
      <c r="M168" s="147"/>
    </row>
    <row r="169" spans="1:13" x14ac:dyDescent="0.2">
      <c r="A169" s="195"/>
      <c r="B169" s="177"/>
      <c r="C169" s="131" t="s">
        <v>58</v>
      </c>
      <c r="D169" s="101">
        <f>D168</f>
        <v>-3.094433469986166</v>
      </c>
      <c r="E169" s="137"/>
      <c r="F169" s="133"/>
      <c r="G169" s="178" t="s">
        <v>11</v>
      </c>
      <c r="H169" s="133" t="s">
        <v>259</v>
      </c>
      <c r="I169" s="198"/>
      <c r="J169" s="202"/>
      <c r="M169" s="147"/>
    </row>
    <row r="170" spans="1:13" x14ac:dyDescent="0.2">
      <c r="A170" s="195"/>
      <c r="B170" s="177">
        <v>43</v>
      </c>
      <c r="C170" s="131" t="s">
        <v>114</v>
      </c>
      <c r="D170" s="81">
        <f>2*PI()*Co*40/3*Rsense*Vout*Fco_target*(Rsh+Rsl)/(Rsl*Vin_Min*gea)</f>
        <v>22685.538461538468</v>
      </c>
      <c r="E170" s="94">
        <f>(IF((10^(LOG(D170)-INT(LOG(D170)))*100)-VLOOKUP((10^(LOG(D170)-INT(LOG(D170)))*100),E96_s:E96_f,1)&lt;VLOOKUP((10^(LOG(D170)-INT(LOG(D170)))*100),E96_s:E96_f,2)-(10^(LOG(D170)-INT(LOG(D170)))*100),VLOOKUP((10^(LOG(D170)-INT(LOG(D170)))*100),E96_s:E96_f,1),VLOOKUP((10^(LOG(D170)-INT(LOG(D170)))*100),E96_s:E96_f,2)))*10^INT(LOG(D170))/100</f>
        <v>22600</v>
      </c>
      <c r="F170" s="133"/>
      <c r="G170" s="178" t="s">
        <v>29</v>
      </c>
      <c r="H170" s="133" t="s">
        <v>372</v>
      </c>
      <c r="I170" s="198"/>
      <c r="J170" s="202"/>
      <c r="M170" s="147"/>
    </row>
    <row r="171" spans="1:13" x14ac:dyDescent="0.2">
      <c r="A171" s="195"/>
      <c r="B171" s="177"/>
      <c r="C171" s="131" t="s">
        <v>114</v>
      </c>
      <c r="D171" s="81">
        <f>1/(gea*Rsl/(Rsh+Rsl)*10^(PSgain_fco/20))</f>
        <v>25491.18673129689</v>
      </c>
      <c r="E171" s="94">
        <f>(IF((10^(LOG(D171)-INT(LOG(D171)))*100)-VLOOKUP((10^(LOG(D171)-INT(LOG(D171)))*100),E96_s:E96_f,1)&lt;VLOOKUP((10^(LOG(D171)-INT(LOG(D171)))*100),E96_s:E96_f,2)-(10^(LOG(D171)-INT(LOG(D171)))*100),VLOOKUP((10^(LOG(D171)-INT(LOG(D171)))*100),E96_s:E96_f,1),VLOOKUP((10^(LOG(D171)-INT(LOG(D171)))*100),E96_s:E96_f,2)))*10^INT(LOG(D171))/100</f>
        <v>25500</v>
      </c>
      <c r="F171" s="133"/>
      <c r="G171" s="178" t="s">
        <v>29</v>
      </c>
      <c r="H171" s="133" t="s">
        <v>373</v>
      </c>
      <c r="I171" s="198"/>
      <c r="J171" s="202"/>
      <c r="M171" s="147"/>
    </row>
    <row r="172" spans="1:13" x14ac:dyDescent="0.2">
      <c r="A172" s="195"/>
      <c r="B172" s="177"/>
      <c r="C172" s="131" t="s">
        <v>282</v>
      </c>
      <c r="D172" s="100">
        <f>MIN(E170:E171)</f>
        <v>22600</v>
      </c>
      <c r="E172" s="133"/>
      <c r="F172" s="133"/>
      <c r="G172" s="178" t="s">
        <v>29</v>
      </c>
      <c r="H172" s="133" t="s">
        <v>86</v>
      </c>
      <c r="I172" s="198"/>
      <c r="J172" s="202"/>
      <c r="M172" s="147"/>
    </row>
    <row r="173" spans="1:13" x14ac:dyDescent="0.2">
      <c r="A173" s="195"/>
      <c r="B173" s="177">
        <v>44</v>
      </c>
      <c r="C173" s="131" t="s">
        <v>115</v>
      </c>
      <c r="D173" s="81">
        <f>1/(2*PI()*Rcomp*Fco_target/10)</f>
        <v>1.0696262707525778E-8</v>
      </c>
      <c r="E173" s="97">
        <f>IF(D173*10^12&lt;10000,IF((10^(LOG(D173*10^12)-INT(LOG(D173*10^12))))-VLOOKUP((10^(LOG(D173*10^12)-INT(LOG(D173*10^12)))),c_s1:C_f1,1)&lt;VLOOKUP((10^(LOG(D173*10^12)-INT(LOG(D173*10^12)))),c_s1:C_f1,2)-(10^(LOG(D173*10^12)-INT(LOG(D173*10^12)))),VLOOKUP((10^(LOG(D173*10^12)-INT(LOG(D173*10^12)))),c_s1:C_f1,1),VLOOKUP((10^(LOG(D173*10^12)-INT(LOG(D173*10^12)))),c_s1:C_f1,2))*10^INT(LOG(D173*10^12)),IF((10^(LOG(D173*10^12)-INT(LOG(D173*10^12))))-VLOOKUP((10^(LOG(D173*10^12)-INT(LOG(D173*10^12)))),C_s2:C_f2,1)&lt;VLOOKUP((10^(LOG(D173*10^12)-INT(LOG(D173*10^12)))),C_s2:C_f2,2)-(10^(LOG(D173*10^12)-INT(LOG(D173*10^12)))),VLOOKUP((10^(LOG(D173*10^12)-INT(LOG(D173*10^12)))),C_s2:C_f2,1),VLOOKUP((10^(LOG(D173*10^12)-INT(LOG(D173*10^12)))),C_s2:C_f2,2))*10^INT(LOG(D173*10^12)))*10^-12</f>
        <v>1E-8</v>
      </c>
      <c r="F173" s="133"/>
      <c r="G173" s="178" t="s">
        <v>7</v>
      </c>
      <c r="H173" s="133" t="s">
        <v>87</v>
      </c>
      <c r="I173" s="198"/>
      <c r="J173" s="202"/>
      <c r="M173" s="147"/>
    </row>
    <row r="174" spans="1:13" x14ac:dyDescent="0.2">
      <c r="A174" s="195"/>
      <c r="B174" s="177"/>
      <c r="C174" s="131" t="s">
        <v>283</v>
      </c>
      <c r="D174" s="100">
        <f>E173</f>
        <v>1E-8</v>
      </c>
      <c r="E174" s="133"/>
      <c r="F174" s="133"/>
      <c r="G174" s="178" t="s">
        <v>7</v>
      </c>
      <c r="H174" s="133" t="s">
        <v>88</v>
      </c>
      <c r="I174" s="198"/>
      <c r="J174" s="202"/>
      <c r="M174" s="147"/>
    </row>
    <row r="175" spans="1:13" x14ac:dyDescent="0.2">
      <c r="A175" s="195"/>
      <c r="B175" s="177">
        <v>46</v>
      </c>
      <c r="C175" s="131" t="s">
        <v>116</v>
      </c>
      <c r="D175" s="81">
        <f>1/(2*PI()*Rcomp*10*Fco_target)</f>
        <v>1.0696262707525778E-10</v>
      </c>
      <c r="E175" s="97">
        <f>IF(D175*10^12&lt;10000,IF((10^(LOG(D175*10^12)-INT(LOG(D175*10^12))))-VLOOKUP((10^(LOG(D175*10^12)-INT(LOG(D175*10^12)))),c_s1:C_f1,1)&lt;VLOOKUP((10^(LOG(D175*10^12)-INT(LOG(D175*10^12)))),c_s1:C_f1,2)-(10^(LOG(D175*10^12)-INT(LOG(D175*10^12)))),VLOOKUP((10^(LOG(D175*10^12)-INT(LOG(D175*10^12)))),c_s1:C_f1,1),VLOOKUP((10^(LOG(D175*10^12)-INT(LOG(D175*10^12)))),c_s1:C_f1,2))*10^INT(LOG(D175*10^12)),IF((10^(LOG(D175*10^12)-INT(LOG(D175*10^12))))-VLOOKUP((10^(LOG(D175*10^12)-INT(LOG(D175*10^12)))),C_s2:C_f2,1)&lt;VLOOKUP((10^(LOG(D175*10^12)-INT(LOG(D175*10^12)))),C_s2:C_f2,2)-(10^(LOG(D175*10^12)-INT(LOG(D175*10^12)))),VLOOKUP((10^(LOG(D175*10^12)-INT(LOG(D175*10^12)))),C_s2:C_f2,1),VLOOKUP((10^(LOG(D175*10^12)-INT(LOG(D175*10^12)))),C_s2:C_f2,2))*10^INT(LOG(D175*10^12)))*10^-12</f>
        <v>1E-10</v>
      </c>
      <c r="F175" s="133"/>
      <c r="G175" s="178" t="s">
        <v>7</v>
      </c>
      <c r="H175" s="183" t="s">
        <v>89</v>
      </c>
      <c r="I175" s="198"/>
      <c r="J175" s="202"/>
      <c r="M175" s="147"/>
    </row>
    <row r="176" spans="1:13" x14ac:dyDescent="0.2">
      <c r="A176" s="195"/>
      <c r="B176" s="177">
        <v>45</v>
      </c>
      <c r="C176" s="131" t="s">
        <v>117</v>
      </c>
      <c r="D176" s="81">
        <f>Co*Co_esr/Rcomp</f>
        <v>1.752212389380531E-10</v>
      </c>
      <c r="E176" s="97">
        <f>IF(D176*10^12&lt;10000,IF((10^(LOG(D176*10^12)-INT(LOG(D176*10^12))))-VLOOKUP((10^(LOG(D176*10^12)-INT(LOG(D176*10^12)))),c_s1:C_f1,1)&lt;VLOOKUP((10^(LOG(D176*10^12)-INT(LOG(D176*10^12)))),c_s1:C_f1,2)-(10^(LOG(D176*10^12)-INT(LOG(D176*10^12)))),VLOOKUP((10^(LOG(D176*10^12)-INT(LOG(D176*10^12)))),c_s1:C_f1,1),VLOOKUP((10^(LOG(D176*10^12)-INT(LOG(D176*10^12)))),c_s1:C_f1,2))*10^INT(LOG(D176*10^12)),IF((10^(LOG(D176*10^12)-INT(LOG(D176*10^12))))-VLOOKUP((10^(LOG(D176*10^12)-INT(LOG(D176*10^12)))),C_s2:C_f2,1)&lt;VLOOKUP((10^(LOG(D176*10^12)-INT(LOG(D176*10^12)))),C_s2:C_f2,2)-(10^(LOG(D176*10^12)-INT(LOG(D176*10^12)))),VLOOKUP((10^(LOG(D176*10^12)-INT(LOG(D176*10^12)))),C_s2:C_f2,1),VLOOKUP((10^(LOG(D176*10^12)-INT(LOG(D176*10^12)))),C_s2:C_f2,2))*10^INT(LOG(D176*10^12)))*10^-12</f>
        <v>1.8E-10</v>
      </c>
      <c r="F176" s="133"/>
      <c r="G176" s="178" t="s">
        <v>7</v>
      </c>
      <c r="H176" s="183" t="s">
        <v>90</v>
      </c>
      <c r="I176" s="198"/>
      <c r="J176" s="202"/>
      <c r="M176" s="147"/>
    </row>
    <row r="177" spans="1:13" ht="12.75" customHeight="1" x14ac:dyDescent="0.2">
      <c r="A177" s="195"/>
      <c r="B177" s="177"/>
      <c r="C177" s="131" t="s">
        <v>284</v>
      </c>
      <c r="D177" s="100">
        <f>MAX(E175:E176)</f>
        <v>1.8E-10</v>
      </c>
      <c r="E177" s="134"/>
      <c r="F177" s="133"/>
      <c r="G177" s="178"/>
      <c r="H177" s="183" t="s">
        <v>129</v>
      </c>
      <c r="I177" s="198"/>
      <c r="J177" s="202"/>
      <c r="M177" s="147"/>
    </row>
    <row r="178" spans="1:13" ht="12.75" customHeight="1" x14ac:dyDescent="0.2">
      <c r="A178" s="195"/>
      <c r="B178" s="177"/>
      <c r="C178" s="131" t="s">
        <v>38</v>
      </c>
      <c r="D178" s="81">
        <f>1/(2*PI()*Rea*Ccomp)</f>
        <v>1.5915494309189535</v>
      </c>
      <c r="E178" s="134"/>
      <c r="F178" s="134"/>
      <c r="G178" s="178" t="s">
        <v>5</v>
      </c>
      <c r="H178" s="133" t="s">
        <v>127</v>
      </c>
      <c r="I178" s="198"/>
      <c r="J178" s="202"/>
      <c r="M178" s="147"/>
    </row>
    <row r="179" spans="1:13" x14ac:dyDescent="0.2">
      <c r="A179" s="195"/>
      <c r="B179" s="177"/>
      <c r="C179" s="131" t="s">
        <v>39</v>
      </c>
      <c r="D179" s="81">
        <f>1/(2*PI()*Rcomp*Ccomp)</f>
        <v>704.22541191104131</v>
      </c>
      <c r="E179" s="134"/>
      <c r="F179" s="134"/>
      <c r="G179" s="178" t="s">
        <v>5</v>
      </c>
      <c r="H179" s="133" t="s">
        <v>128</v>
      </c>
      <c r="I179" s="198"/>
      <c r="J179" s="202"/>
      <c r="M179" s="147"/>
    </row>
    <row r="180" spans="1:13" x14ac:dyDescent="0.2">
      <c r="A180" s="195"/>
      <c r="B180" s="177"/>
      <c r="C180" s="131" t="s">
        <v>40</v>
      </c>
      <c r="D180" s="81">
        <f>(1/(2*PI()*Chf*Rcomp))</f>
        <v>39123.633995057855</v>
      </c>
      <c r="E180" s="134"/>
      <c r="F180" s="134"/>
      <c r="G180" s="178" t="s">
        <v>5</v>
      </c>
      <c r="H180" s="133" t="s">
        <v>260</v>
      </c>
      <c r="I180" s="198"/>
      <c r="J180" s="202"/>
      <c r="M180" s="147"/>
    </row>
    <row r="181" spans="1:13" ht="15" x14ac:dyDescent="0.25">
      <c r="A181" s="195"/>
      <c r="B181" s="169" t="s">
        <v>313</v>
      </c>
      <c r="C181" s="141"/>
      <c r="D181" s="141"/>
      <c r="E181" s="141"/>
      <c r="F181" s="141"/>
      <c r="G181" s="145"/>
      <c r="H181" s="141"/>
      <c r="I181" s="198"/>
      <c r="J181" s="202"/>
      <c r="M181" s="147"/>
    </row>
    <row r="182" spans="1:13" ht="15" x14ac:dyDescent="0.25">
      <c r="A182" s="195"/>
      <c r="B182" s="262" t="s">
        <v>48</v>
      </c>
      <c r="C182" s="263"/>
      <c r="D182" s="261" t="s">
        <v>9</v>
      </c>
      <c r="E182" s="262"/>
      <c r="F182" s="263"/>
      <c r="G182" s="118" t="s">
        <v>8</v>
      </c>
      <c r="H182" s="126" t="s">
        <v>422</v>
      </c>
      <c r="I182" s="198"/>
      <c r="J182" s="202"/>
      <c r="M182" s="147"/>
    </row>
    <row r="183" spans="1:13" ht="15" x14ac:dyDescent="0.25">
      <c r="A183" s="195"/>
      <c r="B183" s="170"/>
      <c r="C183" s="171"/>
      <c r="D183" s="184" t="s">
        <v>43</v>
      </c>
      <c r="E183" s="185" t="s">
        <v>44</v>
      </c>
      <c r="F183" s="186" t="s">
        <v>45</v>
      </c>
      <c r="G183" s="172"/>
      <c r="H183" s="173"/>
      <c r="I183" s="198"/>
      <c r="J183" s="202"/>
    </row>
    <row r="184" spans="1:13" ht="15" x14ac:dyDescent="0.25">
      <c r="A184" s="196"/>
      <c r="B184" s="156"/>
      <c r="C184" s="131" t="s">
        <v>23</v>
      </c>
      <c r="D184" s="187" t="s">
        <v>53</v>
      </c>
      <c r="E184" s="88"/>
      <c r="F184" s="88">
        <v>58</v>
      </c>
      <c r="G184" s="178" t="s">
        <v>3</v>
      </c>
      <c r="H184" s="133" t="s">
        <v>0</v>
      </c>
      <c r="I184" s="217"/>
      <c r="J184" s="207"/>
    </row>
    <row r="185" spans="1:13" ht="15" x14ac:dyDescent="0.25">
      <c r="A185" s="197"/>
      <c r="B185" s="156"/>
      <c r="C185" s="131" t="s">
        <v>53</v>
      </c>
      <c r="D185" s="88">
        <v>4.5</v>
      </c>
      <c r="E185" s="88"/>
      <c r="F185" s="88">
        <v>38</v>
      </c>
      <c r="G185" s="178" t="s">
        <v>3</v>
      </c>
      <c r="H185" s="133" t="s">
        <v>46</v>
      </c>
      <c r="I185" s="218"/>
      <c r="J185" s="207"/>
    </row>
    <row r="186" spans="1:13" x14ac:dyDescent="0.2">
      <c r="A186" s="195"/>
      <c r="B186" s="156"/>
      <c r="C186" s="131" t="s">
        <v>35</v>
      </c>
      <c r="D186" s="90">
        <v>50000</v>
      </c>
      <c r="E186" s="89"/>
      <c r="F186" s="89">
        <v>1200000</v>
      </c>
      <c r="G186" s="178" t="s">
        <v>5</v>
      </c>
      <c r="H186" s="133" t="s">
        <v>47</v>
      </c>
      <c r="I186" s="198"/>
      <c r="J186" s="213"/>
    </row>
    <row r="187" spans="1:13" x14ac:dyDescent="0.2">
      <c r="A187" s="195"/>
      <c r="B187" s="156"/>
      <c r="C187" s="131" t="s">
        <v>174</v>
      </c>
      <c r="D187" s="188"/>
      <c r="E187" s="89">
        <f>0.0011</f>
        <v>1.1000000000000001E-3</v>
      </c>
      <c r="F187" s="90"/>
      <c r="G187" s="178" t="s">
        <v>1</v>
      </c>
      <c r="H187" s="133" t="s">
        <v>16</v>
      </c>
      <c r="I187" s="198"/>
      <c r="J187" s="213"/>
    </row>
    <row r="188" spans="1:13" x14ac:dyDescent="0.2">
      <c r="A188" s="195"/>
      <c r="B188" s="156"/>
      <c r="C188" s="131" t="s">
        <v>54</v>
      </c>
      <c r="D188" s="188"/>
      <c r="E188" s="90">
        <f>10*10^6</f>
        <v>10000000</v>
      </c>
      <c r="F188" s="188"/>
      <c r="G188" s="178" t="s">
        <v>29</v>
      </c>
      <c r="H188" s="133" t="s">
        <v>17</v>
      </c>
      <c r="I188" s="198"/>
      <c r="J188" s="213"/>
    </row>
    <row r="189" spans="1:13" x14ac:dyDescent="0.2">
      <c r="A189" s="195"/>
      <c r="B189" s="156"/>
      <c r="C189" s="131" t="s">
        <v>55</v>
      </c>
      <c r="D189" s="188"/>
      <c r="E189" s="88">
        <v>1.22</v>
      </c>
      <c r="F189" s="188"/>
      <c r="G189" s="178" t="s">
        <v>3</v>
      </c>
      <c r="H189" s="133" t="s">
        <v>18</v>
      </c>
      <c r="I189" s="198"/>
      <c r="J189" s="202"/>
    </row>
    <row r="190" spans="1:13" x14ac:dyDescent="0.2">
      <c r="A190" s="195"/>
      <c r="B190" s="156"/>
      <c r="C190" s="131" t="s">
        <v>232</v>
      </c>
      <c r="D190" s="188"/>
      <c r="E190" s="90">
        <v>9.9999999999999995E-8</v>
      </c>
      <c r="F190" s="188"/>
      <c r="G190" s="178" t="s">
        <v>42</v>
      </c>
      <c r="H190" s="133" t="s">
        <v>32</v>
      </c>
      <c r="I190" s="198"/>
      <c r="J190" s="202"/>
    </row>
    <row r="191" spans="1:13" x14ac:dyDescent="0.2">
      <c r="A191" s="195"/>
      <c r="B191" s="156"/>
      <c r="C191" s="131" t="s">
        <v>233</v>
      </c>
      <c r="D191" s="188"/>
      <c r="E191" s="90">
        <v>2.4999999999999999E-7</v>
      </c>
      <c r="F191" s="188"/>
      <c r="G191" s="178" t="s">
        <v>42</v>
      </c>
      <c r="H191" s="133" t="s">
        <v>193</v>
      </c>
      <c r="I191" s="198"/>
      <c r="J191" s="202"/>
    </row>
    <row r="192" spans="1:13" x14ac:dyDescent="0.2">
      <c r="A192" s="195"/>
      <c r="B192" s="156"/>
      <c r="C192" s="131" t="s">
        <v>341</v>
      </c>
      <c r="D192" s="91">
        <v>6.4000000000000001E-2</v>
      </c>
      <c r="E192" s="91">
        <v>7.2999999999999995E-2</v>
      </c>
      <c r="F192" s="91">
        <v>8.2000000000000003E-2</v>
      </c>
      <c r="G192" s="178" t="s">
        <v>3</v>
      </c>
      <c r="H192" s="133" t="s">
        <v>247</v>
      </c>
      <c r="I192" s="198"/>
      <c r="J192" s="202"/>
    </row>
    <row r="193" spans="1:10" x14ac:dyDescent="0.2">
      <c r="A193" s="195"/>
      <c r="B193" s="156"/>
      <c r="C193" s="131" t="s">
        <v>342</v>
      </c>
      <c r="D193" s="91">
        <v>5.0999999999999997E-2</v>
      </c>
      <c r="E193" s="91">
        <v>6.0999999999999999E-2</v>
      </c>
      <c r="F193" s="91">
        <v>7.1999999999999995E-2</v>
      </c>
      <c r="G193" s="178" t="s">
        <v>3</v>
      </c>
      <c r="H193" s="133" t="s">
        <v>246</v>
      </c>
      <c r="I193" s="198"/>
      <c r="J193" s="202"/>
    </row>
    <row r="194" spans="1:10" x14ac:dyDescent="0.2">
      <c r="A194" s="195"/>
      <c r="B194" s="156"/>
      <c r="C194" s="131" t="s">
        <v>229</v>
      </c>
      <c r="D194" s="91"/>
      <c r="E194" s="106">
        <f>LOOKUP($D$4,partdata!A4:A5,partdata!B4:B5)</f>
        <v>5.5</v>
      </c>
      <c r="F194" s="91"/>
      <c r="G194" s="178" t="s">
        <v>3</v>
      </c>
      <c r="H194" s="133" t="s">
        <v>248</v>
      </c>
      <c r="I194" s="198"/>
      <c r="J194" s="202"/>
    </row>
    <row r="195" spans="1:10" x14ac:dyDescent="0.2">
      <c r="A195" s="195"/>
      <c r="B195" s="156"/>
      <c r="C195" s="131" t="s">
        <v>224</v>
      </c>
      <c r="D195" s="91"/>
      <c r="E195" s="91">
        <f>LOOKUP($D$4,partdata!A4:A5,partdata!C4:C5)</f>
        <v>0.75</v>
      </c>
      <c r="F195" s="91"/>
      <c r="G195" s="178" t="s">
        <v>3</v>
      </c>
      <c r="H195" s="133" t="s">
        <v>249</v>
      </c>
      <c r="I195" s="198"/>
      <c r="J195" s="202"/>
    </row>
    <row r="196" spans="1:10" x14ac:dyDescent="0.2">
      <c r="A196" s="195"/>
      <c r="B196" s="156"/>
      <c r="C196" s="131" t="s">
        <v>323</v>
      </c>
      <c r="D196" s="91"/>
      <c r="E196" s="90">
        <v>6.5E-8</v>
      </c>
      <c r="F196" s="91"/>
      <c r="G196" s="178" t="s">
        <v>42</v>
      </c>
      <c r="H196" s="133" t="s">
        <v>322</v>
      </c>
      <c r="I196" s="198"/>
      <c r="J196" s="202"/>
    </row>
    <row r="197" spans="1:10" x14ac:dyDescent="0.2">
      <c r="A197" s="195"/>
      <c r="B197" s="156"/>
      <c r="C197" s="131" t="s">
        <v>275</v>
      </c>
      <c r="D197" s="91"/>
      <c r="E197" s="106">
        <f>LOOKUP($D$4,partdata!A4:A5,partdata!D4:D5)</f>
        <v>2.5</v>
      </c>
      <c r="F197" s="91"/>
      <c r="G197" s="178" t="s">
        <v>29</v>
      </c>
      <c r="H197" s="133" t="s">
        <v>273</v>
      </c>
      <c r="I197" s="198"/>
      <c r="J197" s="202"/>
    </row>
    <row r="198" spans="1:10" x14ac:dyDescent="0.2">
      <c r="A198" s="195"/>
      <c r="B198" s="156"/>
      <c r="C198" s="131" t="s">
        <v>274</v>
      </c>
      <c r="D198" s="91"/>
      <c r="E198" s="106">
        <f>LOOKUP($D$4,partdata!A4:A5,partdata!E4:E5)</f>
        <v>1.6</v>
      </c>
      <c r="F198" s="91"/>
      <c r="G198" s="178" t="s">
        <v>29</v>
      </c>
      <c r="H198" s="133" t="s">
        <v>278</v>
      </c>
      <c r="I198" s="198"/>
      <c r="J198" s="202"/>
    </row>
    <row r="199" spans="1:10" x14ac:dyDescent="0.2">
      <c r="A199" s="195"/>
      <c r="B199" s="156"/>
      <c r="C199" s="131" t="s">
        <v>276</v>
      </c>
      <c r="D199" s="91"/>
      <c r="E199" s="106">
        <f>LOOKUP($D$4,partdata!A4:A5,partdata!F4:F5)</f>
        <v>5</v>
      </c>
      <c r="F199" s="91"/>
      <c r="G199" s="178" t="s">
        <v>29</v>
      </c>
      <c r="H199" s="133" t="s">
        <v>279</v>
      </c>
      <c r="I199" s="198"/>
      <c r="J199" s="202"/>
    </row>
    <row r="200" spans="1:10" x14ac:dyDescent="0.2">
      <c r="A200" s="195"/>
      <c r="B200" s="156"/>
      <c r="C200" s="131" t="s">
        <v>277</v>
      </c>
      <c r="D200" s="91"/>
      <c r="E200" s="106">
        <f>LOOKUP($D$4,partdata!A4:A5,partdata!G4:G5)</f>
        <v>3</v>
      </c>
      <c r="F200" s="91"/>
      <c r="G200" s="178" t="s">
        <v>29</v>
      </c>
      <c r="H200" s="133" t="s">
        <v>280</v>
      </c>
      <c r="I200" s="198"/>
      <c r="J200" s="202"/>
    </row>
    <row r="201" spans="1:10" x14ac:dyDescent="0.2">
      <c r="A201" s="195"/>
      <c r="B201" s="156"/>
      <c r="C201" s="131" t="s">
        <v>236</v>
      </c>
      <c r="D201" s="91"/>
      <c r="E201" s="96">
        <v>1.21</v>
      </c>
      <c r="F201" s="91"/>
      <c r="G201" s="178" t="s">
        <v>3</v>
      </c>
      <c r="H201" s="133" t="s">
        <v>250</v>
      </c>
      <c r="I201" s="198"/>
      <c r="J201" s="202"/>
    </row>
    <row r="202" spans="1:10" x14ac:dyDescent="0.2">
      <c r="A202" s="195"/>
      <c r="B202" s="156"/>
      <c r="C202" s="131" t="s">
        <v>239</v>
      </c>
      <c r="D202" s="91"/>
      <c r="E202" s="96">
        <v>1.1399999999999999</v>
      </c>
      <c r="F202" s="91"/>
      <c r="G202" s="178" t="s">
        <v>3</v>
      </c>
      <c r="H202" s="133" t="s">
        <v>251</v>
      </c>
      <c r="I202" s="198"/>
      <c r="J202" s="202"/>
    </row>
    <row r="203" spans="1:10" x14ac:dyDescent="0.2">
      <c r="A203" s="195"/>
      <c r="B203" s="156"/>
      <c r="C203" s="131" t="s">
        <v>237</v>
      </c>
      <c r="D203" s="91"/>
      <c r="E203" s="89">
        <v>1.7999999999999999E-6</v>
      </c>
      <c r="F203" s="91"/>
      <c r="G203" s="178" t="s">
        <v>42</v>
      </c>
      <c r="H203" s="133" t="s">
        <v>252</v>
      </c>
      <c r="I203" s="198"/>
      <c r="J203" s="202"/>
    </row>
    <row r="204" spans="1:10" x14ac:dyDescent="0.2">
      <c r="A204" s="195"/>
      <c r="B204" s="156"/>
      <c r="C204" s="131" t="s">
        <v>238</v>
      </c>
      <c r="D204" s="91"/>
      <c r="E204" s="89">
        <v>3.1999999999999999E-6</v>
      </c>
      <c r="F204" s="91"/>
      <c r="G204" s="178" t="s">
        <v>42</v>
      </c>
      <c r="H204" s="133" t="s">
        <v>253</v>
      </c>
      <c r="I204" s="198"/>
      <c r="J204" s="202"/>
    </row>
    <row r="205" spans="1:10" x14ac:dyDescent="0.2">
      <c r="A205" s="195"/>
      <c r="B205" s="156"/>
      <c r="C205" s="131" t="s">
        <v>240</v>
      </c>
      <c r="D205" s="91"/>
      <c r="E205" s="90">
        <v>5.9999999999999995E-4</v>
      </c>
      <c r="F205" s="91"/>
      <c r="G205" s="178" t="s">
        <v>2</v>
      </c>
      <c r="H205" s="133" t="s">
        <v>254</v>
      </c>
      <c r="I205" s="198"/>
      <c r="J205" s="202"/>
    </row>
    <row r="206" spans="1:10" x14ac:dyDescent="0.2">
      <c r="A206" s="195"/>
      <c r="B206" s="156"/>
      <c r="C206" s="131" t="s">
        <v>245</v>
      </c>
      <c r="D206" s="91"/>
      <c r="E206" s="90">
        <v>5.0000000000000004E-6</v>
      </c>
      <c r="F206" s="91"/>
      <c r="G206" s="178" t="s">
        <v>2</v>
      </c>
      <c r="H206" s="133" t="s">
        <v>255</v>
      </c>
      <c r="I206" s="198"/>
      <c r="J206" s="202"/>
    </row>
    <row r="207" spans="1:10" x14ac:dyDescent="0.2">
      <c r="A207" s="195"/>
      <c r="B207" s="199"/>
      <c r="C207" s="193"/>
      <c r="D207" s="193"/>
      <c r="E207" s="193"/>
      <c r="F207" s="193"/>
      <c r="G207" s="200"/>
      <c r="H207" s="193"/>
      <c r="I207" s="198"/>
      <c r="J207" s="202"/>
    </row>
    <row r="208" spans="1:10" x14ac:dyDescent="0.2">
      <c r="A208" s="195"/>
      <c r="B208" s="203"/>
      <c r="C208" s="204"/>
      <c r="D208" s="204"/>
      <c r="E208" s="204"/>
      <c r="F208" s="204"/>
      <c r="G208" s="205"/>
      <c r="H208" s="204"/>
      <c r="I208" s="198"/>
      <c r="J208" s="202"/>
    </row>
    <row r="209" spans="1:10" x14ac:dyDescent="0.2">
      <c r="A209" s="141"/>
      <c r="B209" s="156"/>
      <c r="C209" s="141"/>
      <c r="D209" s="141"/>
      <c r="E209" s="141"/>
      <c r="F209" s="141"/>
      <c r="G209" s="145"/>
      <c r="H209" s="141"/>
      <c r="I209" s="141"/>
      <c r="J209" s="146"/>
    </row>
    <row r="210" spans="1:10" x14ac:dyDescent="0.2">
      <c r="A210" s="141"/>
      <c r="B210" s="156"/>
      <c r="C210" s="141"/>
      <c r="D210" s="141"/>
      <c r="E210" s="141"/>
      <c r="F210" s="141"/>
      <c r="G210" s="145"/>
      <c r="H210" s="141"/>
      <c r="I210" s="141"/>
      <c r="J210" s="146"/>
    </row>
    <row r="211" spans="1:10" x14ac:dyDescent="0.2">
      <c r="A211" s="141"/>
      <c r="B211" s="156"/>
      <c r="C211" s="141"/>
      <c r="D211" s="141"/>
      <c r="E211" s="141"/>
      <c r="F211" s="141"/>
      <c r="G211" s="145"/>
      <c r="H211" s="141"/>
      <c r="I211" s="141"/>
      <c r="J211" s="146"/>
    </row>
    <row r="212" spans="1:10" x14ac:dyDescent="0.2">
      <c r="A212" s="141"/>
      <c r="B212" s="156"/>
      <c r="C212" s="141"/>
      <c r="D212" s="141"/>
      <c r="E212" s="141"/>
      <c r="F212" s="141"/>
      <c r="G212" s="145"/>
      <c r="H212" s="141"/>
      <c r="I212" s="141"/>
      <c r="J212" s="146"/>
    </row>
    <row r="213" spans="1:10" x14ac:dyDescent="0.2">
      <c r="A213" s="141"/>
      <c r="B213" s="156"/>
      <c r="C213" s="141"/>
      <c r="D213" s="141"/>
      <c r="E213" s="141"/>
      <c r="F213" s="141"/>
      <c r="G213" s="145"/>
      <c r="H213" s="141"/>
      <c r="I213" s="141"/>
      <c r="J213" s="146"/>
    </row>
    <row r="214" spans="1:10" x14ac:dyDescent="0.2">
      <c r="A214" s="141"/>
      <c r="B214" s="156"/>
      <c r="C214" s="141"/>
      <c r="D214" s="141"/>
      <c r="E214" s="141"/>
      <c r="F214" s="141"/>
      <c r="G214" s="145"/>
      <c r="H214" s="141"/>
      <c r="I214" s="141"/>
      <c r="J214" s="146"/>
    </row>
    <row r="215" spans="1:10" x14ac:dyDescent="0.2">
      <c r="A215" s="141"/>
      <c r="B215" s="156"/>
      <c r="C215" s="141"/>
      <c r="D215" s="141"/>
      <c r="E215" s="141"/>
      <c r="F215" s="141"/>
      <c r="G215" s="145"/>
      <c r="H215" s="141"/>
      <c r="I215" s="141"/>
      <c r="J215" s="146"/>
    </row>
    <row r="216" spans="1:10" x14ac:dyDescent="0.2">
      <c r="A216" s="141"/>
      <c r="B216" s="156"/>
      <c r="C216" s="141"/>
      <c r="D216" s="141"/>
      <c r="E216" s="141"/>
      <c r="F216" s="141"/>
      <c r="G216" s="145"/>
      <c r="H216" s="141"/>
      <c r="I216" s="141"/>
      <c r="J216" s="146"/>
    </row>
    <row r="217" spans="1:10" x14ac:dyDescent="0.2">
      <c r="A217" s="141"/>
      <c r="B217" s="156"/>
      <c r="C217" s="141"/>
      <c r="D217" s="141"/>
      <c r="E217" s="141"/>
      <c r="F217" s="141"/>
      <c r="G217" s="145"/>
      <c r="H217" s="141"/>
      <c r="I217" s="141"/>
      <c r="J217" s="146"/>
    </row>
    <row r="218" spans="1:10" x14ac:dyDescent="0.2">
      <c r="A218" s="141"/>
      <c r="B218" s="156"/>
      <c r="C218" s="141"/>
      <c r="D218" s="141"/>
      <c r="E218" s="141"/>
      <c r="F218" s="141"/>
      <c r="G218" s="145"/>
      <c r="H218" s="141"/>
      <c r="I218" s="141"/>
      <c r="J218" s="146"/>
    </row>
    <row r="219" spans="1:10" x14ac:dyDescent="0.2">
      <c r="A219" s="141"/>
      <c r="B219" s="156"/>
      <c r="C219" s="141"/>
      <c r="D219" s="141"/>
      <c r="E219" s="141"/>
      <c r="F219" s="141"/>
      <c r="G219" s="145"/>
      <c r="H219" s="141"/>
      <c r="I219" s="141"/>
      <c r="J219" s="146"/>
    </row>
    <row r="220" spans="1:10" x14ac:dyDescent="0.2">
      <c r="A220" s="141"/>
      <c r="B220" s="156"/>
      <c r="C220" s="141"/>
      <c r="D220" s="141"/>
      <c r="E220" s="141"/>
      <c r="F220" s="141"/>
      <c r="G220" s="145"/>
      <c r="H220" s="141"/>
      <c r="I220" s="141"/>
      <c r="J220" s="146"/>
    </row>
    <row r="221" spans="1:10" x14ac:dyDescent="0.2">
      <c r="A221" s="141"/>
      <c r="B221" s="156"/>
      <c r="C221" s="141"/>
      <c r="D221" s="141"/>
      <c r="E221" s="141"/>
      <c r="F221" s="141"/>
      <c r="G221" s="145"/>
      <c r="H221" s="141"/>
      <c r="I221" s="141"/>
      <c r="J221" s="146"/>
    </row>
    <row r="222" spans="1:10" x14ac:dyDescent="0.2">
      <c r="A222" s="141"/>
      <c r="B222" s="156"/>
      <c r="C222" s="141"/>
      <c r="D222" s="141"/>
      <c r="E222" s="141"/>
      <c r="F222" s="141"/>
      <c r="G222" s="145"/>
      <c r="H222" s="141"/>
      <c r="I222" s="141"/>
      <c r="J222" s="146"/>
    </row>
    <row r="223" spans="1:10" x14ac:dyDescent="0.2">
      <c r="A223" s="141"/>
      <c r="B223" s="156"/>
      <c r="C223" s="141"/>
      <c r="D223" s="141"/>
      <c r="E223" s="141"/>
      <c r="F223" s="141"/>
      <c r="G223" s="145"/>
      <c r="H223" s="141"/>
      <c r="I223" s="141"/>
      <c r="J223" s="146"/>
    </row>
    <row r="224" spans="1:10" x14ac:dyDescent="0.2">
      <c r="A224" s="141"/>
      <c r="B224" s="156"/>
      <c r="C224" s="141"/>
      <c r="D224" s="141"/>
      <c r="E224" s="141"/>
      <c r="F224" s="141"/>
      <c r="G224" s="145"/>
      <c r="H224" s="141"/>
      <c r="I224" s="141"/>
      <c r="J224" s="146"/>
    </row>
    <row r="225" spans="1:10" x14ac:dyDescent="0.2">
      <c r="A225" s="141"/>
      <c r="B225" s="156"/>
      <c r="C225" s="141"/>
      <c r="D225" s="141"/>
      <c r="E225" s="141"/>
      <c r="F225" s="141"/>
      <c r="G225" s="145"/>
      <c r="H225" s="141"/>
      <c r="I225" s="141"/>
      <c r="J225" s="146"/>
    </row>
    <row r="226" spans="1:10" x14ac:dyDescent="0.2">
      <c r="A226" s="141"/>
      <c r="B226" s="156"/>
      <c r="C226" s="141"/>
      <c r="D226" s="141"/>
      <c r="E226" s="141"/>
      <c r="F226" s="141"/>
      <c r="G226" s="145"/>
      <c r="H226" s="141"/>
      <c r="I226" s="141"/>
      <c r="J226" s="146"/>
    </row>
    <row r="227" spans="1:10" x14ac:dyDescent="0.2">
      <c r="A227" s="141"/>
      <c r="B227" s="156"/>
      <c r="C227" s="141"/>
      <c r="D227" s="141"/>
      <c r="E227" s="141"/>
      <c r="F227" s="141"/>
      <c r="G227" s="145"/>
      <c r="H227" s="141"/>
      <c r="I227" s="141"/>
      <c r="J227" s="146"/>
    </row>
    <row r="228" spans="1:10" x14ac:dyDescent="0.2">
      <c r="A228" s="141"/>
      <c r="B228" s="156"/>
      <c r="C228" s="141"/>
      <c r="D228" s="141"/>
      <c r="E228" s="141"/>
      <c r="F228" s="141"/>
      <c r="G228" s="145"/>
      <c r="H228" s="141"/>
      <c r="I228" s="141"/>
      <c r="J228" s="146"/>
    </row>
    <row r="229" spans="1:10" x14ac:dyDescent="0.2">
      <c r="A229" s="141"/>
      <c r="B229" s="156"/>
      <c r="C229" s="141"/>
      <c r="D229" s="141"/>
      <c r="E229" s="141"/>
      <c r="F229" s="141"/>
      <c r="G229" s="145"/>
      <c r="H229" s="141"/>
      <c r="I229" s="141"/>
      <c r="J229" s="146"/>
    </row>
    <row r="230" spans="1:10" x14ac:dyDescent="0.2">
      <c r="A230" s="141"/>
      <c r="B230" s="156"/>
      <c r="C230" s="141"/>
      <c r="D230" s="141"/>
      <c r="E230" s="141"/>
      <c r="F230" s="141"/>
      <c r="G230" s="145"/>
      <c r="H230" s="141"/>
      <c r="I230" s="141"/>
      <c r="J230" s="146"/>
    </row>
    <row r="231" spans="1:10" x14ac:dyDescent="0.2">
      <c r="A231" s="141"/>
      <c r="B231" s="156"/>
      <c r="C231" s="141"/>
      <c r="D231" s="141"/>
      <c r="E231" s="141"/>
      <c r="F231" s="141"/>
      <c r="G231" s="145"/>
      <c r="H231" s="141"/>
      <c r="I231" s="141"/>
      <c r="J231" s="146"/>
    </row>
    <row r="232" spans="1:10" x14ac:dyDescent="0.2">
      <c r="A232" s="141"/>
      <c r="B232" s="156"/>
      <c r="C232" s="141"/>
      <c r="D232" s="141"/>
      <c r="E232" s="141"/>
      <c r="F232" s="141"/>
      <c r="G232" s="145"/>
      <c r="H232" s="141"/>
      <c r="I232" s="141"/>
      <c r="J232" s="146"/>
    </row>
    <row r="233" spans="1:10" x14ac:dyDescent="0.2">
      <c r="A233" s="141"/>
      <c r="B233" s="156"/>
      <c r="C233" s="141"/>
      <c r="D233" s="141"/>
      <c r="E233" s="141"/>
      <c r="F233" s="141"/>
      <c r="G233" s="145"/>
      <c r="H233" s="141"/>
      <c r="I233" s="141"/>
      <c r="J233" s="146"/>
    </row>
    <row r="234" spans="1:10" x14ac:dyDescent="0.2">
      <c r="A234" s="141"/>
      <c r="B234" s="156"/>
      <c r="C234" s="141"/>
      <c r="D234" s="141"/>
      <c r="E234" s="141"/>
      <c r="F234" s="141"/>
      <c r="G234" s="145"/>
      <c r="H234" s="141"/>
      <c r="I234" s="141"/>
      <c r="J234" s="146"/>
    </row>
    <row r="235" spans="1:10" x14ac:dyDescent="0.2">
      <c r="A235" s="141"/>
      <c r="B235" s="156"/>
      <c r="C235" s="141"/>
      <c r="D235" s="141"/>
      <c r="E235" s="141"/>
      <c r="F235" s="141"/>
      <c r="G235" s="145"/>
      <c r="H235" s="141"/>
      <c r="I235" s="141"/>
      <c r="J235" s="146"/>
    </row>
    <row r="236" spans="1:10" x14ac:dyDescent="0.2">
      <c r="A236" s="141"/>
      <c r="B236" s="156"/>
      <c r="C236" s="141"/>
      <c r="D236" s="141"/>
      <c r="E236" s="141"/>
      <c r="F236" s="141"/>
      <c r="G236" s="145"/>
      <c r="H236" s="141"/>
      <c r="I236" s="141"/>
      <c r="J236" s="146"/>
    </row>
    <row r="237" spans="1:10" x14ac:dyDescent="0.2">
      <c r="A237" s="141"/>
      <c r="B237" s="156"/>
      <c r="C237" s="141"/>
      <c r="D237" s="141"/>
      <c r="E237" s="141"/>
      <c r="F237" s="141"/>
      <c r="G237" s="145"/>
      <c r="H237" s="141"/>
      <c r="I237" s="141"/>
      <c r="J237" s="146"/>
    </row>
    <row r="238" spans="1:10" x14ac:dyDescent="0.2">
      <c r="A238" s="141"/>
      <c r="B238" s="156"/>
      <c r="C238" s="141"/>
      <c r="D238" s="141"/>
      <c r="E238" s="141"/>
      <c r="F238" s="141"/>
      <c r="G238" s="145"/>
      <c r="H238" s="141"/>
      <c r="I238" s="141"/>
      <c r="J238" s="146"/>
    </row>
    <row r="239" spans="1:10" x14ac:dyDescent="0.2">
      <c r="A239" s="141"/>
      <c r="B239" s="156"/>
      <c r="C239" s="141"/>
      <c r="D239" s="141"/>
      <c r="E239" s="141"/>
      <c r="F239" s="141"/>
      <c r="G239" s="145"/>
      <c r="H239" s="141"/>
      <c r="I239" s="141"/>
      <c r="J239" s="146"/>
    </row>
    <row r="240" spans="1:10" x14ac:dyDescent="0.2">
      <c r="A240" s="141"/>
      <c r="B240" s="156"/>
      <c r="C240" s="141"/>
      <c r="D240" s="141"/>
      <c r="E240" s="141"/>
      <c r="F240" s="141"/>
      <c r="G240" s="145"/>
      <c r="H240" s="141"/>
      <c r="I240" s="141"/>
      <c r="J240" s="146"/>
    </row>
    <row r="241" spans="1:10" x14ac:dyDescent="0.2">
      <c r="A241" s="141"/>
      <c r="B241" s="156"/>
      <c r="C241" s="141"/>
      <c r="D241" s="141"/>
      <c r="E241" s="141"/>
      <c r="F241" s="141"/>
      <c r="G241" s="145"/>
      <c r="H241" s="141"/>
      <c r="I241" s="141"/>
      <c r="J241" s="146"/>
    </row>
    <row r="242" spans="1:10" x14ac:dyDescent="0.2">
      <c r="A242" s="141"/>
      <c r="B242" s="156"/>
      <c r="C242" s="141"/>
      <c r="D242" s="141"/>
      <c r="E242" s="141"/>
      <c r="F242" s="141"/>
      <c r="G242" s="145"/>
      <c r="H242" s="141"/>
      <c r="I242" s="141"/>
      <c r="J242" s="146"/>
    </row>
    <row r="243" spans="1:10" x14ac:dyDescent="0.2">
      <c r="A243" s="141"/>
      <c r="B243" s="156"/>
      <c r="C243" s="141"/>
      <c r="D243" s="141"/>
      <c r="E243" s="141"/>
      <c r="F243" s="141"/>
      <c r="G243" s="145"/>
      <c r="H243" s="141"/>
      <c r="I243" s="141"/>
      <c r="J243" s="146"/>
    </row>
    <row r="244" spans="1:10" x14ac:dyDescent="0.2">
      <c r="A244" s="141"/>
      <c r="B244" s="156"/>
      <c r="C244" s="141"/>
      <c r="D244" s="141"/>
      <c r="E244" s="141"/>
      <c r="F244" s="141"/>
      <c r="G244" s="145"/>
      <c r="H244" s="141"/>
      <c r="I244" s="141"/>
      <c r="J244" s="146"/>
    </row>
    <row r="245" spans="1:10" x14ac:dyDescent="0.2">
      <c r="A245" s="141"/>
      <c r="B245" s="156"/>
      <c r="C245" s="141"/>
      <c r="D245" s="141"/>
      <c r="E245" s="141"/>
      <c r="F245" s="141"/>
      <c r="G245" s="145"/>
      <c r="H245" s="141"/>
      <c r="I245" s="141"/>
      <c r="J245" s="146"/>
    </row>
    <row r="246" spans="1:10" x14ac:dyDescent="0.2">
      <c r="A246" s="141"/>
      <c r="B246" s="156"/>
      <c r="C246" s="141"/>
      <c r="D246" s="141"/>
      <c r="E246" s="141"/>
      <c r="F246" s="141"/>
      <c r="G246" s="145"/>
      <c r="H246" s="141"/>
      <c r="I246" s="141"/>
      <c r="J246" s="146"/>
    </row>
    <row r="247" spans="1:10" x14ac:dyDescent="0.2">
      <c r="A247" s="141"/>
      <c r="B247" s="156"/>
      <c r="C247" s="141"/>
      <c r="D247" s="141"/>
      <c r="E247" s="141"/>
      <c r="F247" s="141"/>
      <c r="G247" s="145"/>
      <c r="H247" s="141"/>
      <c r="I247" s="141"/>
      <c r="J247" s="146"/>
    </row>
    <row r="248" spans="1:10" x14ac:dyDescent="0.2">
      <c r="A248" s="141"/>
      <c r="B248" s="156"/>
      <c r="C248" s="141"/>
      <c r="D248" s="141"/>
      <c r="E248" s="141"/>
      <c r="F248" s="141"/>
      <c r="G248" s="145"/>
      <c r="H248" s="141"/>
      <c r="I248" s="141"/>
      <c r="J248" s="146"/>
    </row>
    <row r="249" spans="1:10" x14ac:dyDescent="0.2">
      <c r="A249" s="141"/>
      <c r="B249" s="156"/>
      <c r="C249" s="141"/>
      <c r="D249" s="141"/>
      <c r="E249" s="141"/>
      <c r="F249" s="141"/>
      <c r="G249" s="145"/>
      <c r="H249" s="141"/>
      <c r="I249" s="141"/>
      <c r="J249" s="146"/>
    </row>
    <row r="250" spans="1:10" x14ac:dyDescent="0.2">
      <c r="A250" s="141"/>
      <c r="B250" s="156"/>
      <c r="C250" s="141"/>
      <c r="D250" s="141"/>
      <c r="E250" s="141"/>
      <c r="F250" s="141"/>
      <c r="G250" s="145"/>
      <c r="H250" s="141"/>
      <c r="I250" s="141"/>
      <c r="J250" s="146"/>
    </row>
    <row r="251" spans="1:10" x14ac:dyDescent="0.2">
      <c r="A251" s="141"/>
      <c r="B251" s="156"/>
      <c r="C251" s="141"/>
      <c r="D251" s="141"/>
      <c r="E251" s="141"/>
      <c r="F251" s="141"/>
      <c r="G251" s="145"/>
      <c r="H251" s="141"/>
      <c r="I251" s="141"/>
      <c r="J251" s="146"/>
    </row>
    <row r="252" spans="1:10" x14ac:dyDescent="0.2">
      <c r="A252" s="141"/>
      <c r="B252" s="156"/>
      <c r="C252" s="141"/>
      <c r="D252" s="141"/>
      <c r="E252" s="141"/>
      <c r="F252" s="141"/>
      <c r="G252" s="145"/>
      <c r="H252" s="141"/>
      <c r="I252" s="141"/>
      <c r="J252" s="146"/>
    </row>
    <row r="253" spans="1:10" x14ac:dyDescent="0.2">
      <c r="A253" s="141"/>
      <c r="B253" s="156"/>
      <c r="C253" s="141"/>
      <c r="D253" s="141"/>
      <c r="E253" s="141"/>
      <c r="F253" s="141"/>
      <c r="G253" s="145"/>
      <c r="H253" s="141"/>
      <c r="I253" s="141"/>
      <c r="J253" s="146"/>
    </row>
    <row r="254" spans="1:10" x14ac:dyDescent="0.2">
      <c r="A254" s="141"/>
      <c r="B254" s="156"/>
      <c r="C254" s="141"/>
      <c r="D254" s="141"/>
      <c r="E254" s="141"/>
      <c r="F254" s="141"/>
      <c r="G254" s="145"/>
      <c r="H254" s="141"/>
      <c r="I254" s="141"/>
      <c r="J254" s="146"/>
    </row>
    <row r="255" spans="1:10" x14ac:dyDescent="0.2">
      <c r="A255" s="141"/>
      <c r="B255" s="156"/>
      <c r="C255" s="141"/>
      <c r="D255" s="141"/>
      <c r="E255" s="141"/>
      <c r="F255" s="141"/>
      <c r="G255" s="145"/>
      <c r="H255" s="141"/>
      <c r="I255" s="141"/>
      <c r="J255" s="146"/>
    </row>
    <row r="256" spans="1:10" x14ac:dyDescent="0.2">
      <c r="A256" s="141"/>
      <c r="B256" s="156"/>
      <c r="C256" s="141"/>
      <c r="D256" s="141"/>
      <c r="E256" s="141"/>
      <c r="F256" s="141"/>
      <c r="G256" s="145"/>
      <c r="H256" s="141"/>
      <c r="I256" s="141"/>
      <c r="J256" s="146"/>
    </row>
    <row r="257" spans="1:10" x14ac:dyDescent="0.2">
      <c r="A257" s="141"/>
      <c r="B257" s="156"/>
      <c r="C257" s="141"/>
      <c r="D257" s="141"/>
      <c r="E257" s="141"/>
      <c r="F257" s="141"/>
      <c r="G257" s="145"/>
      <c r="H257" s="141"/>
      <c r="I257" s="141"/>
      <c r="J257" s="146"/>
    </row>
    <row r="258" spans="1:10" x14ac:dyDescent="0.2">
      <c r="A258" s="141"/>
      <c r="B258" s="156"/>
      <c r="C258" s="141"/>
      <c r="D258" s="141"/>
      <c r="E258" s="141"/>
      <c r="F258" s="141"/>
      <c r="G258" s="145"/>
      <c r="H258" s="141"/>
      <c r="I258" s="141"/>
      <c r="J258" s="146"/>
    </row>
    <row r="259" spans="1:10" x14ac:dyDescent="0.2">
      <c r="A259" s="141"/>
      <c r="B259" s="156"/>
      <c r="C259" s="141"/>
      <c r="D259" s="141"/>
      <c r="E259" s="141"/>
      <c r="F259" s="141"/>
      <c r="G259" s="145"/>
      <c r="H259" s="141"/>
      <c r="I259" s="141"/>
      <c r="J259" s="146"/>
    </row>
    <row r="260" spans="1:10" x14ac:dyDescent="0.2">
      <c r="A260" s="141"/>
      <c r="B260" s="156"/>
      <c r="C260" s="141"/>
      <c r="D260" s="141"/>
      <c r="E260" s="141"/>
      <c r="F260" s="141"/>
      <c r="G260" s="145"/>
      <c r="H260" s="141"/>
      <c r="I260" s="141"/>
      <c r="J260" s="146"/>
    </row>
    <row r="261" spans="1:10" x14ac:dyDescent="0.2">
      <c r="A261" s="141"/>
      <c r="B261" s="156"/>
      <c r="C261" s="141"/>
      <c r="D261" s="141"/>
      <c r="E261" s="141"/>
      <c r="F261" s="141"/>
      <c r="G261" s="145"/>
      <c r="H261" s="141"/>
      <c r="I261" s="141"/>
      <c r="J261" s="146"/>
    </row>
    <row r="262" spans="1:10" x14ac:dyDescent="0.2">
      <c r="A262" s="141"/>
      <c r="B262" s="156"/>
      <c r="C262" s="141"/>
      <c r="D262" s="141"/>
      <c r="E262" s="141"/>
      <c r="F262" s="141"/>
      <c r="G262" s="145"/>
      <c r="H262" s="141"/>
      <c r="I262" s="141"/>
      <c r="J262" s="146"/>
    </row>
    <row r="263" spans="1:10" x14ac:dyDescent="0.2">
      <c r="A263" s="141"/>
      <c r="B263" s="156"/>
      <c r="C263" s="141"/>
      <c r="D263" s="141"/>
      <c r="E263" s="141"/>
      <c r="F263" s="141"/>
      <c r="G263" s="145"/>
      <c r="H263" s="141"/>
      <c r="I263" s="141"/>
      <c r="J263" s="146"/>
    </row>
    <row r="264" spans="1:10" x14ac:dyDescent="0.2">
      <c r="A264" s="141"/>
      <c r="B264" s="156"/>
      <c r="C264" s="141"/>
      <c r="D264" s="141"/>
      <c r="E264" s="141"/>
      <c r="F264" s="141"/>
      <c r="G264" s="145"/>
      <c r="H264" s="141"/>
      <c r="I264" s="141"/>
      <c r="J264" s="146"/>
    </row>
    <row r="265" spans="1:10" x14ac:dyDescent="0.2">
      <c r="A265" s="141"/>
      <c r="B265" s="156"/>
      <c r="C265" s="141"/>
      <c r="D265" s="141"/>
      <c r="E265" s="141"/>
      <c r="F265" s="141"/>
      <c r="G265" s="145"/>
      <c r="H265" s="141"/>
      <c r="I265" s="141"/>
      <c r="J265" s="146"/>
    </row>
    <row r="266" spans="1:10" x14ac:dyDescent="0.2">
      <c r="A266" s="141"/>
      <c r="B266" s="156"/>
      <c r="C266" s="141"/>
      <c r="D266" s="141"/>
      <c r="E266" s="141"/>
      <c r="F266" s="141"/>
      <c r="G266" s="145"/>
      <c r="H266" s="141"/>
      <c r="I266" s="141"/>
      <c r="J266" s="146"/>
    </row>
    <row r="267" spans="1:10" x14ac:dyDescent="0.2">
      <c r="A267" s="141"/>
      <c r="B267" s="156"/>
      <c r="C267" s="141"/>
      <c r="D267" s="141"/>
      <c r="E267" s="141"/>
      <c r="F267" s="141"/>
      <c r="G267" s="145"/>
      <c r="H267" s="141"/>
      <c r="I267" s="141"/>
      <c r="J267" s="146"/>
    </row>
    <row r="268" spans="1:10" x14ac:dyDescent="0.2">
      <c r="A268" s="141"/>
      <c r="B268" s="156"/>
      <c r="C268" s="141"/>
      <c r="D268" s="141"/>
      <c r="E268" s="141"/>
      <c r="F268" s="141"/>
      <c r="G268" s="145"/>
      <c r="H268" s="141"/>
      <c r="I268" s="141"/>
      <c r="J268" s="146"/>
    </row>
    <row r="269" spans="1:10" x14ac:dyDescent="0.2">
      <c r="A269" s="141"/>
      <c r="B269" s="156"/>
      <c r="C269" s="141"/>
      <c r="D269" s="141"/>
      <c r="E269" s="141"/>
      <c r="F269" s="141"/>
      <c r="G269" s="145"/>
      <c r="H269" s="141"/>
      <c r="I269" s="141"/>
      <c r="J269" s="146"/>
    </row>
    <row r="270" spans="1:10" x14ac:dyDescent="0.2">
      <c r="A270" s="141"/>
      <c r="B270" s="156"/>
      <c r="C270" s="141"/>
      <c r="D270" s="141"/>
      <c r="E270" s="141"/>
      <c r="F270" s="141"/>
      <c r="G270" s="145"/>
      <c r="H270" s="141"/>
      <c r="I270" s="141"/>
      <c r="J270" s="146"/>
    </row>
    <row r="271" spans="1:10" x14ac:dyDescent="0.2">
      <c r="A271" s="141"/>
      <c r="B271" s="156"/>
      <c r="C271" s="141"/>
      <c r="D271" s="141"/>
      <c r="E271" s="141"/>
      <c r="F271" s="141"/>
      <c r="G271" s="145"/>
      <c r="H271" s="141"/>
      <c r="I271" s="141"/>
      <c r="J271" s="146"/>
    </row>
    <row r="272" spans="1:10" x14ac:dyDescent="0.2">
      <c r="A272" s="141"/>
      <c r="B272" s="156"/>
      <c r="C272" s="141"/>
      <c r="D272" s="141"/>
      <c r="E272" s="141"/>
      <c r="F272" s="141"/>
      <c r="G272" s="145"/>
      <c r="H272" s="141"/>
      <c r="I272" s="141"/>
      <c r="J272" s="146"/>
    </row>
    <row r="273" spans="1:10" x14ac:dyDescent="0.2">
      <c r="A273" s="141"/>
      <c r="B273" s="156"/>
      <c r="C273" s="141"/>
      <c r="D273" s="141"/>
      <c r="E273" s="141"/>
      <c r="F273" s="141"/>
      <c r="G273" s="145"/>
      <c r="H273" s="141"/>
      <c r="I273" s="141"/>
      <c r="J273" s="146"/>
    </row>
    <row r="274" spans="1:10" x14ac:dyDescent="0.2">
      <c r="A274" s="141"/>
      <c r="B274" s="156"/>
      <c r="C274" s="141"/>
      <c r="D274" s="141"/>
      <c r="E274" s="141"/>
      <c r="F274" s="141"/>
      <c r="G274" s="145"/>
      <c r="H274" s="141"/>
      <c r="I274" s="141"/>
      <c r="J274" s="146"/>
    </row>
    <row r="275" spans="1:10" x14ac:dyDescent="0.2">
      <c r="A275" s="141"/>
      <c r="B275" s="156"/>
      <c r="C275" s="141"/>
      <c r="D275" s="141"/>
      <c r="E275" s="141"/>
      <c r="F275" s="141"/>
      <c r="G275" s="145"/>
      <c r="H275" s="141"/>
      <c r="I275" s="141"/>
      <c r="J275" s="146"/>
    </row>
    <row r="276" spans="1:10" x14ac:dyDescent="0.2">
      <c r="A276" s="141"/>
      <c r="B276" s="156"/>
      <c r="C276" s="141"/>
      <c r="D276" s="141"/>
      <c r="E276" s="141"/>
      <c r="F276" s="141"/>
      <c r="G276" s="145"/>
      <c r="H276" s="141"/>
      <c r="I276" s="141"/>
      <c r="J276" s="146"/>
    </row>
    <row r="277" spans="1:10" x14ac:dyDescent="0.2">
      <c r="A277" s="141"/>
      <c r="B277" s="156"/>
      <c r="C277" s="141"/>
      <c r="D277" s="141"/>
      <c r="E277" s="141"/>
      <c r="F277" s="141"/>
      <c r="G277" s="145"/>
      <c r="H277" s="141"/>
      <c r="I277" s="141"/>
      <c r="J277" s="146"/>
    </row>
    <row r="278" spans="1:10" x14ac:dyDescent="0.2">
      <c r="A278" s="141"/>
      <c r="B278" s="156"/>
      <c r="C278" s="141"/>
      <c r="D278" s="141"/>
      <c r="E278" s="141"/>
      <c r="F278" s="141"/>
      <c r="G278" s="145"/>
      <c r="H278" s="141"/>
      <c r="I278" s="141"/>
      <c r="J278" s="146"/>
    </row>
    <row r="279" spans="1:10" x14ac:dyDescent="0.2">
      <c r="A279" s="141"/>
      <c r="B279" s="156"/>
      <c r="C279" s="141"/>
      <c r="D279" s="141"/>
      <c r="E279" s="141"/>
      <c r="F279" s="141"/>
      <c r="G279" s="145"/>
      <c r="H279" s="141"/>
      <c r="I279" s="141"/>
      <c r="J279" s="146"/>
    </row>
    <row r="280" spans="1:10" x14ac:dyDescent="0.2">
      <c r="A280" s="141"/>
      <c r="B280" s="156"/>
      <c r="C280" s="141"/>
      <c r="D280" s="141"/>
      <c r="E280" s="141"/>
      <c r="F280" s="141"/>
      <c r="G280" s="145"/>
      <c r="H280" s="141"/>
      <c r="I280" s="141"/>
      <c r="J280" s="146"/>
    </row>
    <row r="281" spans="1:10" x14ac:dyDescent="0.2">
      <c r="A281" s="141"/>
      <c r="B281" s="156"/>
      <c r="C281" s="141"/>
      <c r="D281" s="141"/>
      <c r="E281" s="141"/>
      <c r="F281" s="141"/>
      <c r="G281" s="145"/>
      <c r="H281" s="141"/>
      <c r="I281" s="141"/>
      <c r="J281" s="146"/>
    </row>
    <row r="282" spans="1:10" x14ac:dyDescent="0.2">
      <c r="A282" s="141"/>
      <c r="B282" s="156"/>
      <c r="C282" s="141"/>
      <c r="D282" s="141"/>
      <c r="E282" s="141"/>
      <c r="F282" s="141"/>
      <c r="G282" s="145"/>
      <c r="H282" s="141"/>
      <c r="I282" s="141"/>
      <c r="J282" s="146"/>
    </row>
    <row r="283" spans="1:10" x14ac:dyDescent="0.2">
      <c r="A283" s="141"/>
      <c r="B283" s="156"/>
      <c r="C283" s="141"/>
      <c r="D283" s="141"/>
      <c r="E283" s="141"/>
      <c r="F283" s="141"/>
      <c r="G283" s="145"/>
      <c r="H283" s="141"/>
      <c r="I283" s="141"/>
      <c r="J283" s="146"/>
    </row>
    <row r="284" spans="1:10" x14ac:dyDescent="0.2">
      <c r="A284" s="141"/>
      <c r="B284" s="156"/>
      <c r="C284" s="141"/>
      <c r="D284" s="141"/>
      <c r="E284" s="141"/>
      <c r="F284" s="141"/>
      <c r="G284" s="145"/>
      <c r="H284" s="141"/>
      <c r="I284" s="141"/>
      <c r="J284" s="146"/>
    </row>
    <row r="285" spans="1:10" x14ac:dyDescent="0.2">
      <c r="A285" s="141"/>
      <c r="B285" s="156"/>
      <c r="C285" s="141"/>
      <c r="D285" s="141"/>
      <c r="E285" s="141"/>
      <c r="F285" s="141"/>
      <c r="G285" s="145"/>
      <c r="H285" s="141"/>
      <c r="I285" s="141"/>
      <c r="J285" s="146"/>
    </row>
    <row r="286" spans="1:10" x14ac:dyDescent="0.2">
      <c r="A286" s="141"/>
      <c r="B286" s="156"/>
      <c r="C286" s="141"/>
      <c r="D286" s="141"/>
      <c r="E286" s="141"/>
      <c r="F286" s="141"/>
      <c r="G286" s="145"/>
      <c r="H286" s="141"/>
      <c r="I286" s="141"/>
      <c r="J286" s="146"/>
    </row>
    <row r="287" spans="1:10" x14ac:dyDescent="0.2">
      <c r="A287" s="141"/>
      <c r="B287" s="156"/>
      <c r="C287" s="141"/>
      <c r="D287" s="141"/>
      <c r="E287" s="141"/>
      <c r="F287" s="141"/>
      <c r="G287" s="145"/>
      <c r="H287" s="141"/>
      <c r="I287" s="141"/>
      <c r="J287" s="146"/>
    </row>
    <row r="288" spans="1:10" x14ac:dyDescent="0.2">
      <c r="A288" s="141"/>
      <c r="B288" s="156"/>
      <c r="C288" s="141"/>
      <c r="D288" s="141"/>
      <c r="E288" s="141"/>
      <c r="F288" s="141"/>
      <c r="G288" s="145"/>
      <c r="H288" s="141"/>
      <c r="I288" s="141"/>
      <c r="J288" s="146"/>
    </row>
    <row r="289" spans="1:10" x14ac:dyDescent="0.2">
      <c r="A289" s="141"/>
      <c r="B289" s="156"/>
      <c r="C289" s="141"/>
      <c r="D289" s="141"/>
      <c r="E289" s="141"/>
      <c r="F289" s="141"/>
      <c r="G289" s="145"/>
      <c r="H289" s="141"/>
      <c r="I289" s="141"/>
      <c r="J289" s="146"/>
    </row>
    <row r="290" spans="1:10" x14ac:dyDescent="0.2">
      <c r="A290" s="141"/>
      <c r="B290" s="156"/>
      <c r="C290" s="141"/>
      <c r="D290" s="141"/>
      <c r="E290" s="141"/>
      <c r="F290" s="141"/>
      <c r="G290" s="145"/>
      <c r="H290" s="141"/>
      <c r="I290" s="141"/>
      <c r="J290" s="146"/>
    </row>
    <row r="291" spans="1:10" x14ac:dyDescent="0.2">
      <c r="A291" s="141"/>
      <c r="B291" s="156"/>
      <c r="C291" s="141"/>
      <c r="D291" s="141"/>
      <c r="E291" s="141"/>
      <c r="F291" s="141"/>
      <c r="G291" s="145"/>
      <c r="H291" s="141"/>
      <c r="I291" s="141"/>
      <c r="J291" s="146"/>
    </row>
    <row r="292" spans="1:10" x14ac:dyDescent="0.2">
      <c r="A292" s="141"/>
      <c r="B292" s="156"/>
      <c r="C292" s="141"/>
      <c r="D292" s="141"/>
      <c r="E292" s="141"/>
      <c r="F292" s="141"/>
      <c r="G292" s="145"/>
      <c r="H292" s="141"/>
      <c r="I292" s="141"/>
      <c r="J292" s="146"/>
    </row>
    <row r="293" spans="1:10" x14ac:dyDescent="0.2">
      <c r="A293" s="141"/>
      <c r="B293" s="156"/>
      <c r="C293" s="141"/>
      <c r="D293" s="141"/>
      <c r="E293" s="141"/>
      <c r="F293" s="141"/>
      <c r="G293" s="145"/>
      <c r="H293" s="141"/>
      <c r="I293" s="141"/>
      <c r="J293" s="146"/>
    </row>
    <row r="294" spans="1:10" x14ac:dyDescent="0.2">
      <c r="A294" s="141"/>
      <c r="B294" s="156"/>
      <c r="C294" s="141"/>
      <c r="D294" s="141"/>
      <c r="E294" s="141"/>
      <c r="F294" s="141"/>
      <c r="G294" s="145"/>
      <c r="H294" s="141"/>
      <c r="I294" s="141"/>
      <c r="J294" s="146"/>
    </row>
    <row r="295" spans="1:10" x14ac:dyDescent="0.2">
      <c r="A295" s="141"/>
      <c r="B295" s="156"/>
      <c r="C295" s="141"/>
      <c r="D295" s="141"/>
      <c r="E295" s="141"/>
      <c r="F295" s="141"/>
      <c r="G295" s="145"/>
      <c r="H295" s="141"/>
      <c r="I295" s="141"/>
      <c r="J295" s="146"/>
    </row>
    <row r="296" spans="1:10" x14ac:dyDescent="0.2">
      <c r="A296" s="141"/>
      <c r="B296" s="156"/>
      <c r="C296" s="141"/>
      <c r="D296" s="141"/>
      <c r="E296" s="141"/>
      <c r="F296" s="141"/>
      <c r="G296" s="145"/>
      <c r="H296" s="141"/>
      <c r="I296" s="141"/>
      <c r="J296" s="146"/>
    </row>
    <row r="297" spans="1:10" x14ac:dyDescent="0.2">
      <c r="A297" s="141"/>
      <c r="B297" s="156"/>
      <c r="C297" s="141"/>
      <c r="D297" s="141"/>
      <c r="E297" s="141"/>
      <c r="F297" s="141"/>
      <c r="G297" s="145"/>
      <c r="H297" s="141"/>
      <c r="I297" s="141"/>
      <c r="J297" s="146"/>
    </row>
    <row r="298" spans="1:10" x14ac:dyDescent="0.2">
      <c r="A298" s="141"/>
      <c r="B298" s="156"/>
      <c r="C298" s="141"/>
      <c r="D298" s="141"/>
      <c r="E298" s="141"/>
      <c r="F298" s="141"/>
      <c r="G298" s="145"/>
      <c r="H298" s="141"/>
      <c r="I298" s="141"/>
      <c r="J298" s="146"/>
    </row>
    <row r="299" spans="1:10" x14ac:dyDescent="0.2">
      <c r="A299" s="141"/>
      <c r="B299" s="156"/>
      <c r="C299" s="141"/>
      <c r="D299" s="141"/>
      <c r="E299" s="141"/>
      <c r="F299" s="141"/>
      <c r="G299" s="145"/>
      <c r="H299" s="141"/>
      <c r="I299" s="141"/>
      <c r="J299" s="146"/>
    </row>
    <row r="300" spans="1:10" x14ac:dyDescent="0.2">
      <c r="A300" s="141"/>
      <c r="B300" s="156"/>
      <c r="C300" s="141"/>
      <c r="D300" s="141"/>
      <c r="E300" s="141"/>
      <c r="F300" s="141"/>
      <c r="G300" s="145"/>
      <c r="H300" s="141"/>
      <c r="I300" s="141"/>
      <c r="J300" s="146"/>
    </row>
    <row r="301" spans="1:10" x14ac:dyDescent="0.2">
      <c r="A301" s="141"/>
      <c r="B301" s="156"/>
      <c r="C301" s="141"/>
      <c r="D301" s="141"/>
      <c r="E301" s="141"/>
      <c r="F301" s="141"/>
      <c r="G301" s="145"/>
      <c r="H301" s="141"/>
      <c r="I301" s="141"/>
      <c r="J301" s="146"/>
    </row>
    <row r="302" spans="1:10" x14ac:dyDescent="0.2">
      <c r="A302" s="141"/>
      <c r="B302" s="156"/>
      <c r="C302" s="141"/>
      <c r="D302" s="141"/>
      <c r="E302" s="141"/>
      <c r="F302" s="141"/>
      <c r="G302" s="145"/>
      <c r="H302" s="141"/>
      <c r="I302" s="141"/>
      <c r="J302" s="146"/>
    </row>
    <row r="303" spans="1:10" x14ac:dyDescent="0.2">
      <c r="A303" s="141"/>
      <c r="B303" s="156"/>
      <c r="C303" s="141"/>
      <c r="D303" s="141"/>
      <c r="E303" s="141"/>
      <c r="F303" s="141"/>
      <c r="G303" s="145"/>
      <c r="H303" s="141"/>
      <c r="I303" s="141"/>
      <c r="J303" s="146"/>
    </row>
    <row r="304" spans="1:10" x14ac:dyDescent="0.2">
      <c r="A304" s="141"/>
      <c r="B304" s="156"/>
      <c r="C304" s="141"/>
      <c r="D304" s="141"/>
      <c r="E304" s="141"/>
      <c r="F304" s="141"/>
      <c r="G304" s="145"/>
      <c r="H304" s="141"/>
      <c r="I304" s="141"/>
      <c r="J304" s="146"/>
    </row>
    <row r="305" spans="1:10" x14ac:dyDescent="0.2">
      <c r="A305" s="141"/>
      <c r="B305" s="156"/>
      <c r="C305" s="141"/>
      <c r="D305" s="141"/>
      <c r="E305" s="141"/>
      <c r="F305" s="141"/>
      <c r="G305" s="145"/>
      <c r="H305" s="141"/>
      <c r="I305" s="141"/>
      <c r="J305" s="146"/>
    </row>
    <row r="306" spans="1:10" x14ac:dyDescent="0.2">
      <c r="A306" s="141"/>
      <c r="B306" s="156"/>
      <c r="C306" s="141"/>
      <c r="D306" s="141"/>
      <c r="E306" s="141"/>
      <c r="F306" s="141"/>
      <c r="G306" s="145"/>
      <c r="H306" s="141"/>
      <c r="I306" s="141"/>
      <c r="J306" s="146"/>
    </row>
    <row r="307" spans="1:10" x14ac:dyDescent="0.2">
      <c r="A307" s="141"/>
      <c r="B307" s="156"/>
      <c r="C307" s="141"/>
      <c r="D307" s="141"/>
      <c r="E307" s="141"/>
      <c r="F307" s="141"/>
      <c r="G307" s="145"/>
      <c r="H307" s="141"/>
      <c r="I307" s="141"/>
      <c r="J307" s="146"/>
    </row>
    <row r="308" spans="1:10" x14ac:dyDescent="0.2">
      <c r="A308" s="141"/>
      <c r="B308" s="156"/>
      <c r="C308" s="141"/>
      <c r="D308" s="141"/>
      <c r="E308" s="141"/>
      <c r="F308" s="141"/>
      <c r="G308" s="145"/>
      <c r="H308" s="141"/>
      <c r="I308" s="141"/>
      <c r="J308" s="146"/>
    </row>
    <row r="309" spans="1:10" x14ac:dyDescent="0.2">
      <c r="A309" s="141"/>
      <c r="B309" s="156"/>
      <c r="C309" s="141"/>
      <c r="D309" s="141"/>
      <c r="E309" s="141"/>
      <c r="F309" s="141"/>
      <c r="G309" s="145"/>
      <c r="H309" s="141"/>
      <c r="I309" s="141"/>
      <c r="J309" s="146"/>
    </row>
    <row r="310" spans="1:10" x14ac:dyDescent="0.2">
      <c r="A310" s="141"/>
      <c r="B310" s="156"/>
      <c r="C310" s="141"/>
      <c r="D310" s="141"/>
      <c r="E310" s="141"/>
      <c r="F310" s="141"/>
      <c r="G310" s="145"/>
      <c r="H310" s="141"/>
      <c r="I310" s="141"/>
      <c r="J310" s="146"/>
    </row>
    <row r="311" spans="1:10" x14ac:dyDescent="0.2">
      <c r="A311" s="141"/>
      <c r="B311" s="156"/>
      <c r="C311" s="141"/>
      <c r="D311" s="141"/>
      <c r="E311" s="141"/>
      <c r="F311" s="141"/>
      <c r="G311" s="145"/>
      <c r="H311" s="141"/>
      <c r="I311" s="141"/>
      <c r="J311" s="146"/>
    </row>
    <row r="312" spans="1:10" x14ac:dyDescent="0.2">
      <c r="A312" s="141"/>
      <c r="B312" s="156"/>
      <c r="C312" s="141"/>
      <c r="D312" s="141"/>
      <c r="E312" s="141"/>
      <c r="F312" s="141"/>
      <c r="G312" s="145"/>
      <c r="H312" s="141"/>
      <c r="I312" s="141"/>
      <c r="J312" s="146"/>
    </row>
    <row r="313" spans="1:10" x14ac:dyDescent="0.2">
      <c r="A313" s="141"/>
      <c r="B313" s="156"/>
      <c r="C313" s="141"/>
      <c r="D313" s="141"/>
      <c r="E313" s="141"/>
      <c r="F313" s="141"/>
      <c r="G313" s="145"/>
      <c r="H313" s="141"/>
      <c r="I313" s="141"/>
      <c r="J313" s="146"/>
    </row>
    <row r="314" spans="1:10" x14ac:dyDescent="0.2">
      <c r="A314" s="141"/>
      <c r="B314" s="156"/>
      <c r="C314" s="141"/>
      <c r="D314" s="141"/>
      <c r="E314" s="141"/>
      <c r="F314" s="141"/>
      <c r="G314" s="145"/>
      <c r="H314" s="141"/>
      <c r="I314" s="141"/>
      <c r="J314" s="146"/>
    </row>
    <row r="315" spans="1:10" x14ac:dyDescent="0.2">
      <c r="A315" s="141"/>
      <c r="B315" s="156"/>
      <c r="C315" s="141"/>
      <c r="D315" s="141"/>
      <c r="E315" s="141"/>
      <c r="F315" s="141"/>
      <c r="G315" s="145"/>
      <c r="H315" s="141"/>
      <c r="I315" s="141"/>
      <c r="J315" s="146"/>
    </row>
    <row r="316" spans="1:10" x14ac:dyDescent="0.2">
      <c r="A316" s="141"/>
      <c r="B316" s="156"/>
      <c r="C316" s="141"/>
      <c r="D316" s="141"/>
      <c r="E316" s="141"/>
      <c r="F316" s="141"/>
      <c r="G316" s="145"/>
      <c r="H316" s="141"/>
      <c r="I316" s="141"/>
      <c r="J316" s="146"/>
    </row>
    <row r="317" spans="1:10" x14ac:dyDescent="0.2">
      <c r="A317" s="141"/>
      <c r="B317" s="156"/>
      <c r="C317" s="141"/>
      <c r="D317" s="141"/>
      <c r="E317" s="141"/>
      <c r="F317" s="141"/>
      <c r="G317" s="145"/>
      <c r="H317" s="141"/>
      <c r="I317" s="141"/>
      <c r="J317" s="146"/>
    </row>
    <row r="318" spans="1:10" x14ac:dyDescent="0.2">
      <c r="A318" s="141"/>
      <c r="B318" s="156"/>
      <c r="C318" s="141"/>
      <c r="D318" s="141"/>
      <c r="E318" s="141"/>
      <c r="F318" s="141"/>
      <c r="G318" s="145"/>
      <c r="H318" s="141"/>
      <c r="I318" s="141"/>
      <c r="J318" s="146"/>
    </row>
    <row r="319" spans="1:10" x14ac:dyDescent="0.2">
      <c r="A319" s="141"/>
      <c r="B319" s="156"/>
      <c r="C319" s="141"/>
      <c r="D319" s="141"/>
      <c r="E319" s="141"/>
      <c r="F319" s="141"/>
      <c r="G319" s="145"/>
      <c r="H319" s="141"/>
      <c r="I319" s="141"/>
      <c r="J319" s="146"/>
    </row>
    <row r="320" spans="1:10" x14ac:dyDescent="0.2">
      <c r="A320" s="141"/>
      <c r="B320" s="156"/>
      <c r="C320" s="141"/>
      <c r="D320" s="141"/>
      <c r="E320" s="141"/>
      <c r="F320" s="141"/>
      <c r="G320" s="145"/>
      <c r="H320" s="141"/>
      <c r="I320" s="141"/>
      <c r="J320" s="146"/>
    </row>
    <row r="321" spans="1:10" x14ac:dyDescent="0.2">
      <c r="A321" s="141"/>
      <c r="B321" s="156"/>
      <c r="C321" s="141"/>
      <c r="D321" s="141"/>
      <c r="E321" s="141"/>
      <c r="F321" s="141"/>
      <c r="G321" s="145"/>
      <c r="H321" s="141"/>
      <c r="I321" s="141"/>
      <c r="J321" s="146"/>
    </row>
    <row r="322" spans="1:10" x14ac:dyDescent="0.2">
      <c r="A322" s="141"/>
      <c r="B322" s="156"/>
      <c r="C322" s="141"/>
      <c r="D322" s="141"/>
      <c r="E322" s="141"/>
      <c r="F322" s="141"/>
      <c r="G322" s="145"/>
      <c r="H322" s="141"/>
      <c r="I322" s="141"/>
      <c r="J322" s="146"/>
    </row>
    <row r="323" spans="1:10" x14ac:dyDescent="0.2">
      <c r="A323" s="141"/>
      <c r="B323" s="156"/>
      <c r="C323" s="141"/>
      <c r="D323" s="141"/>
      <c r="E323" s="141"/>
      <c r="F323" s="141"/>
      <c r="G323" s="145"/>
      <c r="H323" s="141"/>
      <c r="I323" s="141"/>
      <c r="J323" s="146"/>
    </row>
    <row r="324" spans="1:10" x14ac:dyDescent="0.2">
      <c r="A324" s="141"/>
      <c r="B324" s="156"/>
      <c r="C324" s="141"/>
      <c r="D324" s="141"/>
      <c r="E324" s="141"/>
      <c r="F324" s="141"/>
      <c r="G324" s="145"/>
      <c r="H324" s="141"/>
      <c r="I324" s="141"/>
      <c r="J324" s="146"/>
    </row>
    <row r="325" spans="1:10" x14ac:dyDescent="0.2">
      <c r="A325" s="141"/>
      <c r="B325" s="156"/>
      <c r="C325" s="141"/>
      <c r="D325" s="141"/>
      <c r="E325" s="141"/>
      <c r="F325" s="141"/>
      <c r="G325" s="145"/>
      <c r="H325" s="141"/>
      <c r="I325" s="141"/>
      <c r="J325" s="146"/>
    </row>
    <row r="326" spans="1:10" x14ac:dyDescent="0.2">
      <c r="A326" s="141"/>
      <c r="I326" s="141"/>
      <c r="J326" s="146"/>
    </row>
    <row r="327" spans="1:10" x14ac:dyDescent="0.2">
      <c r="A327" s="141"/>
      <c r="I327" s="141"/>
      <c r="J327" s="146"/>
    </row>
  </sheetData>
  <sheetProtection sheet="1"/>
  <mergeCells count="34">
    <mergeCell ref="B19:H19"/>
    <mergeCell ref="D20:H20"/>
    <mergeCell ref="D155:F155"/>
    <mergeCell ref="D182:F182"/>
    <mergeCell ref="D40:F40"/>
    <mergeCell ref="D132:F132"/>
    <mergeCell ref="B182:C182"/>
    <mergeCell ref="B115:C115"/>
    <mergeCell ref="B67:C67"/>
    <mergeCell ref="B79:C79"/>
    <mergeCell ref="B102:C102"/>
    <mergeCell ref="B139:C139"/>
    <mergeCell ref="B164:C164"/>
    <mergeCell ref="B42:C42"/>
    <mergeCell ref="B51:C51"/>
    <mergeCell ref="B157:C157"/>
    <mergeCell ref="B87:C87"/>
    <mergeCell ref="B134:C134"/>
    <mergeCell ref="F6:H6"/>
    <mergeCell ref="B152:C152"/>
    <mergeCell ref="F13:H13"/>
    <mergeCell ref="F14:H14"/>
    <mergeCell ref="F15:H15"/>
    <mergeCell ref="F16:H16"/>
    <mergeCell ref="F17:H17"/>
    <mergeCell ref="F18:H18"/>
    <mergeCell ref="F7:H7"/>
    <mergeCell ref="B127:C127"/>
    <mergeCell ref="B144:C144"/>
    <mergeCell ref="F8:H8"/>
    <mergeCell ref="F9:H9"/>
    <mergeCell ref="F10:H10"/>
    <mergeCell ref="F11:H11"/>
    <mergeCell ref="F12:H12"/>
  </mergeCells>
  <phoneticPr fontId="2" type="noConversion"/>
  <conditionalFormatting sqref="D116">
    <cfRule type="cellIs" dxfId="2" priority="1" stopIfTrue="1" operator="greaterThan">
      <formula>0.05</formula>
    </cfRule>
  </conditionalFormatting>
  <dataValidations count="1">
    <dataValidation type="list" errorStyle="warning" allowBlank="1" showInputMessage="1" showErrorMessage="1" errorTitle="Select" error="Select a device from list" promptTitle="Select" prompt="Please select a device." sqref="D4" xr:uid="{E43FB657-6FC7-4B49-B1A6-06BA72EBEDE2}">
      <formula1>$B$4:$B$5</formula1>
    </dataValidation>
  </dataValidations>
  <pageMargins left="0.75" right="0.75" top="1" bottom="1" header="0.5" footer="0.5"/>
  <pageSetup scale="6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2185" r:id="rId4">
          <objectPr defaultSize="0" autoPict="0" r:id="rId5">
            <anchor moveWithCells="1">
              <from>
                <xdr:col>6</xdr:col>
                <xdr:colOff>142875</xdr:colOff>
                <xdr:row>19</xdr:row>
                <xdr:rowOff>9525</xdr:rowOff>
              </from>
              <to>
                <xdr:col>7</xdr:col>
                <xdr:colOff>6477000</xdr:colOff>
                <xdr:row>38</xdr:row>
                <xdr:rowOff>209550</xdr:rowOff>
              </to>
            </anchor>
          </objectPr>
        </oleObject>
      </mc:Choice>
      <mc:Fallback>
        <oleObject progId="Visio.Drawing.11" shapeId="218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8555-6B51-466A-AEA5-64AA010CBD9F}">
  <dimension ref="A2:AJ612"/>
  <sheetViews>
    <sheetView zoomScale="85" zoomScaleNormal="85" workbookViewId="0">
      <selection activeCell="F3" sqref="F3"/>
    </sheetView>
  </sheetViews>
  <sheetFormatPr defaultRowHeight="12.75" x14ac:dyDescent="0.2"/>
  <cols>
    <col min="1" max="1" width="2.7109375" style="220" customWidth="1"/>
    <col min="2" max="2" width="9.85546875" style="221" bestFit="1" customWidth="1"/>
    <col min="3" max="3" width="13.5703125" style="220" bestFit="1" customWidth="1"/>
    <col min="4" max="4" width="9.5703125" style="220" bestFit="1" customWidth="1"/>
    <col min="5" max="5" width="7.140625" style="220" customWidth="1"/>
    <col min="6" max="6" width="16.7109375" style="221" customWidth="1"/>
    <col min="7" max="7" width="7.42578125" style="220" bestFit="1" customWidth="1"/>
    <col min="8" max="8" width="3.28515625" style="220" bestFit="1" customWidth="1"/>
    <col min="9" max="9" width="9.28515625" style="227" bestFit="1" customWidth="1"/>
    <col min="10" max="11" width="9.140625" style="227" customWidth="1"/>
    <col min="12" max="12" width="12" style="227" bestFit="1" customWidth="1"/>
    <col min="13" max="13" width="9.140625" style="227" customWidth="1"/>
    <col min="14" max="16" width="14.5703125" style="227" customWidth="1"/>
    <col min="17" max="17" width="9.140625" style="227" customWidth="1"/>
    <col min="18" max="21" width="19.5703125" style="227" customWidth="1"/>
    <col min="22" max="22" width="13.42578125" style="227" bestFit="1" customWidth="1"/>
    <col min="23" max="23" width="15" style="227" bestFit="1" customWidth="1"/>
    <col min="24" max="27" width="19.5703125" style="227" customWidth="1"/>
    <col min="28" max="28" width="13.42578125" style="227" bestFit="1" customWidth="1"/>
    <col min="29" max="29" width="15" style="227" bestFit="1" customWidth="1"/>
    <col min="30" max="30" width="12.85546875" style="227" bestFit="1" customWidth="1"/>
    <col min="31" max="31" width="12.28515625" style="227" bestFit="1" customWidth="1"/>
    <col min="32" max="33" width="12.85546875" style="227" bestFit="1" customWidth="1"/>
    <col min="34" max="34" width="12" style="227" bestFit="1" customWidth="1"/>
    <col min="35" max="36" width="9.140625" style="227"/>
    <col min="37" max="16384" width="9.140625" style="220"/>
  </cols>
  <sheetData>
    <row r="2" spans="2:35" ht="18" x14ac:dyDescent="0.25">
      <c r="B2" s="268" t="s">
        <v>130</v>
      </c>
      <c r="C2" s="268"/>
      <c r="D2" s="268"/>
      <c r="E2" s="268" t="s">
        <v>139</v>
      </c>
      <c r="F2" s="268"/>
      <c r="G2" s="268"/>
      <c r="J2" s="228"/>
    </row>
    <row r="3" spans="2:35" x14ac:dyDescent="0.2">
      <c r="B3" s="221" t="s">
        <v>191</v>
      </c>
      <c r="C3" s="102">
        <f>Vin_Min</f>
        <v>4.4000000000000004</v>
      </c>
      <c r="D3" s="220" t="s">
        <v>3</v>
      </c>
      <c r="E3" s="221" t="s">
        <v>53</v>
      </c>
      <c r="F3" s="247">
        <f>C3</f>
        <v>4.4000000000000004</v>
      </c>
      <c r="G3" s="220" t="s">
        <v>3</v>
      </c>
      <c r="K3" s="227" t="s">
        <v>15</v>
      </c>
      <c r="L3" s="227" t="s">
        <v>140</v>
      </c>
      <c r="N3" s="227" t="s">
        <v>167</v>
      </c>
      <c r="O3" s="227" t="s">
        <v>166</v>
      </c>
      <c r="P3" s="227" t="s">
        <v>25</v>
      </c>
      <c r="Q3" s="227" t="s">
        <v>15</v>
      </c>
      <c r="R3" s="227" t="s">
        <v>151</v>
      </c>
      <c r="S3" s="227" t="s">
        <v>152</v>
      </c>
      <c r="T3" s="227" t="s">
        <v>153</v>
      </c>
      <c r="U3" s="227" t="s">
        <v>154</v>
      </c>
      <c r="V3" s="227" t="s">
        <v>144</v>
      </c>
      <c r="W3" s="227" t="s">
        <v>145</v>
      </c>
      <c r="X3" s="227" t="s">
        <v>155</v>
      </c>
      <c r="Y3" s="227" t="s">
        <v>157</v>
      </c>
      <c r="Z3" s="227" t="s">
        <v>156</v>
      </c>
      <c r="AA3" s="227" t="s">
        <v>158</v>
      </c>
      <c r="AB3" s="227" t="s">
        <v>159</v>
      </c>
      <c r="AC3" s="227" t="s">
        <v>160</v>
      </c>
      <c r="AD3" s="227" t="s">
        <v>162</v>
      </c>
      <c r="AE3" s="227" t="s">
        <v>163</v>
      </c>
      <c r="AF3" s="227" t="s">
        <v>164</v>
      </c>
      <c r="AG3" s="227" t="s">
        <v>165</v>
      </c>
      <c r="AH3" s="227" t="s">
        <v>161</v>
      </c>
    </row>
    <row r="4" spans="2:35" x14ac:dyDescent="0.2">
      <c r="B4" s="221" t="s">
        <v>190</v>
      </c>
      <c r="C4" s="102">
        <f>Vin_Nom</f>
        <v>4.5599999999999996</v>
      </c>
      <c r="D4" s="220" t="s">
        <v>3</v>
      </c>
      <c r="E4" s="221"/>
      <c r="F4" s="220"/>
      <c r="I4" s="227">
        <v>0</v>
      </c>
      <c r="J4" s="227">
        <f t="shared" ref="J4:J67" si="0">1+I4*(LOG(fsw)-1)/500</f>
        <v>1</v>
      </c>
      <c r="K4" s="227">
        <f>10^(J4)</f>
        <v>10</v>
      </c>
      <c r="L4" s="227">
        <f>2*PI()*K4</f>
        <v>62.831853071795862</v>
      </c>
      <c r="M4" s="227">
        <f t="shared" ref="M4:M67" si="1">SQRT((Fco_target-K5)^2)</f>
        <v>6573.6184651453477</v>
      </c>
      <c r="N4" s="227">
        <f>SQRT((ABS(AC4)-171.5+'Small Signal'!C$59)^2)</f>
        <v>98.991266873695224</v>
      </c>
      <c r="O4" s="227">
        <f>ABS(AG4)</f>
        <v>97.333228474908154</v>
      </c>
      <c r="P4" s="227">
        <f>ABS(AF4)</f>
        <v>64.279744907659207</v>
      </c>
      <c r="Q4" s="227">
        <f>K4</f>
        <v>10</v>
      </c>
      <c r="R4" s="227" t="str">
        <f t="shared" ref="R4:R67" si="2">IMSUM(COMPLEX(DCRss,Lss*L4),COMPLEX(Rdsonss,0),COMPLEX(40/3*Risense,0))</f>
        <v>0.0355+0.0000816814089933346i</v>
      </c>
      <c r="S4" s="227" t="str">
        <f t="shared" ref="S4:S67" si="3">IMSUM(COMPLEX(ESRss,0),IMDIV(COMPLEX(1,0),COMPLEX(0,L4*Cbulkss)))</f>
        <v>0.018-72.3431559508615i</v>
      </c>
      <c r="T4" s="227" t="str">
        <f>IMDIV(IMPRODUCT(S4,COMPLEX(Ross,0)),IMSUM(S4,COMPLEX(Ross,0)))</f>
        <v>6.35016206857816-0.561768969323637i</v>
      </c>
      <c r="U4" s="227" t="str">
        <f t="shared" ref="U4:U67" si="4">IMPRODUCT(COMPLEX(Vinss,0),COMPLEX(M^2,0),IMDIV(IMSUB(COMPLEX(1,0),IMDIV(IMPRODUCT(R4,COMPLEX(M^2,0)),COMPLEX(Ross,0))),IMSUM(COMPLEX(1,0),IMDIV(IMPRODUCT(R4,COMPLEX(M^2,0)),T4))))</f>
        <v>93.8079225805049-1.2488487609539i</v>
      </c>
      <c r="V4" s="227">
        <f>20*LOG(IMABS(U4))</f>
        <v>39.445560006341715</v>
      </c>
      <c r="W4" s="227">
        <f>IF(DEGREES(IMARGUMENT(U4))&gt;0,DEGREES(IMARGUMENT(U4))-360, DEGREES(IMARGUMENT(U4)))</f>
        <v>-0.76272381418258184</v>
      </c>
      <c r="X4" s="227" t="str">
        <f t="shared" ref="X4:X67" si="5">IMSUM(COMPLEX(1,L4/(wn*q0)),IMPOWER(COMPLEX(0,L4/wn),2))</f>
        <v>0.999999999288889-7.20506400999717E-06i</v>
      </c>
      <c r="Y4" s="227" t="str">
        <f t="shared" ref="Y4:Y67" si="6">IMPRODUCT(COMPLEX(2*Ioutss*M^2,0),IMDIV(IMSUM(COMPLEX(1,0),IMDIV(COMPLEX(Ross,0),IMPRODUCT(COMPLEX(2,0),S4))),IMSUM(COMPLEX(1,0),IMDIV(IMPRODUCT(R4,COMPLEX(M^2,0)),T4))))</f>
        <v>191.616102773791+6.00856712435232i</v>
      </c>
      <c r="Z4" s="227" t="str">
        <f t="shared" ref="Z4:Z67" si="7">IMPRODUCT(COMPLEX(Fm*40/3*Risense,0),Y4,X4)</f>
        <v>35.1568582946475+1.1021712392259i</v>
      </c>
      <c r="AA4" s="227" t="str">
        <f t="shared" ref="AA4:AA67" si="8">IMDIV(IMPRODUCT(COMPLEX(Fm,0),U4),IMSUM(COMPLEX(1,0),Z4))</f>
        <v>18.5697979487349-0.813610744743781i</v>
      </c>
      <c r="AB4" s="227">
        <f>20*LOG(IMABS(AA4))</f>
        <v>25.384472450917521</v>
      </c>
      <c r="AC4" s="227">
        <f>IF(DEGREES(IMARGUMENT(AA4))&gt;0,DEGREES(IMARGUMENT(AA4))-360, DEGREES(IMARGUMENT(AA4)))</f>
        <v>-2.5087331263047794</v>
      </c>
      <c r="AD4" s="229">
        <f>20*LOG(IMABS(AH4))</f>
        <v>38.895272456741687</v>
      </c>
      <c r="AE4" s="229">
        <f>180+DEGREES(IMARGUMENT(AH4))</f>
        <v>99.84196160121293</v>
      </c>
      <c r="AF4" s="227">
        <f t="shared" ref="AF4:AF67" si="9">AD4+AB4</f>
        <v>64.279744907659207</v>
      </c>
      <c r="AG4" s="227">
        <f t="shared" ref="AG4:AG67" si="10">AE4+AC4</f>
        <v>97.333228474908154</v>
      </c>
      <c r="AH4" s="229" t="str">
        <f>IMDIV(IMPRODUCT(COMPLEX(gea*Rea*Rslss/(Rslss+Rshss),0),COMPLEX(1,L4*Ccompss*Rcompss),COMPLEX(1,k_3*L4*Cffss*Rshss)),IMPRODUCT(COMPLEX(1,L4*Rea*Ccompss),COMPLEX(1,L4*Rcompss*Chfss),COMPLEX(1,k_3*L4*Rffss*Cffss)))</f>
        <v>15.0516738319181-86.7610107465018i</v>
      </c>
      <c r="AI4" s="227" t="str">
        <f>IMDIV(IMPRODUCT(IMSUM(COMPLEX(ESRss,0),IMDIV(COMPLEX(1,0),COMPLEX(0,L4*Cbulkss))),IMSUM(COMPLEX(Rcerss,0),IMDIV(COMPLEX(1,0),COMPLEX(0,L4*Ccerss)))),IMSUM(IMSUM(COMPLEX(ESRss,0),IMDIV(COMPLEX(1,0),COMPLEX(0,L4*Cbulkss))),IMSUM(COMPLEX(Rcerss,0),IMDIV(COMPLEX(1,0),COMPLEX(0,L4*Ccerss)))))</f>
        <v>0.0179999998570247-72.3431556220285i</v>
      </c>
    </row>
    <row r="5" spans="2:35" x14ac:dyDescent="0.2">
      <c r="B5" s="221" t="s">
        <v>192</v>
      </c>
      <c r="C5" s="102">
        <f>Vin_Max</f>
        <v>6</v>
      </c>
      <c r="D5" s="220" t="s">
        <v>3</v>
      </c>
      <c r="E5" s="221"/>
      <c r="F5" s="220"/>
      <c r="I5" s="227">
        <v>1</v>
      </c>
      <c r="J5" s="227">
        <f t="shared" si="0"/>
        <v>1.0097501225267833</v>
      </c>
      <c r="K5" s="227">
        <f>10^(J5)</f>
        <v>10.22704395528236</v>
      </c>
      <c r="L5" s="227">
        <f t="shared" ref="L5:L68" si="11">2*PI()*K5</f>
        <v>64.258412315709919</v>
      </c>
      <c r="M5" s="227">
        <f t="shared" si="1"/>
        <v>6573.386266294302</v>
      </c>
      <c r="N5" s="227">
        <f>SQRT((ABS(AC5)-171.5+'Small Signal'!C$59)^2)</f>
        <v>98.934381756782273</v>
      </c>
      <c r="O5" s="227">
        <f t="shared" ref="O5:O68" si="12">ABS(AG5)</f>
        <v>97.096930119566977</v>
      </c>
      <c r="P5" s="227">
        <f t="shared" ref="P5:P68" si="13">ABS(AF5)</f>
        <v>64.089117815883611</v>
      </c>
      <c r="Q5" s="227">
        <f t="shared" ref="Q5:Q68" si="14">K5</f>
        <v>10.22704395528236</v>
      </c>
      <c r="R5" s="227" t="str">
        <f t="shared" si="2"/>
        <v>0.0355+0.0000835359360104229i</v>
      </c>
      <c r="S5" s="227" t="str">
        <f t="shared" si="3"/>
        <v>0.018-70.7371125685791i</v>
      </c>
      <c r="T5" s="227" t="str">
        <f t="shared" ref="T5:T35" si="15">IMDIV(IMPRODUCT(S5,COMPLEX(Ross,0)),IMSUM(S5,COMPLEX(Ross,0)))</f>
        <v>6.34789198473407-0.574317628792624i</v>
      </c>
      <c r="U5" s="227" t="str">
        <f t="shared" si="4"/>
        <v>93.8072960191348-1.27719641453161i</v>
      </c>
      <c r="V5" s="227">
        <f t="shared" ref="V5:V68" si="16">20*LOG(IMABS(U5))</f>
        <v>39.445537335499651</v>
      </c>
      <c r="W5" s="227">
        <f t="shared" ref="W5:W68" si="17">IF(DEGREES(IMARGUMENT(U5))&gt;0,DEGREES(IMARGUMENT(U5))-360, DEGREES(IMARGUMENT(U5)))</f>
        <v>-0.78003999769217369</v>
      </c>
      <c r="X5" s="227" t="str">
        <f t="shared" si="5"/>
        <v>0.999999999256232-7.36865063308641E-06i</v>
      </c>
      <c r="Y5" s="227" t="str">
        <f t="shared" si="6"/>
        <v>191.61997333797+6.14494428637698i</v>
      </c>
      <c r="Z5" s="227" t="str">
        <f t="shared" si="7"/>
        <v>35.1575688117164+1.12718734370164i</v>
      </c>
      <c r="AA5" s="227" t="str">
        <f t="shared" si="8"/>
        <v>18.5681723301316-0.832010805219526i</v>
      </c>
      <c r="AB5" s="227">
        <f t="shared" ref="AB5:AB68" si="18">20*LOG(IMABS(AA5))</f>
        <v>25.384094168409057</v>
      </c>
      <c r="AC5" s="227">
        <f t="shared" ref="AC5:AC68" si="19">IF(DEGREES(IMARGUMENT(AA5))&gt;0,DEGREES(IMARGUMENT(AA5))-360, DEGREES(IMARGUMENT(AA5)))</f>
        <v>-2.5656182432177244</v>
      </c>
      <c r="AD5" s="229">
        <f t="shared" ref="AD5:AD68" si="20">20*LOG(IMABS(AH5))</f>
        <v>38.705023647474562</v>
      </c>
      <c r="AE5" s="229">
        <f t="shared" ref="AE5:AE68" si="21">180+DEGREES(IMARGUMENT(AH5))</f>
        <v>99.662548362784705</v>
      </c>
      <c r="AF5" s="227">
        <f t="shared" si="9"/>
        <v>64.089117815883611</v>
      </c>
      <c r="AG5" s="227">
        <f t="shared" si="10"/>
        <v>97.096930119566977</v>
      </c>
      <c r="AH5" s="229" t="str">
        <f t="shared" ref="AH5:AH67" si="22">IMDIV(IMPRODUCT(COMPLEX(gea*Rea*Rslss/(Rslss+Rshss),0),COMPLEX(1,L5*Ccompss*Rcompss),COMPLEX(1,k_3*L5*Cffss*Rshss)),IMPRODUCT(COMPLEX(1,L5*Rea*Ccompss),COMPLEX(1,L5*Rcompss*Chfss),COMPLEX(1,k_3*L5*Rffss*Cffss)))</f>
        <v>14.4597132092526-84.9270220982986i</v>
      </c>
      <c r="AI5" s="229"/>
    </row>
    <row r="6" spans="2:35" x14ac:dyDescent="0.2">
      <c r="B6" s="221" t="s">
        <v>23</v>
      </c>
      <c r="C6" s="102">
        <f>Vout</f>
        <v>24</v>
      </c>
      <c r="D6" s="220" t="s">
        <v>3</v>
      </c>
      <c r="E6" s="221"/>
      <c r="F6" s="247">
        <f>Vout</f>
        <v>24</v>
      </c>
      <c r="G6" s="220" t="s">
        <v>3</v>
      </c>
      <c r="I6" s="227">
        <v>2</v>
      </c>
      <c r="J6" s="227">
        <f t="shared" si="0"/>
        <v>1.0195002450535668</v>
      </c>
      <c r="K6" s="227">
        <f>10^(J6)</f>
        <v>10.459242806327749</v>
      </c>
      <c r="L6" s="227">
        <f t="shared" si="11"/>
        <v>65.717360724942296</v>
      </c>
      <c r="M6" s="227">
        <f t="shared" si="1"/>
        <v>6573.1487955087014</v>
      </c>
      <c r="N6" s="227">
        <f>SQRT((ABS(AC6)-171.5+'Small Signal'!C$59)^2)</f>
        <v>98.876210255481766</v>
      </c>
      <c r="O6" s="227">
        <f t="shared" si="12"/>
        <v>96.863937389979213</v>
      </c>
      <c r="P6" s="227">
        <f t="shared" si="13"/>
        <v>63.898273063899452</v>
      </c>
      <c r="Q6" s="227">
        <f t="shared" si="14"/>
        <v>10.459242806327749</v>
      </c>
      <c r="R6" s="227" t="str">
        <f t="shared" si="2"/>
        <v>0.0355+0.000085432568942425i</v>
      </c>
      <c r="S6" s="227" t="str">
        <f t="shared" si="3"/>
        <v>0.018-69.1667239115002i</v>
      </c>
      <c r="T6" s="227" t="str">
        <f t="shared" si="15"/>
        <v>6.34551938974822-0.587137009631475i</v>
      </c>
      <c r="U6" s="227" t="str">
        <f t="shared" si="4"/>
        <v>93.8066406900452-1.30618721753782i</v>
      </c>
      <c r="V6" s="227">
        <f t="shared" si="16"/>
        <v>39.445513623626347</v>
      </c>
      <c r="W6" s="227">
        <f t="shared" si="17"/>
        <v>-0.79774926504075505</v>
      </c>
      <c r="X6" s="227" t="str">
        <f t="shared" si="5"/>
        <v>0.999999999222075-7.53595139156939E-06i</v>
      </c>
      <c r="Y6" s="227" t="str">
        <f t="shared" si="6"/>
        <v>191.624021610963+6.28441476369857i</v>
      </c>
      <c r="Z6" s="227" t="str">
        <f t="shared" si="7"/>
        <v>35.1583119506808+1.15277086452408i</v>
      </c>
      <c r="AA6" s="227" t="str">
        <f t="shared" si="8"/>
        <v>18.5664723591642-0.850823592004612i</v>
      </c>
      <c r="AB6" s="227">
        <f t="shared" si="18"/>
        <v>25.383698548809377</v>
      </c>
      <c r="AC6" s="227">
        <f t="shared" si="19"/>
        <v>-2.6237897445182443</v>
      </c>
      <c r="AD6" s="229">
        <f t="shared" si="20"/>
        <v>38.514574515090075</v>
      </c>
      <c r="AE6" s="229">
        <f t="shared" si="21"/>
        <v>99.487727134497462</v>
      </c>
      <c r="AF6" s="227">
        <f t="shared" si="9"/>
        <v>63.898273063899452</v>
      </c>
      <c r="AG6" s="227">
        <f t="shared" si="10"/>
        <v>96.863937389979213</v>
      </c>
      <c r="AH6" s="229" t="str">
        <f t="shared" si="22"/>
        <v>13.8925408653495-83.1279318729427i</v>
      </c>
    </row>
    <row r="7" spans="2:35" x14ac:dyDescent="0.2">
      <c r="B7" s="221" t="s">
        <v>34</v>
      </c>
      <c r="C7" s="102">
        <f>Iout</f>
        <v>3.75</v>
      </c>
      <c r="D7" s="220" t="s">
        <v>2</v>
      </c>
      <c r="E7" s="221"/>
      <c r="F7" s="247">
        <f>C7</f>
        <v>3.75</v>
      </c>
      <c r="G7" s="220" t="s">
        <v>2</v>
      </c>
      <c r="I7" s="227">
        <v>3</v>
      </c>
      <c r="J7" s="227">
        <f t="shared" si="0"/>
        <v>1.0292503675803502</v>
      </c>
      <c r="K7" s="227">
        <f>10^(J7)</f>
        <v>10.696713591928464</v>
      </c>
      <c r="L7" s="227">
        <f t="shared" si="11"/>
        <v>67.209433675913104</v>
      </c>
      <c r="M7" s="227">
        <f t="shared" si="1"/>
        <v>6572.9059330924583</v>
      </c>
      <c r="N7" s="227">
        <f>SQRT((ABS(AC7)-171.5+'Small Signal'!C$59)^2)</f>
        <v>98.816723521559368</v>
      </c>
      <c r="O7" s="227">
        <f t="shared" si="12"/>
        <v>96.634150932162242</v>
      </c>
      <c r="P7" s="227">
        <f t="shared" si="13"/>
        <v>63.70721841815201</v>
      </c>
      <c r="Q7" s="227">
        <f t="shared" si="14"/>
        <v>10.696713591928464</v>
      </c>
      <c r="R7" s="227" t="str">
        <f t="shared" si="2"/>
        <v>0.0355+0.000087372263778687i</v>
      </c>
      <c r="S7" s="227" t="str">
        <f t="shared" si="3"/>
        <v>0.018-67.6311984322458i</v>
      </c>
      <c r="T7" s="227" t="str">
        <f t="shared" si="15"/>
        <v>6.34303973729195-0.600232288868989i</v>
      </c>
      <c r="U7" s="227" t="str">
        <f t="shared" si="4"/>
        <v>93.8059552727251-1.3358357397698i</v>
      </c>
      <c r="V7" s="227">
        <f t="shared" si="16"/>
        <v>39.445488822923636</v>
      </c>
      <c r="W7" s="227">
        <f t="shared" si="17"/>
        <v>-0.81586053610809817</v>
      </c>
      <c r="X7" s="227" t="str">
        <f t="shared" si="5"/>
        <v>0.999999999186349-7.70705061264514E-06i</v>
      </c>
      <c r="Y7" s="227" t="str">
        <f t="shared" si="6"/>
        <v>191.628255749785+6.42704857602741i</v>
      </c>
      <c r="Z7" s="227" t="str">
        <f t="shared" si="7"/>
        <v>35.1590892089185+1.17893464558967i</v>
      </c>
      <c r="AA7" s="227" t="str">
        <f t="shared" si="8"/>
        <v>18.5646946496322-0.870058126576578i</v>
      </c>
      <c r="AB7" s="227">
        <f t="shared" si="18"/>
        <v>25.383284799230935</v>
      </c>
      <c r="AC7" s="227">
        <f t="shared" si="19"/>
        <v>-2.683276478440638</v>
      </c>
      <c r="AD7" s="229">
        <f t="shared" si="20"/>
        <v>38.323933618921075</v>
      </c>
      <c r="AE7" s="229">
        <f t="shared" si="21"/>
        <v>99.317427410602875</v>
      </c>
      <c r="AF7" s="227">
        <f t="shared" si="9"/>
        <v>63.70721841815201</v>
      </c>
      <c r="AG7" s="227">
        <f t="shared" si="10"/>
        <v>96.634150932162242</v>
      </c>
      <c r="AH7" s="229" t="str">
        <f t="shared" si="22"/>
        <v>13.3491683251071-81.3633252745818i</v>
      </c>
    </row>
    <row r="8" spans="2:35" ht="19.5" x14ac:dyDescent="0.35">
      <c r="B8" s="221" t="s">
        <v>134</v>
      </c>
      <c r="C8" s="102">
        <f>Rsh</f>
        <v>205000</v>
      </c>
      <c r="D8" s="220" t="s">
        <v>29</v>
      </c>
      <c r="E8" s="221"/>
      <c r="F8" s="248">
        <f>Rsh</f>
        <v>205000</v>
      </c>
      <c r="G8" s="220" t="s">
        <v>29</v>
      </c>
      <c r="I8" s="227">
        <v>4</v>
      </c>
      <c r="J8" s="227">
        <f t="shared" si="0"/>
        <v>1.0390004901071337</v>
      </c>
      <c r="K8" s="227">
        <f t="shared" ref="K8:K71" si="23">10^(J8)</f>
        <v>10.939576008171871</v>
      </c>
      <c r="L8" s="227">
        <f t="shared" si="11"/>
        <v>68.735383241319809</v>
      </c>
      <c r="M8" s="227">
        <f t="shared" si="1"/>
        <v>6572.657556631857</v>
      </c>
      <c r="N8" s="227">
        <f>SQRT((ABS(AC8)-171.5+'Small Signal'!C$59)^2)</f>
        <v>98.755892076646205</v>
      </c>
      <c r="O8" s="227">
        <f t="shared" si="12"/>
        <v>96.407471942058919</v>
      </c>
      <c r="P8" s="227">
        <f t="shared" si="13"/>
        <v>63.515961274186736</v>
      </c>
      <c r="Q8" s="227">
        <f t="shared" si="14"/>
        <v>10.939576008171871</v>
      </c>
      <c r="R8" s="227" t="str">
        <f t="shared" si="2"/>
        <v>0.0355+0.0000893559982137158i</v>
      </c>
      <c r="S8" s="227" t="str">
        <f t="shared" si="3"/>
        <v>0.018-66.1297621560661i</v>
      </c>
      <c r="T8" s="227" t="str">
        <f t="shared" si="15"/>
        <v>6.34044828711142-0.613608695747576i</v>
      </c>
      <c r="U8" s="227" t="str">
        <f t="shared" si="4"/>
        <v>93.8052383860768-1.36615687955834i</v>
      </c>
      <c r="V8" s="227">
        <f t="shared" si="16"/>
        <v>39.445462883399024</v>
      </c>
      <c r="W8" s="227">
        <f t="shared" si="17"/>
        <v>-0.83438293295651045</v>
      </c>
      <c r="X8" s="227" t="str">
        <f t="shared" si="5"/>
        <v>0.999999999148983-7.88203453811077E-06i</v>
      </c>
      <c r="Y8" s="227" t="str">
        <f t="shared" si="6"/>
        <v>191.632684285654+6.5729173180557i</v>
      </c>
      <c r="Z8" s="227" t="str">
        <f t="shared" si="7"/>
        <v>35.1599021524999+1.20569181969542i</v>
      </c>
      <c r="AA8" s="227" t="str">
        <f t="shared" si="8"/>
        <v>18.5628356624802-0.889723611103089i</v>
      </c>
      <c r="AB8" s="227">
        <f t="shared" si="18"/>
        <v>25.38285209068324</v>
      </c>
      <c r="AC8" s="227">
        <f t="shared" si="19"/>
        <v>-2.7441079233537997</v>
      </c>
      <c r="AD8" s="229">
        <f t="shared" si="20"/>
        <v>38.133109183503493</v>
      </c>
      <c r="AE8" s="229">
        <f t="shared" si="21"/>
        <v>99.151579865412714</v>
      </c>
      <c r="AF8" s="227">
        <f t="shared" si="9"/>
        <v>63.515961274186736</v>
      </c>
      <c r="AG8" s="227">
        <f t="shared" si="10"/>
        <v>96.407471942058919</v>
      </c>
      <c r="AH8" s="229" t="str">
        <f t="shared" si="22"/>
        <v>12.8286423536441-79.6327752088875i</v>
      </c>
    </row>
    <row r="9" spans="2:35" ht="19.5" x14ac:dyDescent="0.35">
      <c r="B9" s="221" t="s">
        <v>135</v>
      </c>
      <c r="C9" s="102">
        <f>Rsl</f>
        <v>11000</v>
      </c>
      <c r="D9" s="220" t="s">
        <v>29</v>
      </c>
      <c r="E9" s="221"/>
      <c r="F9" s="248">
        <f>Rsl</f>
        <v>11000</v>
      </c>
      <c r="G9" s="220" t="s">
        <v>29</v>
      </c>
      <c r="I9" s="227">
        <v>5</v>
      </c>
      <c r="J9" s="227">
        <f t="shared" si="0"/>
        <v>1.048750612633917</v>
      </c>
      <c r="K9" s="227">
        <f t="shared" si="23"/>
        <v>11.187952468772604</v>
      </c>
      <c r="L9" s="227">
        <f t="shared" si="11"/>
        <v>70.295978569215606</v>
      </c>
      <c r="M9" s="227">
        <f t="shared" si="1"/>
        <v>6572.4035409338549</v>
      </c>
      <c r="N9" s="227">
        <f>SQRT((ABS(AC9)-171.5+'Small Signal'!C$59)^2)</f>
        <v>98.693685799649273</v>
      </c>
      <c r="O9" s="227">
        <f t="shared" si="12"/>
        <v>96.183802184262731</v>
      </c>
      <c r="P9" s="227">
        <f t="shared" si="13"/>
        <v>63.324508667336374</v>
      </c>
      <c r="Q9" s="227">
        <f t="shared" si="14"/>
        <v>11.187952468772604</v>
      </c>
      <c r="R9" s="227" t="str">
        <f t="shared" si="2"/>
        <v>0.0355+0.0000913847721399803i</v>
      </c>
      <c r="S9" s="227" t="str">
        <f t="shared" si="3"/>
        <v>0.018-64.6616582907223i</v>
      </c>
      <c r="T9" s="227" t="str">
        <f t="shared" si="15"/>
        <v>6.33774009747488-0.627271508615383i</v>
      </c>
      <c r="U9" s="227" t="str">
        <f t="shared" si="4"/>
        <v>93.8044885856441-1.39716587106943i</v>
      </c>
      <c r="V9" s="227">
        <f t="shared" si="16"/>
        <v>39.445435752765519</v>
      </c>
      <c r="W9" s="227">
        <f t="shared" si="17"/>
        <v>-0.85332578439781159</v>
      </c>
      <c r="X9" s="227" t="str">
        <f t="shared" si="5"/>
        <v>0.9999999991099-8.06099136783125E-06i</v>
      </c>
      <c r="Y9" s="227" t="str">
        <f t="shared" si="6"/>
        <v>191.637316141166+6.72209419418736i</v>
      </c>
      <c r="Z9" s="227" t="str">
        <f t="shared" si="7"/>
        <v>35.1607524193401+1.23305581490931i</v>
      </c>
      <c r="AA9" s="227" t="str">
        <f t="shared" si="8"/>
        <v>18.5608916990245-0.909829430885482i</v>
      </c>
      <c r="AB9" s="227">
        <f t="shared" si="18"/>
        <v>25.382399556443342</v>
      </c>
      <c r="AC9" s="227">
        <f t="shared" si="19"/>
        <v>-2.8063142003507244</v>
      </c>
      <c r="AD9" s="229">
        <f t="shared" si="20"/>
        <v>37.942109110893028</v>
      </c>
      <c r="AE9" s="229">
        <f t="shared" si="21"/>
        <v>98.990116384613458</v>
      </c>
      <c r="AF9" s="227">
        <f t="shared" si="9"/>
        <v>63.324508667336374</v>
      </c>
      <c r="AG9" s="227">
        <f t="shared" si="10"/>
        <v>96.183802184262731</v>
      </c>
      <c r="AH9" s="229" t="str">
        <f t="shared" si="22"/>
        <v>12.3300440588981-77.9358437614096i</v>
      </c>
    </row>
    <row r="10" spans="2:35" ht="19.5" x14ac:dyDescent="0.35">
      <c r="B10" s="221" t="s">
        <v>136</v>
      </c>
      <c r="C10" s="102">
        <f>Rcomp</f>
        <v>22600</v>
      </c>
      <c r="D10" s="220" t="s">
        <v>29</v>
      </c>
      <c r="E10" s="221"/>
      <c r="F10" s="247">
        <f>Rcomp</f>
        <v>22600</v>
      </c>
      <c r="G10" s="220" t="s">
        <v>29</v>
      </c>
      <c r="I10" s="227">
        <v>6</v>
      </c>
      <c r="J10" s="227">
        <f t="shared" si="0"/>
        <v>1.0585007351607003</v>
      </c>
      <c r="K10" s="227">
        <f t="shared" si="23"/>
        <v>11.44196816677472</v>
      </c>
      <c r="L10" s="227">
        <f t="shared" si="11"/>
        <v>71.892006270695461</v>
      </c>
      <c r="M10" s="227">
        <f t="shared" si="1"/>
        <v>6572.1437579629755</v>
      </c>
      <c r="N10" s="227">
        <f>SQRT((ABS(AC10)-171.5+'Small Signal'!C$59)^2)</f>
        <v>98.630073913993527</v>
      </c>
      <c r="O10" s="227">
        <f t="shared" si="12"/>
        <v>95.963044007382138</v>
      </c>
      <c r="P10" s="227">
        <f t="shared" si="13"/>
        <v>63.132867283029711</v>
      </c>
      <c r="Q10" s="227">
        <f t="shared" si="14"/>
        <v>11.44196816677472</v>
      </c>
      <c r="R10" s="227" t="str">
        <f t="shared" si="2"/>
        <v>0.0355+0.0000934596081519041i</v>
      </c>
      <c r="S10" s="227" t="str">
        <f t="shared" si="3"/>
        <v>0.018-63.2261468450263i</v>
      </c>
      <c r="T10" s="227" t="str">
        <f t="shared" si="15"/>
        <v>6.33491001739397-0.641226051478476i</v>
      </c>
      <c r="U10" s="227" t="str">
        <f t="shared" si="4"/>
        <v>93.8037043607046-1.42887829176046i</v>
      </c>
      <c r="V10" s="227">
        <f t="shared" si="16"/>
        <v>39.445407376335979</v>
      </c>
      <c r="W10" s="227">
        <f t="shared" si="17"/>
        <v>-0.87269863066226594</v>
      </c>
      <c r="X10" s="227" t="str">
        <f t="shared" si="5"/>
        <v>0.999999999069023-8.24401130419619E-06i</v>
      </c>
      <c r="Y10" s="227" t="str">
        <f t="shared" si="6"/>
        <v>191.642160648213+6.8746540539864i</v>
      </c>
      <c r="Z10" s="227" t="str">
        <f t="shared" si="7"/>
        <v>35.1616417224884+1.2610403610724i</v>
      </c>
      <c r="AA10" s="227" t="str">
        <f t="shared" si="8"/>
        <v>18.5588588938934-0.930385156745198i</v>
      </c>
      <c r="AB10" s="227">
        <f t="shared" si="18"/>
        <v>25.381926290354958</v>
      </c>
      <c r="AC10" s="227">
        <f t="shared" si="19"/>
        <v>-2.8699260860064739</v>
      </c>
      <c r="AD10" s="229">
        <f t="shared" si="20"/>
        <v>37.750940992674749</v>
      </c>
      <c r="AE10" s="229">
        <f t="shared" si="21"/>
        <v>98.83297009338861</v>
      </c>
      <c r="AF10" s="227">
        <f t="shared" si="9"/>
        <v>63.132867283029711</v>
      </c>
      <c r="AG10" s="227">
        <f t="shared" si="10"/>
        <v>95.963044007382138</v>
      </c>
      <c r="AH10" s="229" t="str">
        <f t="shared" si="22"/>
        <v>11.8524879839287-76.2720835839303i</v>
      </c>
    </row>
    <row r="11" spans="2:35" ht="19.5" x14ac:dyDescent="0.35">
      <c r="B11" s="221" t="s">
        <v>132</v>
      </c>
      <c r="C11" s="103">
        <f>Ccomp</f>
        <v>1E-8</v>
      </c>
      <c r="D11" s="220" t="s">
        <v>7</v>
      </c>
      <c r="E11" s="221"/>
      <c r="F11" s="249">
        <f>Ccomp</f>
        <v>1E-8</v>
      </c>
      <c r="G11" s="220" t="s">
        <v>7</v>
      </c>
      <c r="I11" s="227">
        <v>7</v>
      </c>
      <c r="J11" s="227">
        <f t="shared" si="0"/>
        <v>1.0682508576874838</v>
      </c>
      <c r="K11" s="227">
        <f t="shared" si="23"/>
        <v>11.701751137654661</v>
      </c>
      <c r="L11" s="227">
        <f t="shared" si="11"/>
        <v>73.524270816383776</v>
      </c>
      <c r="M11" s="227">
        <f t="shared" si="1"/>
        <v>6571.878076776773</v>
      </c>
      <c r="N11" s="227">
        <f>SQRT((ABS(AC11)-171.5+'Small Signal'!C$59)^2)</f>
        <v>98.565024974700719</v>
      </c>
      <c r="O11" s="227">
        <f t="shared" si="12"/>
        <v>95.74510035625859</v>
      </c>
      <c r="P11" s="227">
        <f t="shared" si="13"/>
        <v>62.941043466715428</v>
      </c>
      <c r="Q11" s="227">
        <f t="shared" si="14"/>
        <v>11.701751137654661</v>
      </c>
      <c r="R11" s="227" t="str">
        <f t="shared" si="2"/>
        <v>0.0355+0.0000955815520612989i</v>
      </c>
      <c r="S11" s="227" t="str">
        <f t="shared" si="3"/>
        <v>0.018-61.8225042558554i</v>
      </c>
      <c r="T11" s="227" t="str">
        <f t="shared" si="15"/>
        <v>6.33195267861962-0.655477690189857i</v>
      </c>
      <c r="U11" s="227" t="str">
        <f t="shared" si="4"/>
        <v>93.8028841312326-1.46131006999396i</v>
      </c>
      <c r="V11" s="227">
        <f t="shared" si="16"/>
        <v>39.445377696912942</v>
      </c>
      <c r="W11" s="227">
        <f t="shared" si="17"/>
        <v>-0.89251122817172723</v>
      </c>
      <c r="X11" s="227" t="str">
        <f t="shared" si="5"/>
        <v>0.999999999026269-8.43118659758591E-06i</v>
      </c>
      <c r="Y11" s="227" t="str">
        <f t="shared" si="6"/>
        <v>191.647227566732+7.03067342835174i</v>
      </c>
      <c r="Z11" s="227" t="str">
        <f t="shared" si="7"/>
        <v>35.1625718535702+1.28965949643422i</v>
      </c>
      <c r="AA11" s="227" t="str">
        <f t="shared" si="8"/>
        <v>18.5567332076675-0.951400547343759i</v>
      </c>
      <c r="AB11" s="227">
        <f t="shared" si="18"/>
        <v>25.381431345052015</v>
      </c>
      <c r="AC11" s="227">
        <f t="shared" si="19"/>
        <v>-2.934975025299277</v>
      </c>
      <c r="AD11" s="229">
        <f t="shared" si="20"/>
        <v>37.559612121663413</v>
      </c>
      <c r="AE11" s="229">
        <f t="shared" si="21"/>
        <v>98.68007538155787</v>
      </c>
      <c r="AF11" s="227">
        <f t="shared" si="9"/>
        <v>62.941043466715428</v>
      </c>
      <c r="AG11" s="227">
        <f t="shared" si="10"/>
        <v>95.74510035625859</v>
      </c>
      <c r="AH11" s="229" t="str">
        <f t="shared" si="22"/>
        <v>11.3951211929246-74.6410391928661i</v>
      </c>
      <c r="AI11" s="230"/>
    </row>
    <row r="12" spans="2:35" ht="19.5" x14ac:dyDescent="0.35">
      <c r="B12" s="221" t="s">
        <v>133</v>
      </c>
      <c r="C12" s="103">
        <f>Chf</f>
        <v>1.8E-10</v>
      </c>
      <c r="D12" s="220" t="s">
        <v>7</v>
      </c>
      <c r="E12" s="221"/>
      <c r="F12" s="249">
        <f>Chf</f>
        <v>1.8E-10</v>
      </c>
      <c r="G12" s="220" t="s">
        <v>7</v>
      </c>
      <c r="I12" s="227">
        <v>8</v>
      </c>
      <c r="J12" s="227">
        <f t="shared" si="0"/>
        <v>1.0780009802142672</v>
      </c>
      <c r="K12" s="227">
        <f t="shared" si="23"/>
        <v>11.967432323856951</v>
      </c>
      <c r="L12" s="227">
        <f t="shared" si="11"/>
        <v>75.193594941924047</v>
      </c>
      <c r="M12" s="227">
        <f t="shared" si="1"/>
        <v>6571.6063634598349</v>
      </c>
      <c r="N12" s="227">
        <f>SQRT((ABS(AC12)-171.5+'Small Signal'!C$59)^2)</f>
        <v>98.498506855309188</v>
      </c>
      <c r="O12" s="227">
        <f t="shared" si="12"/>
        <v>95.529874781242214</v>
      </c>
      <c r="P12" s="227">
        <f t="shared" si="13"/>
        <v>62.749043233397316</v>
      </c>
      <c r="Q12" s="227">
        <f t="shared" si="14"/>
        <v>11.967432323856951</v>
      </c>
      <c r="R12" s="227" t="str">
        <f t="shared" si="2"/>
        <v>0.0355+0.0000977516734245013i</v>
      </c>
      <c r="S12" s="227" t="str">
        <f t="shared" si="3"/>
        <v>0.018-60.4500230234402i</v>
      </c>
      <c r="T12" s="227" t="str">
        <f t="shared" si="15"/>
        <v>6.32886248741298-0.670031828251096i</v>
      </c>
      <c r="U12" s="227" t="str">
        <f t="shared" si="4"/>
        <v>93.8020262447263-1.49447749281195i</v>
      </c>
      <c r="V12" s="227">
        <f t="shared" si="16"/>
        <v>39.445346654673699</v>
      </c>
      <c r="W12" s="227">
        <f t="shared" si="17"/>
        <v>-0.9127735544194342</v>
      </c>
      <c r="X12" s="227" t="str">
        <f t="shared" si="5"/>
        <v>0.999999998981551-8.62261159286986E-06i</v>
      </c>
      <c r="Y12" s="227" t="str">
        <f t="shared" si="6"/>
        <v>191.652527104328+7.19023056643315i</v>
      </c>
      <c r="Z12" s="227" t="str">
        <f t="shared" si="7"/>
        <v>35.1635446863887+1.3189275744241i</v>
      </c>
      <c r="AA12" s="227" t="str">
        <f t="shared" si="8"/>
        <v>18.5545104192097-0.972885551427101i</v>
      </c>
      <c r="AB12" s="227">
        <f t="shared" si="18"/>
        <v>25.380913730104005</v>
      </c>
      <c r="AC12" s="227">
        <f t="shared" si="19"/>
        <v>-3.0014931446908104</v>
      </c>
      <c r="AD12" s="229">
        <f t="shared" si="20"/>
        <v>37.368129503293311</v>
      </c>
      <c r="AE12" s="229">
        <f t="shared" si="21"/>
        <v>98.531367925933026</v>
      </c>
      <c r="AF12" s="227">
        <f t="shared" si="9"/>
        <v>62.749043233397316</v>
      </c>
      <c r="AG12" s="227">
        <f t="shared" si="10"/>
        <v>95.529874781242214</v>
      </c>
      <c r="AH12" s="229" t="str">
        <f t="shared" si="22"/>
        <v>10.9571223545152-73.0422481837063i</v>
      </c>
      <c r="AI12" s="230"/>
    </row>
    <row r="13" spans="2:35" x14ac:dyDescent="0.2">
      <c r="B13" s="221" t="s">
        <v>35</v>
      </c>
      <c r="C13" s="102">
        <f>fsw</f>
        <v>750000</v>
      </c>
      <c r="D13" s="220" t="s">
        <v>5</v>
      </c>
      <c r="E13" s="221"/>
      <c r="F13" s="249">
        <f>C13</f>
        <v>750000</v>
      </c>
      <c r="G13" s="220" t="s">
        <v>5</v>
      </c>
      <c r="I13" s="227">
        <v>9</v>
      </c>
      <c r="J13" s="227">
        <f t="shared" si="0"/>
        <v>1.0877511027410507</v>
      </c>
      <c r="K13" s="227">
        <f t="shared" si="23"/>
        <v>12.239145640795199</v>
      </c>
      <c r="L13" s="227">
        <f t="shared" si="11"/>
        <v>76.900820062675479</v>
      </c>
      <c r="M13" s="227">
        <f t="shared" si="1"/>
        <v>6571.3284810562782</v>
      </c>
      <c r="N13" s="227">
        <f>SQRT((ABS(AC13)-171.5+'Small Signal'!C$59)^2)</f>
        <v>98.430486734640397</v>
      </c>
      <c r="O13" s="227">
        <f t="shared" si="12"/>
        <v>95.317271444721555</v>
      </c>
      <c r="P13" s="227">
        <f t="shared" si="13"/>
        <v>62.5568722767769</v>
      </c>
      <c r="Q13" s="227">
        <f t="shared" si="14"/>
        <v>12.239145640795199</v>
      </c>
      <c r="R13" s="227" t="str">
        <f t="shared" si="2"/>
        <v>0.0355+0.0000999710660814781i</v>
      </c>
      <c r="S13" s="227" t="str">
        <f t="shared" si="3"/>
        <v>0.018-59.1080113547544i</v>
      </c>
      <c r="T13" s="227" t="str">
        <f t="shared" si="15"/>
        <v>6.32563361609404-0.684893902200878i</v>
      </c>
      <c r="U13" s="227" t="str">
        <f t="shared" si="4"/>
        <v>93.8011289728863-1.52839721387308i</v>
      </c>
      <c r="V13" s="227">
        <f t="shared" si="16"/>
        <v>39.445314187049803</v>
      </c>
      <c r="W13" s="227">
        <f t="shared" si="17"/>
        <v>-0.93349581295844097</v>
      </c>
      <c r="X13" s="227" t="str">
        <f t="shared" si="5"/>
        <v>0.999999998934779-8.81838277696073E-06i</v>
      </c>
      <c r="Y13" s="227" t="str">
        <f t="shared" si="6"/>
        <v>191.658069936771+7.35340547329666i</v>
      </c>
      <c r="Z13" s="227" t="str">
        <f t="shared" si="7"/>
        <v>35.1645621806881+1.34885927055989i</v>
      </c>
      <c r="AA13" s="227" t="str">
        <f t="shared" si="8"/>
        <v>18.5521861176725-0.994850309983777i</v>
      </c>
      <c r="AB13" s="227">
        <f t="shared" si="18"/>
        <v>25.380372410079445</v>
      </c>
      <c r="AC13" s="227">
        <f t="shared" si="19"/>
        <v>-3.0695132653596167</v>
      </c>
      <c r="AD13" s="229">
        <f t="shared" si="20"/>
        <v>37.176499866697455</v>
      </c>
      <c r="AE13" s="229">
        <f t="shared" si="21"/>
        <v>98.386784710081173</v>
      </c>
      <c r="AF13" s="227">
        <f t="shared" si="9"/>
        <v>62.5568722767769</v>
      </c>
      <c r="AG13" s="227">
        <f t="shared" si="10"/>
        <v>95.317271444721555</v>
      </c>
      <c r="AH13" s="229" t="str">
        <f t="shared" si="22"/>
        <v>10.5377008256189-71.4752423654159i</v>
      </c>
      <c r="AI13" s="230"/>
    </row>
    <row r="14" spans="2:35" x14ac:dyDescent="0.2">
      <c r="B14" s="221" t="s">
        <v>59</v>
      </c>
      <c r="C14" s="103">
        <f>L</f>
        <v>1.3E-6</v>
      </c>
      <c r="D14" s="220" t="s">
        <v>6</v>
      </c>
      <c r="E14" s="221"/>
      <c r="F14" s="249">
        <f>L</f>
        <v>1.3E-6</v>
      </c>
      <c r="G14" s="220" t="s">
        <v>6</v>
      </c>
      <c r="I14" s="227">
        <v>10</v>
      </c>
      <c r="J14" s="227">
        <f t="shared" si="0"/>
        <v>1.097501225267834</v>
      </c>
      <c r="K14" s="227">
        <f t="shared" si="23"/>
        <v>12.517028044351497</v>
      </c>
      <c r="L14" s="227">
        <f t="shared" si="11"/>
        <v>78.646806697824147</v>
      </c>
      <c r="M14" s="227">
        <f t="shared" si="1"/>
        <v>6571.0442895007218</v>
      </c>
      <c r="N14" s="227">
        <f>SQRT((ABS(AC14)-171.5+'Small Signal'!C$59)^2)</f>
        <v>98.360931083418365</v>
      </c>
      <c r="O14" s="227">
        <f t="shared" si="12"/>
        <v>95.107195125095629</v>
      </c>
      <c r="P14" s="227">
        <f t="shared" si="13"/>
        <v>62.364535978002181</v>
      </c>
      <c r="Q14" s="227">
        <f t="shared" si="14"/>
        <v>12.517028044351497</v>
      </c>
      <c r="R14" s="227" t="str">
        <f t="shared" si="2"/>
        <v>0.0355+0.000102240848707171i</v>
      </c>
      <c r="S14" s="227" t="str">
        <f t="shared" si="3"/>
        <v>0.018-57.7957928148188i</v>
      </c>
      <c r="T14" s="227" t="str">
        <f t="shared" si="15"/>
        <v>6.3222599943705-0.700069376563611i</v>
      </c>
      <c r="U14" s="227" t="str">
        <f t="shared" si="4"/>
        <v>93.8001905081414-1.56308626155569i</v>
      </c>
      <c r="V14" s="227">
        <f t="shared" si="16"/>
        <v>39.445280228600915</v>
      </c>
      <c r="W14" s="227">
        <f t="shared" si="17"/>
        <v>-0.95468843850121377</v>
      </c>
      <c r="X14" s="227" t="str">
        <f t="shared" si="5"/>
        <v>0.99999999888586-9.01859882744823E-06i</v>
      </c>
      <c r="Y14" s="227" t="str">
        <f t="shared" si="6"/>
        <v>191.663867229443+7.52027994835224i</v>
      </c>
      <c r="Z14" s="227" t="str">
        <f t="shared" si="7"/>
        <v>35.1656263860903+1.37946958949658i</v>
      </c>
      <c r="AA14" s="227" t="str">
        <f t="shared" si="8"/>
        <v>18.5497556941713-1.01730515830609i</v>
      </c>
      <c r="AB14" s="227">
        <f t="shared" si="18"/>
        <v>25.379806302524468</v>
      </c>
      <c r="AC14" s="227">
        <f t="shared" si="19"/>
        <v>-3.1390689165816261</v>
      </c>
      <c r="AD14" s="229">
        <f t="shared" si="20"/>
        <v>36.984729675477716</v>
      </c>
      <c r="AE14" s="229">
        <f t="shared" si="21"/>
        <v>98.24626404167725</v>
      </c>
      <c r="AF14" s="227">
        <f t="shared" si="9"/>
        <v>62.364535978002181</v>
      </c>
      <c r="AG14" s="227">
        <f t="shared" si="10"/>
        <v>95.107195125095629</v>
      </c>
      <c r="AH14" s="229" t="str">
        <f t="shared" si="22"/>
        <v>10.1360957387161-69.9395488186505i</v>
      </c>
    </row>
    <row r="15" spans="2:35" x14ac:dyDescent="0.2">
      <c r="B15" s="221" t="s">
        <v>27</v>
      </c>
      <c r="C15" s="102">
        <f>DCR</f>
        <v>4.0000000000000001E-3</v>
      </c>
      <c r="D15" s="220" t="s">
        <v>29</v>
      </c>
      <c r="E15" s="221"/>
      <c r="F15" s="247">
        <f>DCR</f>
        <v>4.0000000000000001E-3</v>
      </c>
      <c r="G15" s="220" t="s">
        <v>29</v>
      </c>
      <c r="I15" s="227">
        <v>11</v>
      </c>
      <c r="J15" s="227">
        <f t="shared" si="0"/>
        <v>1.1072513477946173</v>
      </c>
      <c r="K15" s="227">
        <f t="shared" si="23"/>
        <v>12.801219599908473</v>
      </c>
      <c r="L15" s="227">
        <f t="shared" si="11"/>
        <v>80.432434904124264</v>
      </c>
      <c r="M15" s="227">
        <f t="shared" si="1"/>
        <v>6570.7536455476811</v>
      </c>
      <c r="N15" s="227">
        <f>SQRT((ABS(AC15)-171.5+'Small Signal'!C$59)^2)</f>
        <v>98.289805650749145</v>
      </c>
      <c r="O15" s="227">
        <f t="shared" si="12"/>
        <v>94.89955121836843</v>
      </c>
      <c r="P15" s="227">
        <f t="shared" si="13"/>
        <v>62.172039414020318</v>
      </c>
      <c r="Q15" s="227">
        <f t="shared" si="14"/>
        <v>12.801219599908473</v>
      </c>
      <c r="R15" s="227" t="str">
        <f t="shared" si="2"/>
        <v>0.0355+0.000104562165375362i</v>
      </c>
      <c r="S15" s="227" t="str">
        <f t="shared" si="3"/>
        <v>0.018-56.5127059857476i</v>
      </c>
      <c r="T15" s="227" t="str">
        <f t="shared" si="15"/>
        <v>6.31873530045157-0.715563738329866i</v>
      </c>
      <c r="U15" s="227" t="str">
        <f t="shared" si="4"/>
        <v>93.7992089600204-1.5985620472297i</v>
      </c>
      <c r="V15" s="227">
        <f t="shared" si="16"/>
        <v>39.445244710883351</v>
      </c>
      <c r="W15" s="227">
        <f t="shared" si="17"/>
        <v>-0.97636210213279873</v>
      </c>
      <c r="X15" s="227" t="str">
        <f t="shared" si="5"/>
        <v>0.999999998834693-0.0000092233606623371i</v>
      </c>
      <c r="Y15" s="227" t="str">
        <f t="shared" si="6"/>
        <v>191.669930659759+7.6909376245535i</v>
      </c>
      <c r="Z15" s="227" t="str">
        <f t="shared" si="7"/>
        <v>35.1667394462106+1.41077387221646i</v>
      </c>
      <c r="AA15" s="227" t="str">
        <f t="shared" si="8"/>
        <v>18.5472143331116-1.04026062794231i</v>
      </c>
      <c r="AB15" s="227">
        <f t="shared" si="18"/>
        <v>25.379214275853052</v>
      </c>
      <c r="AC15" s="227">
        <f t="shared" si="19"/>
        <v>-3.2101943492508411</v>
      </c>
      <c r="AD15" s="229">
        <f t="shared" si="20"/>
        <v>36.792825138167267</v>
      </c>
      <c r="AE15" s="229">
        <f t="shared" si="21"/>
        <v>98.109745567619271</v>
      </c>
      <c r="AF15" s="227">
        <f t="shared" si="9"/>
        <v>62.172039414020318</v>
      </c>
      <c r="AG15" s="227">
        <f t="shared" si="10"/>
        <v>94.89955121836843</v>
      </c>
      <c r="AH15" s="229" t="str">
        <f t="shared" si="22"/>
        <v>9.75157509511616-68.4346908815362i</v>
      </c>
    </row>
    <row r="16" spans="2:35" x14ac:dyDescent="0.2">
      <c r="B16" s="221" t="s">
        <v>56</v>
      </c>
      <c r="C16" s="102">
        <f>Rdson_ls</f>
        <v>5.8999999999999999E-3</v>
      </c>
      <c r="D16" s="220" t="s">
        <v>29</v>
      </c>
      <c r="E16" s="221"/>
      <c r="F16" s="247">
        <f>Rdsonss</f>
        <v>5.8999999999999999E-3</v>
      </c>
      <c r="G16" s="220" t="s">
        <v>29</v>
      </c>
      <c r="I16" s="227">
        <v>12</v>
      </c>
      <c r="J16" s="227">
        <f t="shared" si="0"/>
        <v>1.1170014703214008</v>
      </c>
      <c r="K16" s="227">
        <f t="shared" si="23"/>
        <v>13.091863552948606</v>
      </c>
      <c r="L16" s="227">
        <f t="shared" si="11"/>
        <v>82.258604719486613</v>
      </c>
      <c r="M16" s="227">
        <f t="shared" si="1"/>
        <v>6570.456402699373</v>
      </c>
      <c r="N16" s="227">
        <f>SQRT((ABS(AC16)-171.5+'Small Signal'!C$59)^2)</f>
        <v>98.217075450468286</v>
      </c>
      <c r="O16" s="227">
        <f t="shared" si="12"/>
        <v>94.694245737538282</v>
      </c>
      <c r="P16" s="227">
        <f t="shared" si="13"/>
        <v>61.979387365533292</v>
      </c>
      <c r="Q16" s="227">
        <f t="shared" si="14"/>
        <v>13.091863552948606</v>
      </c>
      <c r="R16" s="227" t="str">
        <f t="shared" si="2"/>
        <v>0.0355+0.000106936186135333i</v>
      </c>
      <c r="S16" s="227" t="str">
        <f t="shared" si="3"/>
        <v>0.018-55.258104133363i</v>
      </c>
      <c r="T16" s="227" t="str">
        <f t="shared" si="15"/>
        <v>6.3150529519522-0.731382490939064i</v>
      </c>
      <c r="U16" s="227" t="str">
        <f t="shared" si="4"/>
        <v>93.7981823513541-1.63484237369963i</v>
      </c>
      <c r="V16" s="227">
        <f t="shared" si="16"/>
        <v>39.44520756231222</v>
      </c>
      <c r="W16" s="227">
        <f t="shared" si="17"/>
        <v>-0.99852771663977868</v>
      </c>
      <c r="X16" s="227" t="str">
        <f t="shared" si="5"/>
        <v>0.999999998781178-9.43277149091437E-06i</v>
      </c>
      <c r="Y16" s="227" t="str">
        <f t="shared" si="6"/>
        <v>191.676272440613+7.86546400838006i</v>
      </c>
      <c r="Z16" s="227" t="str">
        <f t="shared" si="7"/>
        <v>35.167903602962+1.44278780336276i</v>
      </c>
      <c r="AA16" s="227" t="str">
        <f t="shared" si="8"/>
        <v>18.5445570031553-1.06372744852689i</v>
      </c>
      <c r="AB16" s="227">
        <f t="shared" si="18"/>
        <v>25.378595147144182</v>
      </c>
      <c r="AC16" s="227">
        <f t="shared" si="19"/>
        <v>-3.2829245495317041</v>
      </c>
      <c r="AD16" s="229">
        <f t="shared" si="20"/>
        <v>36.60079221838911</v>
      </c>
      <c r="AE16" s="229">
        <f t="shared" si="21"/>
        <v>97.977170287069981</v>
      </c>
      <c r="AF16" s="227">
        <f t="shared" si="9"/>
        <v>61.979387365533292</v>
      </c>
      <c r="AG16" s="227">
        <f t="shared" si="10"/>
        <v>94.694245737538282</v>
      </c>
      <c r="AH16" s="229" t="str">
        <f t="shared" si="22"/>
        <v>9.38343486649279-66.9601890666765i</v>
      </c>
    </row>
    <row r="17" spans="2:34" x14ac:dyDescent="0.2">
      <c r="B17" s="221" t="s">
        <v>137</v>
      </c>
      <c r="C17" s="103">
        <f>Co</f>
        <v>2.2000000000000001E-4</v>
      </c>
      <c r="D17" s="220" t="s">
        <v>7</v>
      </c>
      <c r="E17" s="221"/>
      <c r="F17" s="249">
        <f>Co</f>
        <v>2.2000000000000001E-4</v>
      </c>
      <c r="G17" s="220" t="s">
        <v>7</v>
      </c>
      <c r="I17" s="227">
        <v>13</v>
      </c>
      <c r="J17" s="227">
        <f t="shared" si="0"/>
        <v>1.1267515928481842</v>
      </c>
      <c r="K17" s="227">
        <f t="shared" si="23"/>
        <v>13.38910640125644</v>
      </c>
      <c r="L17" s="227">
        <f t="shared" si="11"/>
        <v>84.126236616638607</v>
      </c>
      <c r="M17" s="227">
        <f t="shared" si="1"/>
        <v>6570.1524111318695</v>
      </c>
      <c r="N17" s="227">
        <f>SQRT((ABS(AC17)-171.5+'Small Signal'!C$59)^2)</f>
        <v>98.142704747364661</v>
      </c>
      <c r="O17" s="227">
        <f t="shared" si="12"/>
        <v>94.491185309947625</v>
      </c>
      <c r="P17" s="227">
        <f t="shared" si="13"/>
        <v>61.786584324557623</v>
      </c>
      <c r="Q17" s="227">
        <f t="shared" si="14"/>
        <v>13.38910640125644</v>
      </c>
      <c r="R17" s="227" t="str">
        <f t="shared" si="2"/>
        <v>0.0355+0.00010936410760163i</v>
      </c>
      <c r="S17" s="227" t="str">
        <f t="shared" si="3"/>
        <v>0.018-54.0313548812136i</v>
      </c>
      <c r="T17" s="227" t="str">
        <f t="shared" si="15"/>
        <v>6.31120609659519-0.747531147733468i</v>
      </c>
      <c r="U17" s="227" t="str">
        <f t="shared" si="4"/>
        <v>93.7971086143041-1.67194544382174i</v>
      </c>
      <c r="V17" s="227">
        <f t="shared" si="16"/>
        <v>39.445168708017214</v>
      </c>
      <c r="W17" s="227">
        <f t="shared" si="17"/>
        <v>-1.0211964419575874</v>
      </c>
      <c r="X17" s="227" t="str">
        <f t="shared" si="5"/>
        <v>0.999999998725204-9.64693686577155E-06i</v>
      </c>
      <c r="Y17" s="227" t="str">
        <f t="shared" si="6"/>
        <v>191.682905344892+8.04394652061383i</v>
      </c>
      <c r="Z17" s="227" t="str">
        <f t="shared" si="7"/>
        <v>35.1691212010547+1.47552741871901i</v>
      </c>
      <c r="AA17" s="227" t="str">
        <f t="shared" si="8"/>
        <v>18.5417784478168-1.08771654947548i</v>
      </c>
      <c r="AB17" s="227">
        <f t="shared" si="18"/>
        <v>25.377947679843889</v>
      </c>
      <c r="AC17" s="227">
        <f t="shared" si="19"/>
        <v>-3.3572952526353439</v>
      </c>
      <c r="AD17" s="229">
        <f t="shared" si="20"/>
        <v>36.408636644713738</v>
      </c>
      <c r="AE17" s="229">
        <f t="shared" si="21"/>
        <v>97.848480562582964</v>
      </c>
      <c r="AF17" s="227">
        <f t="shared" si="9"/>
        <v>61.786584324557623</v>
      </c>
      <c r="AG17" s="227">
        <f t="shared" si="10"/>
        <v>94.491185309947625</v>
      </c>
      <c r="AH17" s="229" t="str">
        <f t="shared" si="22"/>
        <v>9.03099810669145-65.5155619129306i</v>
      </c>
    </row>
    <row r="18" spans="2:34" x14ac:dyDescent="0.2">
      <c r="B18" s="221" t="s">
        <v>271</v>
      </c>
      <c r="C18" s="104">
        <f>Co_esr</f>
        <v>1.7999999999999999E-2</v>
      </c>
      <c r="D18" s="220" t="s">
        <v>29</v>
      </c>
      <c r="E18" s="221"/>
      <c r="F18" s="250">
        <f>Co_esr</f>
        <v>1.7999999999999999E-2</v>
      </c>
      <c r="G18" s="220" t="s">
        <v>29</v>
      </c>
      <c r="I18" s="227">
        <v>14</v>
      </c>
      <c r="J18" s="227">
        <f t="shared" si="0"/>
        <v>1.1365017153749677</v>
      </c>
      <c r="K18" s="227">
        <f t="shared" si="23"/>
        <v>13.693097968760206</v>
      </c>
      <c r="L18" s="227">
        <f t="shared" si="11"/>
        <v>86.036271967084758</v>
      </c>
      <c r="M18" s="227">
        <f t="shared" si="1"/>
        <v>6569.8415176195804</v>
      </c>
      <c r="N18" s="227">
        <f>SQRT((ABS(AC18)-171.5+'Small Signal'!C$59)^2)</f>
        <v>98.066657043291201</v>
      </c>
      <c r="O18" s="227">
        <f t="shared" si="12"/>
        <v>94.290277172751033</v>
      </c>
      <c r="P18" s="227">
        <f t="shared" si="13"/>
        <v>61.593634501586656</v>
      </c>
      <c r="Q18" s="227">
        <f t="shared" si="14"/>
        <v>13.693097968760206</v>
      </c>
      <c r="R18" s="227" t="str">
        <f t="shared" si="2"/>
        <v>0.0355+0.00011184715355721i</v>
      </c>
      <c r="S18" s="227" t="str">
        <f t="shared" si="3"/>
        <v>0.018-52.8318398918253i</v>
      </c>
      <c r="T18" s="227" t="str">
        <f t="shared" si="15"/>
        <v>6.3071876027196-0.764015224851179i</v>
      </c>
      <c r="U18" s="227" t="str">
        <f t="shared" si="4"/>
        <v>93.7959855862143-1.70988986929849i</v>
      </c>
      <c r="V18" s="227">
        <f t="shared" si="16"/>
        <v>39.445128069692295</v>
      </c>
      <c r="W18" s="227">
        <f t="shared" si="17"/>
        <v>-1.0443796907389282</v>
      </c>
      <c r="X18" s="227" t="str">
        <f t="shared" si="5"/>
        <v>0.99999999866666-9.86596473600796E-06i</v>
      </c>
      <c r="Y18" s="227" t="str">
        <f t="shared" si="6"/>
        <v>191.689842731126+8.22647453791785i</v>
      </c>
      <c r="Z18" s="227" t="str">
        <f t="shared" si="7"/>
        <v>35.1703946927054+1.50900911283552i</v>
      </c>
      <c r="AA18" s="227" t="str">
        <f t="shared" si="8"/>
        <v>18.5388731756708-1.11223906152937i</v>
      </c>
      <c r="AB18" s="227">
        <f t="shared" si="18"/>
        <v>25.37727058136587</v>
      </c>
      <c r="AC18" s="227">
        <f t="shared" si="19"/>
        <v>-3.4333429567087945</v>
      </c>
      <c r="AD18" s="229">
        <f t="shared" si="20"/>
        <v>36.216363920220786</v>
      </c>
      <c r="AE18" s="229">
        <f t="shared" si="21"/>
        <v>97.723620129459832</v>
      </c>
      <c r="AF18" s="227">
        <f t="shared" si="9"/>
        <v>61.593634501586656</v>
      </c>
      <c r="AG18" s="227">
        <f t="shared" si="10"/>
        <v>94.290277172751033</v>
      </c>
      <c r="AH18" s="229" t="str">
        <f t="shared" si="22"/>
        <v>8.69361407555952-64.1003267754053i</v>
      </c>
    </row>
    <row r="19" spans="2:34" x14ac:dyDescent="0.2">
      <c r="B19" s="221" t="s">
        <v>183</v>
      </c>
      <c r="C19" s="104">
        <f>Rsense</f>
        <v>1.92E-3</v>
      </c>
      <c r="D19" s="220" t="s">
        <v>29</v>
      </c>
      <c r="E19" s="221"/>
      <c r="F19" s="250">
        <f>C19</f>
        <v>1.92E-3</v>
      </c>
      <c r="G19" s="220" t="s">
        <v>29</v>
      </c>
      <c r="I19" s="227">
        <v>15</v>
      </c>
      <c r="J19" s="227">
        <f t="shared" si="0"/>
        <v>1.146251837901751</v>
      </c>
      <c r="K19" s="227">
        <f t="shared" si="23"/>
        <v>14.003991481049821</v>
      </c>
      <c r="L19" s="227">
        <f t="shared" si="11"/>
        <v>87.98967351560033</v>
      </c>
      <c r="M19" s="227">
        <f>SQRT((Fco_target-K20)^2)</f>
        <v>6569.5235654580201</v>
      </c>
      <c r="N19" s="227">
        <f>SQRT((ABS(AC19)-171.5+'Small Signal'!C$59)^2)</f>
        <v>97.98889506317235</v>
      </c>
      <c r="O19" s="227">
        <f t="shared" si="12"/>
        <v>94.091429166652333</v>
      </c>
      <c r="P19" s="227">
        <f t="shared" si="13"/>
        <v>61.400541832358961</v>
      </c>
      <c r="Q19" s="227">
        <f t="shared" si="14"/>
        <v>14.003991481049821</v>
      </c>
      <c r="R19" s="227" t="str">
        <f t="shared" si="2"/>
        <v>0.0355+0.00011438657557028i</v>
      </c>
      <c r="S19" s="227" t="str">
        <f t="shared" si="3"/>
        <v>0.018-51.6589545550324i</v>
      </c>
      <c r="T19" s="227" t="str">
        <f t="shared" si="15"/>
        <v>6.30299004960658-0.780840233524345i</v>
      </c>
      <c r="U19" s="227" t="str">
        <f t="shared" si="4"/>
        <v>93.7948110052651-1.74869467965187i</v>
      </c>
      <c r="V19" s="227">
        <f t="shared" si="16"/>
        <v>39.445085565437616</v>
      </c>
      <c r="W19" s="227">
        <f t="shared" si="17"/>
        <v>-1.0680891340452661</v>
      </c>
      <c r="X19" s="227" t="str">
        <f t="shared" si="5"/>
        <v>0.999999998605427-0.0000100899655016419i</v>
      </c>
      <c r="Y19" s="227" t="str">
        <f t="shared" si="6"/>
        <v>191.697098570269+8.41313943522903i</v>
      </c>
      <c r="Z19" s="227" t="str">
        <f t="shared" si="7"/>
        <v>35.1717266425525+1.54324964680512i</v>
      </c>
      <c r="AA19" s="227" t="str">
        <f t="shared" si="8"/>
        <v>18.5358354501647-1.13730631813436i</v>
      </c>
      <c r="AB19" s="227">
        <f t="shared" si="18"/>
        <v>25.376562500589593</v>
      </c>
      <c r="AC19" s="227">
        <f t="shared" si="19"/>
        <v>-3.5111049368276586</v>
      </c>
      <c r="AD19" s="229">
        <f t="shared" si="20"/>
        <v>36.023979331769368</v>
      </c>
      <c r="AE19" s="229">
        <f t="shared" si="21"/>
        <v>97.602534103479996</v>
      </c>
      <c r="AF19" s="227">
        <f t="shared" si="9"/>
        <v>61.400541832358961</v>
      </c>
      <c r="AG19" s="227">
        <f t="shared" si="10"/>
        <v>94.091429166652333</v>
      </c>
      <c r="AH19" s="229" t="str">
        <f t="shared" si="22"/>
        <v>8.37065737632141-62.7140005569784i</v>
      </c>
    </row>
    <row r="20" spans="2:34" ht="15" x14ac:dyDescent="0.25">
      <c r="B20" s="220"/>
      <c r="C20" s="267"/>
      <c r="D20" s="267"/>
      <c r="I20" s="227">
        <v>16</v>
      </c>
      <c r="J20" s="227">
        <f t="shared" si="0"/>
        <v>1.1560019604285343</v>
      </c>
      <c r="K20" s="227">
        <f t="shared" si="23"/>
        <v>14.321943642609622</v>
      </c>
      <c r="L20" s="227">
        <f t="shared" si="11"/>
        <v>89.987425865498864</v>
      </c>
      <c r="M20" s="227">
        <f>SQRT((Fco_target-K21)^2)</f>
        <v>6569.1983943848254</v>
      </c>
      <c r="N20" s="227">
        <f>SQRT((ABS(AC20)-171.5+'Small Signal'!C$59)^2)</f>
        <v>97.909380740921449</v>
      </c>
      <c r="O20" s="227">
        <f t="shared" si="12"/>
        <v>93.894549728057484</v>
      </c>
      <c r="P20" s="227">
        <f t="shared" si="13"/>
        <v>61.207309984231458</v>
      </c>
      <c r="Q20" s="227">
        <f t="shared" si="14"/>
        <v>14.321943642609622</v>
      </c>
      <c r="R20" s="227" t="str">
        <f t="shared" si="2"/>
        <v>0.0355+0.000116983653625149i</v>
      </c>
      <c r="S20" s="227" t="str">
        <f t="shared" si="3"/>
        <v>0.018-50.5121076832275i</v>
      </c>
      <c r="T20" s="227" t="str">
        <f t="shared" si="15"/>
        <v>6.29860571763518-0.798011671747509i</v>
      </c>
      <c r="U20" s="227" t="str">
        <f t="shared" si="4"/>
        <v>93.793582505939-1.78837933137959i</v>
      </c>
      <c r="V20" s="227">
        <f t="shared" si="16"/>
        <v>39.445041109595216</v>
      </c>
      <c r="W20" s="227">
        <f t="shared" si="17"/>
        <v>-1.0923367071645946</v>
      </c>
      <c r="X20" s="227" t="str">
        <f t="shared" si="5"/>
        <v>0.999999998541383-0.0000103190520692574i</v>
      </c>
      <c r="Y20" s="227" t="str">
        <f t="shared" si="6"/>
        <v>191.704687473746+8.60403462897222i</v>
      </c>
      <c r="Z20" s="227" t="str">
        <f t="shared" si="7"/>
        <v>35.1731197328058+1.57826615618955i</v>
      </c>
      <c r="AA20" s="227" t="str">
        <f t="shared" si="8"/>
        <v>18.5326592790154-1.16292985663619i</v>
      </c>
      <c r="AB20" s="227">
        <f t="shared" si="18"/>
        <v>25.375822025248564</v>
      </c>
      <c r="AC20" s="227">
        <f t="shared" si="19"/>
        <v>-3.5906192590785384</v>
      </c>
      <c r="AD20" s="229">
        <f t="shared" si="20"/>
        <v>35.831487958982898</v>
      </c>
      <c r="AE20" s="229">
        <f t="shared" si="21"/>
        <v>97.485168987136021</v>
      </c>
      <c r="AF20" s="227">
        <f t="shared" si="9"/>
        <v>61.207309984231458</v>
      </c>
      <c r="AG20" s="227">
        <f t="shared" si="10"/>
        <v>93.894549728057484</v>
      </c>
      <c r="AH20" s="229" t="str">
        <f t="shared" si="22"/>
        <v>8.06152710780934-61.3561003845576i</v>
      </c>
    </row>
    <row r="21" spans="2:34" ht="15" x14ac:dyDescent="0.25">
      <c r="E21" s="269" t="s">
        <v>272</v>
      </c>
      <c r="F21" s="269"/>
      <c r="G21" s="269"/>
      <c r="I21" s="227">
        <v>17</v>
      </c>
      <c r="J21" s="227">
        <f t="shared" si="0"/>
        <v>1.1657520829553178</v>
      </c>
      <c r="K21" s="227">
        <f t="shared" si="23"/>
        <v>14.647114715804539</v>
      </c>
      <c r="L21" s="227">
        <f t="shared" si="11"/>
        <v>92.030535974916987</v>
      </c>
      <c r="M21" s="227">
        <f t="shared" si="1"/>
        <v>6568.8658404989701</v>
      </c>
      <c r="N21" s="227">
        <f>SQRT((ABS(AC21)-171.5+'Small Signal'!C$59)^2)</f>
        <v>97.828075205280157</v>
      </c>
      <c r="O21" s="227">
        <f t="shared" si="12"/>
        <v>93.699547879780496</v>
      </c>
      <c r="P21" s="227">
        <f t="shared" si="13"/>
        <v>61.013942362160662</v>
      </c>
      <c r="Q21" s="227">
        <f t="shared" si="14"/>
        <v>14.647114715804539</v>
      </c>
      <c r="R21" s="227" t="str">
        <f t="shared" si="2"/>
        <v>0.0355+0.000119639696767392i</v>
      </c>
      <c r="S21" s="227" t="str">
        <f t="shared" si="3"/>
        <v>0.018-49.3907212133745i</v>
      </c>
      <c r="T21" s="227" t="str">
        <f t="shared" si="15"/>
        <v>6.29402657828275-0.815535015279577i</v>
      </c>
      <c r="U21" s="227" t="str">
        <f t="shared" si="4"/>
        <v>93.7922976142719-1.82896371729592i</v>
      </c>
      <c r="V21" s="227">
        <f t="shared" si="16"/>
        <v>39.444994612576409</v>
      </c>
      <c r="W21" s="227">
        <f t="shared" si="17"/>
        <v>-1.1171346155577777</v>
      </c>
      <c r="X21" s="227" t="str">
        <f t="shared" si="5"/>
        <v>0.999999998474397-0.0000105533399089143i</v>
      </c>
      <c r="Y21" s="227" t="str">
        <f t="shared" si="6"/>
        <v>191.712624722755+8.79925562110633i</v>
      </c>
      <c r="Z21" s="227" t="str">
        <f t="shared" si="7"/>
        <v>35.1745767686243+1.61407615909841i</v>
      </c>
      <c r="AA21" s="227" t="str">
        <f t="shared" si="8"/>
        <v>18.5293384031813-1.18912141927526i</v>
      </c>
      <c r="AB21" s="227">
        <f t="shared" si="18"/>
        <v>25.375047679206677</v>
      </c>
      <c r="AC21" s="227">
        <f t="shared" si="19"/>
        <v>-3.6719247947198479</v>
      </c>
      <c r="AD21" s="229">
        <f t="shared" si="20"/>
        <v>35.638894682953982</v>
      </c>
      <c r="AE21" s="229">
        <f t="shared" si="21"/>
        <v>97.371472674500339</v>
      </c>
      <c r="AF21" s="227">
        <f t="shared" si="9"/>
        <v>61.013942362160662</v>
      </c>
      <c r="AG21" s="227">
        <f t="shared" si="10"/>
        <v>93.699547879780496</v>
      </c>
      <c r="AH21" s="229" t="str">
        <f t="shared" si="22"/>
        <v>7.76564603266682-60.0261442331515i</v>
      </c>
    </row>
    <row r="22" spans="2:34" x14ac:dyDescent="0.2">
      <c r="E22" s="223" t="s">
        <v>28</v>
      </c>
      <c r="F22" s="251">
        <f>VLOOKUP(MIN('Small Signal'!P4:P504),'Small Signal'!P4:Q504,2,FALSE)</f>
        <v>5617.3896863874743</v>
      </c>
      <c r="I22" s="227">
        <v>18</v>
      </c>
      <c r="J22" s="227">
        <f t="shared" si="0"/>
        <v>1.1755022054821012</v>
      </c>
      <c r="K22" s="227">
        <f t="shared" si="23"/>
        <v>14.979668601659609</v>
      </c>
      <c r="L22" s="227">
        <f t="shared" si="11"/>
        <v>94.120033664367043</v>
      </c>
      <c r="M22" s="227">
        <f t="shared" si="1"/>
        <v>6568.525736178156</v>
      </c>
      <c r="N22" s="227">
        <f>SQRT((ABS(AC22)-171.5+'Small Signal'!C$59)^2)</f>
        <v>97.744938765593957</v>
      </c>
      <c r="O22" s="227">
        <f t="shared" si="12"/>
        <v>93.506333220436147</v>
      </c>
      <c r="P22" s="227">
        <f t="shared" si="13"/>
        <v>60.820442114293293</v>
      </c>
      <c r="Q22" s="227">
        <f t="shared" si="14"/>
        <v>14.979668601659609</v>
      </c>
      <c r="R22" s="227" t="str">
        <f t="shared" si="2"/>
        <v>0.0355+0.000122356043763677i</v>
      </c>
      <c r="S22" s="227" t="str">
        <f t="shared" si="3"/>
        <v>0.018-48.294229915638i</v>
      </c>
      <c r="T22" s="227" t="str">
        <f t="shared" si="15"/>
        <v>6.2892442839877-0.833415707941543i</v>
      </c>
      <c r="U22" s="227" t="str">
        <f t="shared" si="4"/>
        <v>93.7909537428914-1.87046817606015i</v>
      </c>
      <c r="V22" s="227">
        <f t="shared" si="16"/>
        <v>39.444945980681695</v>
      </c>
      <c r="W22" s="227">
        <f t="shared" si="17"/>
        <v>-1.1424953409362515</v>
      </c>
      <c r="X22" s="227" t="str">
        <f t="shared" si="5"/>
        <v>0.999999998404334-0.0000107929471123502i</v>
      </c>
      <c r="Y22" s="227" t="str">
        <f t="shared" si="6"/>
        <v>191.720926298898+8.99890004401082i</v>
      </c>
      <c r="Z22" s="227" t="str">
        <f t="shared" si="7"/>
        <v>35.1761006837399+1.6506975644223i</v>
      </c>
      <c r="AA22" s="227" t="str">
        <f t="shared" si="8"/>
        <v>18.5258662853936-1.21589295396096i</v>
      </c>
      <c r="AB22" s="227">
        <f t="shared" si="18"/>
        <v>25.374237919617144</v>
      </c>
      <c r="AC22" s="227">
        <f t="shared" si="19"/>
        <v>-3.7550612344060528</v>
      </c>
      <c r="AD22" s="229">
        <f t="shared" si="20"/>
        <v>35.446204194676149</v>
      </c>
      <c r="AE22" s="229">
        <f t="shared" si="21"/>
        <v>97.261394454842204</v>
      </c>
      <c r="AF22" s="227">
        <f t="shared" si="9"/>
        <v>60.820442114293293</v>
      </c>
      <c r="AG22" s="227">
        <f t="shared" si="10"/>
        <v>93.506333220436147</v>
      </c>
      <c r="AH22" s="229" t="str">
        <f t="shared" si="22"/>
        <v>7.48245976246592-58.7236515007148i</v>
      </c>
    </row>
    <row r="23" spans="2:34" x14ac:dyDescent="0.2">
      <c r="E23" s="223" t="s">
        <v>22</v>
      </c>
      <c r="F23" s="252">
        <f>VLOOKUP(MIN('Small Signal'!P4:P504),'Small Signal'!P4:AG504,18,FALSE)</f>
        <v>70.303803338964613</v>
      </c>
      <c r="I23" s="227">
        <v>19</v>
      </c>
      <c r="J23" s="227">
        <f t="shared" si="0"/>
        <v>1.1852523280088847</v>
      </c>
      <c r="K23" s="227">
        <f t="shared" si="23"/>
        <v>15.319772922473584</v>
      </c>
      <c r="L23" s="227">
        <f t="shared" si="11"/>
        <v>96.256972135813697</v>
      </c>
      <c r="M23" s="227">
        <f t="shared" si="1"/>
        <v>6568.1779099943215</v>
      </c>
      <c r="N23" s="227">
        <f>SQRT((ABS(AC23)-171.5+'Small Signal'!C$59)^2)</f>
        <v>97.659930897542239</v>
      </c>
      <c r="O23" s="227">
        <f t="shared" si="12"/>
        <v>93.314815912649465</v>
      </c>
      <c r="P23" s="227">
        <f t="shared" si="13"/>
        <v>60.626812137167498</v>
      </c>
      <c r="Q23" s="227">
        <f t="shared" si="14"/>
        <v>15.319772922473584</v>
      </c>
      <c r="R23" s="227" t="str">
        <f t="shared" si="2"/>
        <v>0.0355+0.000125134063776558i</v>
      </c>
      <c r="S23" s="227" t="str">
        <f t="shared" si="3"/>
        <v>0.018-47.2220811084847i</v>
      </c>
      <c r="T23" s="227" t="str">
        <f t="shared" si="15"/>
        <v>6.28425015789422-0.85165915117068i</v>
      </c>
      <c r="U23" s="227" t="str">
        <f t="shared" si="4"/>
        <v>93.7895481858268-1.91291350189485i</v>
      </c>
      <c r="V23" s="227">
        <f t="shared" si="16"/>
        <v>39.444895115912161</v>
      </c>
      <c r="W23" s="227">
        <f t="shared" si="17"/>
        <v>-1.1684316474736507</v>
      </c>
      <c r="X23" s="227" t="str">
        <f t="shared" si="5"/>
        <v>0.999999998331055-0.0000110379944525044i</v>
      </c>
      <c r="Y23" s="227" t="str">
        <f t="shared" si="6"/>
        <v>191.729608916233+9.20306770621821i</v>
      </c>
      <c r="Z23" s="227" t="str">
        <f t="shared" si="7"/>
        <v>35.1776945463411+1.68814868022096i</v>
      </c>
      <c r="AA23" s="227" t="str">
        <f t="shared" si="8"/>
        <v>18.5222360982313-1.24325661480421i</v>
      </c>
      <c r="AB23" s="227">
        <f t="shared" si="18"/>
        <v>25.373391133958769</v>
      </c>
      <c r="AC23" s="227">
        <f t="shared" si="19"/>
        <v>-3.8400691024577562</v>
      </c>
      <c r="AD23" s="229">
        <f t="shared" si="20"/>
        <v>35.253421003208729</v>
      </c>
      <c r="AE23" s="229">
        <f t="shared" si="21"/>
        <v>97.154885015107226</v>
      </c>
      <c r="AF23" s="227">
        <f t="shared" si="9"/>
        <v>60.626812137167498</v>
      </c>
      <c r="AG23" s="227">
        <f t="shared" si="10"/>
        <v>93.314815912649465</v>
      </c>
      <c r="AH23" s="229" t="str">
        <f t="shared" si="22"/>
        <v>7.21143596051889-57.4481435365996i</v>
      </c>
    </row>
    <row r="24" spans="2:34" x14ac:dyDescent="0.2">
      <c r="E24" s="223" t="s">
        <v>26</v>
      </c>
      <c r="F24" s="252">
        <f>VLOOKUP(MIN('Small Signal'!O4:O505),'Small Signal'!O4:AF505,18,FALSE)</f>
        <v>-11.333609078163441</v>
      </c>
      <c r="I24" s="227">
        <v>20</v>
      </c>
      <c r="J24" s="227">
        <f t="shared" si="0"/>
        <v>1.195002450535668</v>
      </c>
      <c r="K24" s="227">
        <f t="shared" si="23"/>
        <v>15.667599106308181</v>
      </c>
      <c r="L24" s="227">
        <f t="shared" si="11"/>
        <v>98.442428503535581</v>
      </c>
      <c r="M24" s="227">
        <f t="shared" si="1"/>
        <v>6567.8221866272343</v>
      </c>
      <c r="N24" s="227">
        <f>SQRT((ABS(AC24)-171.5+'Small Signal'!C$59)^2)</f>
        <v>97.57301022883621</v>
      </c>
      <c r="O24" s="227">
        <f t="shared" si="12"/>
        <v>93.124906670201781</v>
      </c>
      <c r="P24" s="227">
        <f t="shared" si="13"/>
        <v>60.43305508052876</v>
      </c>
      <c r="Q24" s="227">
        <f t="shared" si="14"/>
        <v>15.667599106308181</v>
      </c>
      <c r="R24" s="227" t="str">
        <f t="shared" si="2"/>
        <v>0.0355+0.000127975157054596i</v>
      </c>
      <c r="S24" s="227" t="str">
        <f t="shared" si="3"/>
        <v>0.018-46.1737343801032i</v>
      </c>
      <c r="T24" s="227" t="str">
        <f t="shared" si="15"/>
        <v>6.27903518350166-0.870270692790862i</v>
      </c>
      <c r="U24" s="227" t="str">
        <f t="shared" si="4"/>
        <v>93.7880781130869-1.95632095449728i</v>
      </c>
      <c r="V24" s="227">
        <f t="shared" si="16"/>
        <v>39.444841915772663</v>
      </c>
      <c r="W24" s="227">
        <f t="shared" si="17"/>
        <v>-1.1949565881545778</v>
      </c>
      <c r="X24" s="227" t="str">
        <f t="shared" si="5"/>
        <v>0.99999999825441-0.0000112886054443925i</v>
      </c>
      <c r="Y24" s="227" t="str">
        <f t="shared" si="6"/>
        <v>191.738690054766+9.41186063900375i</v>
      </c>
      <c r="Z24" s="227" t="str">
        <f t="shared" si="7"/>
        <v>35.1793615652203+1.72644822226878i</v>
      </c>
      <c r="AA24" s="227" t="str">
        <f t="shared" si="8"/>
        <v>18.5184407117297-1.27122476238741i</v>
      </c>
      <c r="AB24" s="227">
        <f t="shared" si="18"/>
        <v>25.37250563694673</v>
      </c>
      <c r="AC24" s="227">
        <f t="shared" si="19"/>
        <v>-3.9269897711638024</v>
      </c>
      <c r="AD24" s="229">
        <f t="shared" si="20"/>
        <v>35.060549443582033</v>
      </c>
      <c r="AE24" s="229">
        <f t="shared" si="21"/>
        <v>97.051896441365585</v>
      </c>
      <c r="AF24" s="227">
        <f t="shared" si="9"/>
        <v>60.43305508052876</v>
      </c>
      <c r="AG24" s="227">
        <f t="shared" si="10"/>
        <v>93.124906670201781</v>
      </c>
      <c r="AH24" s="229" t="str">
        <f t="shared" si="22"/>
        <v>6.95206356301899-56.1991441263291i</v>
      </c>
    </row>
    <row r="25" spans="2:34" x14ac:dyDescent="0.2">
      <c r="I25" s="227">
        <v>21</v>
      </c>
      <c r="J25" s="227">
        <f t="shared" si="0"/>
        <v>1.2047525730624513</v>
      </c>
      <c r="K25" s="227">
        <f t="shared" si="23"/>
        <v>16.023322473395638</v>
      </c>
      <c r="L25" s="227">
        <f t="shared" si="11"/>
        <v>100.67750433703993</v>
      </c>
      <c r="M25" s="227">
        <f t="shared" si="1"/>
        <v>6567.4583867761221</v>
      </c>
      <c r="N25" s="227">
        <f>SQRT((ABS(AC25)-171.5+'Small Signal'!C$59)^2)</f>
        <v>97.484134524906949</v>
      </c>
      <c r="O25" s="227">
        <f t="shared" si="12"/>
        <v>92.936516744235348</v>
      </c>
      <c r="P25" s="227">
        <f t="shared" si="13"/>
        <v>60.239173351760307</v>
      </c>
      <c r="Q25" s="227">
        <f t="shared" si="14"/>
        <v>16.023322473395638</v>
      </c>
      <c r="R25" s="227" t="str">
        <f t="shared" si="2"/>
        <v>0.0355+0.000130880755638152i</v>
      </c>
      <c r="S25" s="227" t="str">
        <f t="shared" si="3"/>
        <v>0.018-45.148661316014i</v>
      </c>
      <c r="T25" s="227" t="str">
        <f t="shared" si="15"/>
        <v>6.27358999424485-0.889255614957135i</v>
      </c>
      <c r="U25" s="227" t="str">
        <f t="shared" si="4"/>
        <v>93.7865405649826-2.00071226914503i</v>
      </c>
      <c r="V25" s="227">
        <f t="shared" si="16"/>
        <v>39.444786273065311</v>
      </c>
      <c r="W25" s="227">
        <f t="shared" si="17"/>
        <v>-1.2220835112626565</v>
      </c>
      <c r="X25" s="227" t="str">
        <f t="shared" si="5"/>
        <v>0.999999998174245-0.0000115449064073642i</v>
      </c>
      <c r="Y25" s="227" t="str">
        <f t="shared" si="6"/>
        <v>191.748187995466+9.62538314383552i</v>
      </c>
      <c r="Z25" s="227" t="str">
        <f t="shared" si="7"/>
        <v>35.1811050962028+1.76561532275793i</v>
      </c>
      <c r="AA25" s="227" t="str">
        <f t="shared" si="8"/>
        <v>18.5144726805027-1.29980996374665i</v>
      </c>
      <c r="AB25" s="227">
        <f t="shared" si="18"/>
        <v>25.3715796673103</v>
      </c>
      <c r="AC25" s="227">
        <f t="shared" si="19"/>
        <v>-4.0158654750930571</v>
      </c>
      <c r="AD25" s="229">
        <f t="shared" si="20"/>
        <v>34.867593684450007</v>
      </c>
      <c r="AE25" s="229">
        <f t="shared" si="21"/>
        <v>96.952382219328399</v>
      </c>
      <c r="AF25" s="227">
        <f t="shared" si="9"/>
        <v>60.239173351760307</v>
      </c>
      <c r="AG25" s="227">
        <f t="shared" si="10"/>
        <v>92.936516744235348</v>
      </c>
      <c r="AH25" s="229" t="str">
        <f t="shared" si="22"/>
        <v>6.70385201901292-54.9761799352874i</v>
      </c>
    </row>
    <row r="26" spans="2:34" ht="15" x14ac:dyDescent="0.25">
      <c r="E26" s="268" t="s">
        <v>131</v>
      </c>
      <c r="F26" s="268"/>
      <c r="G26" s="268"/>
      <c r="I26" s="227">
        <v>22</v>
      </c>
      <c r="J26" s="227">
        <f t="shared" si="0"/>
        <v>1.2145026955892348</v>
      </c>
      <c r="K26" s="227">
        <f t="shared" si="23"/>
        <v>16.387122324508088</v>
      </c>
      <c r="L26" s="227">
        <f t="shared" si="11"/>
        <v>102.9633262163038</v>
      </c>
      <c r="M26" s="227">
        <f t="shared" si="1"/>
        <v>6567.0863270692962</v>
      </c>
      <c r="N26" s="227">
        <f>SQRT((ABS(AC26)-171.5+'Small Signal'!C$59)^2)</f>
        <v>97.393260674602573</v>
      </c>
      <c r="O26" s="227">
        <f t="shared" si="12"/>
        <v>92.749557908629015</v>
      </c>
      <c r="P26" s="227">
        <f t="shared" si="13"/>
        <v>60.045169119932417</v>
      </c>
      <c r="Q26" s="227">
        <f t="shared" si="14"/>
        <v>16.387122324508088</v>
      </c>
      <c r="R26" s="227" t="str">
        <f t="shared" si="2"/>
        <v>0.0355+0.000133852324081195i</v>
      </c>
      <c r="S26" s="227" t="str">
        <f t="shared" si="3"/>
        <v>0.018-44.1463452327242i</v>
      </c>
      <c r="T26" s="227" t="str">
        <f t="shared" si="15"/>
        <v>6.26790486303399-0.908619121231769i</v>
      </c>
      <c r="U26" s="227" t="str">
        <f t="shared" si="4"/>
        <v>93.784932446201-2.04610966699958i</v>
      </c>
      <c r="V26" s="227">
        <f t="shared" si="16"/>
        <v>39.44472807567432</v>
      </c>
      <c r="W26" s="227">
        <f t="shared" si="17"/>
        <v>-1.2498260670113353</v>
      </c>
      <c r="X26" s="227" t="str">
        <f t="shared" si="5"/>
        <v>0.999999998090398-0.0000118070265287734i</v>
      </c>
      <c r="Y26" s="227" t="str">
        <f t="shared" si="6"/>
        <v>191.758121856888+9.8437418406929i</v>
      </c>
      <c r="Z26" s="227" t="str">
        <f t="shared" si="7"/>
        <v>35.1829286488683+1.80566953916082i</v>
      </c>
      <c r="AA26" s="227" t="str">
        <f t="shared" si="8"/>
        <v>18.5103242303697-1.32902499204191i</v>
      </c>
      <c r="AB26" s="227">
        <f t="shared" si="18"/>
        <v>25.370611384434994</v>
      </c>
      <c r="AC26" s="227">
        <f t="shared" si="19"/>
        <v>-4.1067393253974256</v>
      </c>
      <c r="AD26" s="229">
        <f t="shared" si="20"/>
        <v>34.674557735497423</v>
      </c>
      <c r="AE26" s="229">
        <f t="shared" si="21"/>
        <v>96.856297234026442</v>
      </c>
      <c r="AF26" s="227">
        <f t="shared" si="9"/>
        <v>60.045169119932417</v>
      </c>
      <c r="AG26" s="227">
        <f t="shared" si="10"/>
        <v>92.749557908629015</v>
      </c>
      <c r="AH26" s="229" t="str">
        <f t="shared" si="22"/>
        <v>6.46633054958805-53.7787809137988i</v>
      </c>
    </row>
    <row r="27" spans="2:34" ht="15" x14ac:dyDescent="0.25">
      <c r="E27" s="221" t="s">
        <v>122</v>
      </c>
      <c r="F27" s="104">
        <f>(Voutss-Vinss)/(Voutss)</f>
        <v>0.81666666666666676</v>
      </c>
      <c r="G27" s="224"/>
      <c r="I27" s="227">
        <v>23</v>
      </c>
      <c r="J27" s="227">
        <f t="shared" si="0"/>
        <v>1.2242528181160182</v>
      </c>
      <c r="K27" s="227">
        <f t="shared" si="23"/>
        <v>16.759182031333303</v>
      </c>
      <c r="L27" s="227">
        <f t="shared" si="11"/>
        <v>105.30104629962155</v>
      </c>
      <c r="M27" s="227">
        <f t="shared" si="1"/>
        <v>6566.7058199717276</v>
      </c>
      <c r="N27" s="227">
        <f>SQRT((ABS(AC27)-171.5+'Small Signal'!C$59)^2)</f>
        <v>97.300344675916904</v>
      </c>
      <c r="O27" s="227">
        <f t="shared" si="12"/>
        <v>92.563942444656561</v>
      </c>
      <c r="P27" s="227">
        <f t="shared" si="13"/>
        <v>59.851044319470702</v>
      </c>
      <c r="Q27" s="227">
        <f t="shared" si="14"/>
        <v>16.759182031333303</v>
      </c>
      <c r="R27" s="227" t="str">
        <f t="shared" si="2"/>
        <v>0.0355+0.000136891360189508i</v>
      </c>
      <c r="S27" s="227" t="str">
        <f t="shared" si="3"/>
        <v>0.018-43.166280917295i</v>
      </c>
      <c r="T27" s="227" t="str">
        <f t="shared" si="15"/>
        <v>6.26196969178763-0.928366322747923i</v>
      </c>
      <c r="U27" s="227" t="str">
        <f t="shared" si="4"/>
        <v>93.7832505196013-2.09253586560916i</v>
      </c>
      <c r="V27" s="227">
        <f t="shared" si="16"/>
        <v>39.444667206340348</v>
      </c>
      <c r="W27" s="227">
        <f t="shared" si="17"/>
        <v>-1.2781982143200308</v>
      </c>
      <c r="X27" s="227" t="str">
        <f t="shared" si="5"/>
        <v>0.999999998002701-0.0000120750979290951i</v>
      </c>
      <c r="Y27" s="227" t="str">
        <f t="shared" si="6"/>
        <v>191.768511633459+10.067045717258i</v>
      </c>
      <c r="Z27" s="227" t="str">
        <f t="shared" si="7"/>
        <v>35.18483589358+1.84663086325266i</v>
      </c>
      <c r="AA27" s="227" t="str">
        <f t="shared" si="8"/>
        <v>18.5059872444666-1.35888282588763i</v>
      </c>
      <c r="AB27" s="227">
        <f t="shared" si="18"/>
        <v>25.36959886486089</v>
      </c>
      <c r="AC27" s="227">
        <f t="shared" si="19"/>
        <v>-4.1996553240830945</v>
      </c>
      <c r="AD27" s="229">
        <f t="shared" si="20"/>
        <v>34.481445454609812</v>
      </c>
      <c r="AE27" s="229">
        <f t="shared" si="21"/>
        <v>96.763597768739658</v>
      </c>
      <c r="AF27" s="227">
        <f t="shared" si="9"/>
        <v>59.851044319470702</v>
      </c>
      <c r="AG27" s="227">
        <f t="shared" si="10"/>
        <v>92.563942444656561</v>
      </c>
      <c r="AH27" s="229" t="str">
        <f t="shared" si="22"/>
        <v>6.23904742655076-52.6064806659608i</v>
      </c>
    </row>
    <row r="28" spans="2:34" x14ac:dyDescent="0.2">
      <c r="E28" s="221" t="s">
        <v>143</v>
      </c>
      <c r="F28" s="104">
        <f>Voutss/Vinss</f>
        <v>5.4545454545454541</v>
      </c>
      <c r="I28" s="227">
        <v>24</v>
      </c>
      <c r="J28" s="227">
        <f t="shared" si="0"/>
        <v>1.2340029406428017</v>
      </c>
      <c r="K28" s="227">
        <f t="shared" si="23"/>
        <v>17.139689128902397</v>
      </c>
      <c r="L28" s="227">
        <f t="shared" si="11"/>
        <v>107.69184290434522</v>
      </c>
      <c r="M28" s="227">
        <f t="shared" si="1"/>
        <v>6566.3166736905141</v>
      </c>
      <c r="N28" s="227">
        <f>SQRT((ABS(AC28)-171.5+'Small Signal'!C$59)^2)</f>
        <v>97.205341621774465</v>
      </c>
      <c r="O28" s="227">
        <f t="shared" si="12"/>
        <v>92.379583125034713</v>
      </c>
      <c r="P28" s="227">
        <f t="shared" si="13"/>
        <v>59.656800653448535</v>
      </c>
      <c r="Q28" s="227">
        <f t="shared" si="14"/>
        <v>17.139689128902397</v>
      </c>
      <c r="R28" s="227" t="str">
        <f t="shared" si="2"/>
        <v>0.0355+0.000139999395775649i</v>
      </c>
      <c r="S28" s="227" t="str">
        <f t="shared" si="3"/>
        <v>0.018-42.2079743726918i</v>
      </c>
      <c r="T28" s="227" t="str">
        <f t="shared" si="15"/>
        <v>6.25577400099489-0.948502223416035i</v>
      </c>
      <c r="U28" s="227" t="str">
        <f t="shared" si="4"/>
        <v>93.7814913997337-2.14001408961347i</v>
      </c>
      <c r="V28" s="227">
        <f t="shared" si="16"/>
        <v>39.444603542424957</v>
      </c>
      <c r="W28" s="227">
        <f t="shared" si="17"/>
        <v>-1.3072142277386396</v>
      </c>
      <c r="X28" s="227" t="str">
        <f t="shared" si="5"/>
        <v>0.999999997910976-0.0000123492557285194i</v>
      </c>
      <c r="Y28" s="227" t="str">
        <f t="shared" si="6"/>
        <v>191.779378235487+10.2954061789843i</v>
      </c>
      <c r="Z28" s="227" t="str">
        <f t="shared" si="7"/>
        <v>35.1868306688287+1.88851973029473i</v>
      </c>
      <c r="AA28" s="227" t="str">
        <f t="shared" si="8"/>
        <v>18.5014532488346-1.38939664831539i</v>
      </c>
      <c r="AB28" s="227">
        <f t="shared" si="18"/>
        <v>25.368540098635599</v>
      </c>
      <c r="AC28" s="227">
        <f t="shared" si="19"/>
        <v>-4.2946583782255425</v>
      </c>
      <c r="AD28" s="229">
        <f t="shared" si="20"/>
        <v>34.288260554812936</v>
      </c>
      <c r="AE28" s="229">
        <f t="shared" si="21"/>
        <v>96.674241503260262</v>
      </c>
      <c r="AF28" s="227">
        <f t="shared" si="9"/>
        <v>59.656800653448535</v>
      </c>
      <c r="AG28" s="227">
        <f t="shared" si="10"/>
        <v>92.379583125034713</v>
      </c>
      <c r="AH28" s="229" t="str">
        <f t="shared" si="22"/>
        <v>6.02156927077419-51.4588167844719i</v>
      </c>
    </row>
    <row r="29" spans="2:34" x14ac:dyDescent="0.2">
      <c r="E29" s="221" t="s">
        <v>10</v>
      </c>
      <c r="F29" s="105">
        <f>Voutss/(Ioutss)</f>
        <v>6.4</v>
      </c>
      <c r="G29" s="220" t="s">
        <v>29</v>
      </c>
      <c r="I29" s="227">
        <v>25</v>
      </c>
      <c r="J29" s="227">
        <f t="shared" si="0"/>
        <v>1.243753063169585</v>
      </c>
      <c r="K29" s="227">
        <f t="shared" si="23"/>
        <v>17.528835410116002</v>
      </c>
      <c r="L29" s="227">
        <f t="shared" si="11"/>
        <v>110.13692110081013</v>
      </c>
      <c r="M29" s="227">
        <f t="shared" si="1"/>
        <v>6565.9186920782131</v>
      </c>
      <c r="N29" s="227">
        <f>SQRT((ABS(AC29)-171.5+'Small Signal'!C$59)^2)</f>
        <v>97.108205685897417</v>
      </c>
      <c r="O29" s="227">
        <f t="shared" si="12"/>
        <v>92.196393197465312</v>
      </c>
      <c r="P29" s="227">
        <f t="shared" si="13"/>
        <v>59.46243959650166</v>
      </c>
      <c r="Q29" s="227">
        <f t="shared" si="14"/>
        <v>17.528835410116002</v>
      </c>
      <c r="R29" s="227" t="str">
        <f t="shared" si="2"/>
        <v>0.0355+0.000143177997431053i</v>
      </c>
      <c r="S29" s="227" t="str">
        <f t="shared" si="3"/>
        <v>0.018-41.2709425687869i</v>
      </c>
      <c r="T29" s="227" t="str">
        <f t="shared" si="15"/>
        <v>6.2493069193483-0.969031704127442i</v>
      </c>
      <c r="U29" s="227" t="str">
        <f t="shared" si="4"/>
        <v>93.7796515460609-2.18856808165206i</v>
      </c>
      <c r="V29" s="227">
        <f t="shared" si="16"/>
        <v>39.444536955664056</v>
      </c>
      <c r="W29" s="227">
        <f t="shared" si="17"/>
        <v>-1.3368887045233615</v>
      </c>
      <c r="X29" s="227" t="str">
        <f t="shared" si="5"/>
        <v>0.999999997815039-0.0000126296381150591i</v>
      </c>
      <c r="Y29" s="227" t="str">
        <f t="shared" si="6"/>
        <v>191.790743531018+10.5289371000459i</v>
      </c>
      <c r="Z29" s="227" t="str">
        <f t="shared" si="7"/>
        <v>35.1889169889161+1.93135702837934i</v>
      </c>
      <c r="AA29" s="227" t="str">
        <f t="shared" si="8"/>
        <v>18.4967133974637-1.42057984533757i</v>
      </c>
      <c r="AB29" s="227">
        <f t="shared" si="18"/>
        <v>25.367432985512032</v>
      </c>
      <c r="AC29" s="227">
        <f t="shared" si="19"/>
        <v>-4.3917943141025795</v>
      </c>
      <c r="AD29" s="229">
        <f t="shared" si="20"/>
        <v>34.095006610989628</v>
      </c>
      <c r="AE29" s="229">
        <f t="shared" si="21"/>
        <v>96.588187511567895</v>
      </c>
      <c r="AF29" s="227">
        <f t="shared" si="9"/>
        <v>59.46243959650166</v>
      </c>
      <c r="AG29" s="227">
        <f t="shared" si="10"/>
        <v>92.196393197465312</v>
      </c>
      <c r="AH29" s="229" t="str">
        <f t="shared" si="22"/>
        <v>5.81348037030831-50.3353311535903i</v>
      </c>
    </row>
    <row r="30" spans="2:34" x14ac:dyDescent="0.2">
      <c r="E30" s="221" t="s">
        <v>33</v>
      </c>
      <c r="F30" s="104">
        <f>1/((sess+snss)/fswss)</f>
        <v>7.1670097030285209</v>
      </c>
      <c r="G30" s="225"/>
      <c r="I30" s="227">
        <v>26</v>
      </c>
      <c r="J30" s="227">
        <f t="shared" si="0"/>
        <v>1.2535031856963683</v>
      </c>
      <c r="K30" s="227">
        <f t="shared" si="23"/>
        <v>17.926817022416621</v>
      </c>
      <c r="L30" s="227">
        <f t="shared" si="11"/>
        <v>112.63751331974501</v>
      </c>
      <c r="M30" s="227">
        <f t="shared" si="1"/>
        <v>6565.5116745339737</v>
      </c>
      <c r="N30" s="227">
        <f>SQRT((ABS(AC30)-171.5+'Small Signal'!C$59)^2)</f>
        <v>97.00889010878393</v>
      </c>
      <c r="O30" s="227">
        <f t="shared" si="12"/>
        <v>92.014286367773664</v>
      </c>
      <c r="P30" s="227">
        <f t="shared" si="13"/>
        <v>59.267962397371264</v>
      </c>
      <c r="Q30" s="227">
        <f t="shared" si="14"/>
        <v>17.926817022416621</v>
      </c>
      <c r="R30" s="227" t="str">
        <f t="shared" si="2"/>
        <v>0.0355+0.000146428767315669i</v>
      </c>
      <c r="S30" s="227" t="str">
        <f t="shared" si="3"/>
        <v>0.018-40.3547131988907i</v>
      </c>
      <c r="T30" s="227" t="str">
        <f t="shared" si="15"/>
        <v>6.2425571734927-0.989959505909072i</v>
      </c>
      <c r="U30" s="227" t="str">
        <f t="shared" si="4"/>
        <v>93.7777272558727-2.23822211347839i</v>
      </c>
      <c r="V30" s="227">
        <f t="shared" si="16"/>
        <v>39.444467311910202</v>
      </c>
      <c r="W30" s="227">
        <f t="shared" si="17"/>
        <v>-1.3672365718668789</v>
      </c>
      <c r="X30" s="227" t="str">
        <f t="shared" si="5"/>
        <v>0.999999997714697-0.0000129163864142019i</v>
      </c>
      <c r="Y30" s="227" t="str">
        <f t="shared" si="6"/>
        <v>191.802630389571+10.7677548751697i</v>
      </c>
      <c r="Z30" s="227" t="str">
        <f t="shared" si="7"/>
        <v>35.1910990519839+1.97516410793643i</v>
      </c>
      <c r="AA30" s="227" t="str">
        <f t="shared" si="8"/>
        <v>18.4917584567839-1.45244600407958i</v>
      </c>
      <c r="AB30" s="227">
        <f t="shared" si="18"/>
        <v>25.366275330988582</v>
      </c>
      <c r="AC30" s="227">
        <f t="shared" si="19"/>
        <v>-4.4911098912160838</v>
      </c>
      <c r="AD30" s="229">
        <f t="shared" si="20"/>
        <v>33.901687066382685</v>
      </c>
      <c r="AE30" s="229">
        <f t="shared" si="21"/>
        <v>96.505396258989748</v>
      </c>
      <c r="AF30" s="227">
        <f t="shared" si="9"/>
        <v>59.267962397371264</v>
      </c>
      <c r="AG30" s="227">
        <f t="shared" si="10"/>
        <v>92.014286367773664</v>
      </c>
      <c r="AH30" s="229" t="str">
        <f t="shared" si="22"/>
        <v>5.61438201826847-49.2355702222574i</v>
      </c>
    </row>
    <row r="31" spans="2:34" x14ac:dyDescent="0.2">
      <c r="E31" s="221" t="s">
        <v>13</v>
      </c>
      <c r="F31" s="103">
        <f>(Vinss*40/3*Risense)/Lss</f>
        <v>86646.153846153844</v>
      </c>
      <c r="G31" s="222"/>
      <c r="I31" s="227">
        <v>27</v>
      </c>
      <c r="J31" s="227">
        <f t="shared" si="0"/>
        <v>1.2632533082231518</v>
      </c>
      <c r="K31" s="227">
        <f t="shared" si="23"/>
        <v>18.333834566655888</v>
      </c>
      <c r="L31" s="227">
        <f t="shared" si="11"/>
        <v>115.19487997347349</v>
      </c>
      <c r="M31" s="227">
        <f t="shared" si="1"/>
        <v>6565.0954159024232</v>
      </c>
      <c r="N31" s="227">
        <f>SQRT((ABS(AC31)-171.5+'Small Signal'!C$59)^2)</f>
        <v>96.907347183827483</v>
      </c>
      <c r="O31" s="227">
        <f t="shared" si="12"/>
        <v>91.833176782742072</v>
      </c>
      <c r="P31" s="227">
        <f t="shared" si="13"/>
        <v>59.073370081074984</v>
      </c>
      <c r="Q31" s="227">
        <f t="shared" si="14"/>
        <v>18.333834566655888</v>
      </c>
      <c r="R31" s="227" t="str">
        <f t="shared" si="2"/>
        <v>0.0355+0.000149753343965516i</v>
      </c>
      <c r="S31" s="227" t="str">
        <f t="shared" si="3"/>
        <v>0.018-39.4588244416874i</v>
      </c>
      <c r="T31" s="227" t="str">
        <f t="shared" si="15"/>
        <v>6.23551307794035-1.01129021198267i</v>
      </c>
      <c r="U31" s="227" t="str">
        <f t="shared" si="4"/>
        <v>93.7757146568763-2.28900099728137i</v>
      </c>
      <c r="V31" s="227">
        <f t="shared" si="16"/>
        <v>39.444394470862939</v>
      </c>
      <c r="W31" s="227">
        <f t="shared" si="17"/>
        <v>-1.398273094286042</v>
      </c>
      <c r="X31" s="227" t="str">
        <f t="shared" si="5"/>
        <v>0.999999997609746-0.0000132096451601454i</v>
      </c>
      <c r="Y31" s="227" t="str">
        <f t="shared" si="6"/>
        <v>191.815062727864+11.0119784723512i</v>
      </c>
      <c r="Z31" s="227" t="str">
        <f t="shared" si="7"/>
        <v>35.193381248407+2.01996279140241i</v>
      </c>
      <c r="AA31" s="227" t="str">
        <f t="shared" si="8"/>
        <v>18.4865787895878-1.48500891044601i</v>
      </c>
      <c r="AB31" s="227">
        <f t="shared" si="18"/>
        <v>25.365064842184548</v>
      </c>
      <c r="AC31" s="227">
        <f t="shared" si="19"/>
        <v>-4.5926528161725146</v>
      </c>
      <c r="AD31" s="229">
        <f t="shared" si="20"/>
        <v>33.708305238890439</v>
      </c>
      <c r="AE31" s="229">
        <f t="shared" si="21"/>
        <v>96.425829598914589</v>
      </c>
      <c r="AF31" s="227">
        <f t="shared" si="9"/>
        <v>59.073370081074984</v>
      </c>
      <c r="AG31" s="227">
        <f t="shared" si="10"/>
        <v>91.833176782742072</v>
      </c>
      <c r="AH31" s="229" t="str">
        <f t="shared" si="22"/>
        <v>5.42389187044848-48.1590852493042i</v>
      </c>
    </row>
    <row r="32" spans="2:34" x14ac:dyDescent="0.2">
      <c r="E32" s="221" t="s">
        <v>14</v>
      </c>
      <c r="F32" s="103">
        <f>0.024*fswss</f>
        <v>18000</v>
      </c>
      <c r="G32" s="222"/>
      <c r="I32" s="227">
        <v>28</v>
      </c>
      <c r="J32" s="227">
        <f t="shared" si="0"/>
        <v>1.2730034307499352</v>
      </c>
      <c r="K32" s="227">
        <f t="shared" si="23"/>
        <v>18.750093198206486</v>
      </c>
      <c r="L32" s="227">
        <f t="shared" si="11"/>
        <v>117.81031009121888</v>
      </c>
      <c r="M32" s="227">
        <f t="shared" si="1"/>
        <v>6564.6697063702604</v>
      </c>
      <c r="N32" s="227">
        <f>SQRT((ABS(AC32)-171.5+'Small Signal'!C$59)^2)</f>
        <v>96.803528243611652</v>
      </c>
      <c r="O32" s="227">
        <f t="shared" si="12"/>
        <v>91.652979012736367</v>
      </c>
      <c r="P32" s="227">
        <f t="shared" si="13"/>
        <v>58.878663450707052</v>
      </c>
      <c r="Q32" s="227">
        <f t="shared" si="14"/>
        <v>18.750093198206486</v>
      </c>
      <c r="R32" s="227" t="str">
        <f t="shared" si="2"/>
        <v>0.0355+0.000153153403118585i</v>
      </c>
      <c r="S32" s="227" t="str">
        <f t="shared" si="3"/>
        <v>0.018-38.5828247284559i</v>
      </c>
      <c r="T32" s="227" t="str">
        <f t="shared" si="15"/>
        <v>6.22816252520798-1.033028228682i</v>
      </c>
      <c r="U32" s="227" t="str">
        <f t="shared" si="4"/>
        <v>93.7736096994543-2.34093009721596i</v>
      </c>
      <c r="V32" s="227">
        <f t="shared" si="16"/>
        <v>39.444318285787148</v>
      </c>
      <c r="W32" s="227">
        <f t="shared" si="17"/>
        <v>-1.4300138811700587</v>
      </c>
      <c r="X32" s="227" t="str">
        <f t="shared" si="5"/>
        <v>0.999999997499975-0.000013509562168649i</v>
      </c>
      <c r="Y32" s="227" t="str">
        <f t="shared" si="6"/>
        <v>191.82806555763+11.2617294864541i</v>
      </c>
      <c r="Z32" s="227" t="str">
        <f t="shared" si="7"/>
        <v>35.1957681695713+2.06577538305093i</v>
      </c>
      <c r="AA32" s="227" t="str">
        <f t="shared" si="8"/>
        <v>18.4811643383695-1.51828254628341i</v>
      </c>
      <c r="AB32" s="227">
        <f t="shared" si="18"/>
        <v>25.363799123543988</v>
      </c>
      <c r="AC32" s="227">
        <f t="shared" si="19"/>
        <v>-4.6964717563883438</v>
      </c>
      <c r="AD32" s="229">
        <f t="shared" si="20"/>
        <v>33.51486432716306</v>
      </c>
      <c r="AE32" s="229">
        <f t="shared" si="21"/>
        <v>96.349450769124715</v>
      </c>
      <c r="AF32" s="227">
        <f t="shared" si="9"/>
        <v>58.878663450707052</v>
      </c>
      <c r="AG32" s="227">
        <f t="shared" si="10"/>
        <v>91.652979012736367</v>
      </c>
      <c r="AH32" s="229" t="str">
        <f t="shared" si="22"/>
        <v>5.24164332254432-47.1054325225648i</v>
      </c>
    </row>
    <row r="33" spans="1:34" x14ac:dyDescent="0.2">
      <c r="E33" s="221" t="s">
        <v>149</v>
      </c>
      <c r="F33" s="102">
        <f>-(snss/sess+1)*2/PI()</f>
        <v>-3.7011005911489643</v>
      </c>
      <c r="I33" s="227">
        <v>29</v>
      </c>
      <c r="J33" s="227">
        <f t="shared" si="0"/>
        <v>1.2827535532767187</v>
      </c>
      <c r="K33" s="227">
        <f t="shared" si="23"/>
        <v>19.175802730369849</v>
      </c>
      <c r="L33" s="227">
        <f t="shared" si="11"/>
        <v>120.48512196883402</v>
      </c>
      <c r="M33" s="227">
        <f>SQRT((Fco_target-K34)^2)</f>
        <v>6564.2343313604979</v>
      </c>
      <c r="N33" s="227">
        <f>SQRT((ABS(AC33)-171.5+'Small Signal'!C$59)^2)</f>
        <v>96.697383646415318</v>
      </c>
      <c r="O33" s="227">
        <f t="shared" si="12"/>
        <v>91.473608034221684</v>
      </c>
      <c r="P33" s="227">
        <f t="shared" si="13"/>
        <v>58.683843088872059</v>
      </c>
      <c r="Q33" s="227">
        <f t="shared" si="14"/>
        <v>19.175802730369849</v>
      </c>
      <c r="R33" s="227" t="str">
        <f t="shared" si="2"/>
        <v>0.0355+0.000156630658559484i</v>
      </c>
      <c r="S33" s="227" t="str">
        <f t="shared" si="3"/>
        <v>0.018-37.726272515459i</v>
      </c>
      <c r="T33" s="227" t="str">
        <f t="shared" si="15"/>
        <v>6.22049297623668-1.05517776518141i</v>
      </c>
      <c r="U33" s="227" t="str">
        <f t="shared" si="4"/>
        <v>93.7714081485661-2.39403534114404i</v>
      </c>
      <c r="V33" s="227">
        <f t="shared" si="16"/>
        <v>39.444238603218103</v>
      </c>
      <c r="W33" s="227">
        <f t="shared" si="17"/>
        <v>-1.4624748944923425</v>
      </c>
      <c r="X33" s="227" t="str">
        <f t="shared" si="5"/>
        <v>0.999999997385163-0.0000138162886115393i</v>
      </c>
      <c r="Y33" s="227" t="str">
        <f t="shared" si="6"/>
        <v>191.841665035578+11.5171321936922i</v>
      </c>
      <c r="Z33" s="227" t="str">
        <f t="shared" si="7"/>
        <v>35.1982646170451+2.11262467898539i</v>
      </c>
      <c r="AA33" s="227" t="str">
        <f t="shared" si="8"/>
        <v>18.4755046080716-1.55228108600085i</v>
      </c>
      <c r="AB33" s="227">
        <f t="shared" si="18"/>
        <v>25.362475672363949</v>
      </c>
      <c r="AC33" s="227">
        <f t="shared" si="19"/>
        <v>-4.8026163535846917</v>
      </c>
      <c r="AD33" s="229">
        <f t="shared" si="20"/>
        <v>33.32136741650811</v>
      </c>
      <c r="AE33" s="229">
        <f t="shared" si="21"/>
        <v>96.27622438780638</v>
      </c>
      <c r="AF33" s="227">
        <f t="shared" si="9"/>
        <v>58.683843088872059</v>
      </c>
      <c r="AG33" s="227">
        <f t="shared" si="10"/>
        <v>91.473608034221684</v>
      </c>
      <c r="AH33" s="229" t="str">
        <f t="shared" si="22"/>
        <v>5.06728490682237-46.0741735536298i</v>
      </c>
    </row>
    <row r="34" spans="1:34" x14ac:dyDescent="0.2">
      <c r="E34" s="221" t="s">
        <v>150</v>
      </c>
      <c r="F34" s="102">
        <f>PI()*fswss</f>
        <v>2356194.4901923449</v>
      </c>
      <c r="I34" s="227">
        <v>30</v>
      </c>
      <c r="J34" s="227">
        <f t="shared" si="0"/>
        <v>1.292503675803502</v>
      </c>
      <c r="K34" s="227">
        <f t="shared" si="23"/>
        <v>19.611177740131591</v>
      </c>
      <c r="L34" s="227">
        <f t="shared" si="11"/>
        <v>123.22066383328217</v>
      </c>
      <c r="M34" s="227">
        <f t="shared" si="1"/>
        <v>6563.7890714243122</v>
      </c>
      <c r="N34" s="227">
        <f>SQRT((ABS(AC34)-171.5+'Small Signal'!C$59)^2)</f>
        <v>96.588862762967437</v>
      </c>
      <c r="O34" s="227">
        <f t="shared" si="12"/>
        <v>91.294979212262149</v>
      </c>
      <c r="P34" s="227">
        <f t="shared" si="13"/>
        <v>58.488909358751066</v>
      </c>
      <c r="Q34" s="227">
        <f t="shared" si="14"/>
        <v>19.611177740131591</v>
      </c>
      <c r="R34" s="227" t="str">
        <f t="shared" si="2"/>
        <v>0.0355+0.000160186862983267i</v>
      </c>
      <c r="S34" s="227" t="str">
        <f t="shared" si="3"/>
        <v>0.018-36.8887360613846i</v>
      </c>
      <c r="T34" s="227" t="str">
        <f t="shared" si="15"/>
        <v>6.21249145116161-1.07774281199005i</v>
      </c>
      <c r="U34" s="227" t="str">
        <f t="shared" si="4"/>
        <v>93.7691055752877-2.44834323258727i</v>
      </c>
      <c r="V34" s="227">
        <f t="shared" si="16"/>
        <v>39.444155262653595</v>
      </c>
      <c r="W34" s="227">
        <f t="shared" si="17"/>
        <v>-1.4956724566893451</v>
      </c>
      <c r="X34" s="227" t="str">
        <f t="shared" si="5"/>
        <v>0.999999997265079-0.000014129979092908i</v>
      </c>
      <c r="Y34" s="227" t="str">
        <f t="shared" si="6"/>
        <v>191.855888515638+11.7783136069899i</v>
      </c>
      <c r="Z34" s="227" t="str">
        <f t="shared" si="7"/>
        <v>35.2008756121698+2.1605339772926i</v>
      </c>
      <c r="AA34" s="227" t="str">
        <f t="shared" si="8"/>
        <v>18.4695886482243-1.58701889260628i</v>
      </c>
      <c r="AB34" s="227">
        <f t="shared" si="18"/>
        <v>25.361091874138985</v>
      </c>
      <c r="AC34" s="227">
        <f t="shared" si="19"/>
        <v>-4.9111372370325483</v>
      </c>
      <c r="AD34" s="229">
        <f t="shared" si="20"/>
        <v>33.127817484612081</v>
      </c>
      <c r="AE34" s="229">
        <f t="shared" si="21"/>
        <v>96.206116449294697</v>
      </c>
      <c r="AF34" s="227">
        <f t="shared" si="9"/>
        <v>58.488909358751066</v>
      </c>
      <c r="AG34" s="227">
        <f t="shared" si="10"/>
        <v>91.294979212262149</v>
      </c>
      <c r="AH34" s="229" t="str">
        <f t="shared" si="22"/>
        <v>4.9004797080166-45.0648752498664i</v>
      </c>
    </row>
    <row r="35" spans="1:34" x14ac:dyDescent="0.2">
      <c r="E35" s="221" t="s">
        <v>148</v>
      </c>
      <c r="F35" s="253">
        <f>(1+sess/snss)</f>
        <v>1.2077414772727273</v>
      </c>
      <c r="I35" s="227">
        <v>31</v>
      </c>
      <c r="J35" s="227">
        <f t="shared" si="0"/>
        <v>1.3022537983302853</v>
      </c>
      <c r="K35" s="227">
        <f t="shared" si="23"/>
        <v>20.056437676318073</v>
      </c>
      <c r="L35" s="227">
        <f t="shared" si="11"/>
        <v>126.01831452220479</v>
      </c>
      <c r="M35" s="227">
        <f t="shared" si="1"/>
        <v>6563.3337021304214</v>
      </c>
      <c r="N35" s="227">
        <f>SQRT((ABS(AC35)-171.5+'Small Signal'!C$59)^2)</f>
        <v>96.477913963493137</v>
      </c>
      <c r="O35" s="227">
        <f t="shared" si="12"/>
        <v>91.117008283099111</v>
      </c>
      <c r="P35" s="227">
        <f t="shared" si="13"/>
        <v>58.293862404802425</v>
      </c>
      <c r="Q35" s="227">
        <f t="shared" si="14"/>
        <v>20.056437676318073</v>
      </c>
      <c r="R35" s="227" t="str">
        <f t="shared" si="2"/>
        <v>0.0355+0.000163823808878866i</v>
      </c>
      <c r="S35" s="227" t="str">
        <f t="shared" si="3"/>
        <v>0.018-36.0697932097292i</v>
      </c>
      <c r="T35" s="227" t="str">
        <f t="shared" si="15"/>
        <v>6.20414452050461-1.10072711816627i</v>
      </c>
      <c r="U35" s="227" t="str">
        <f t="shared" si="4"/>
        <v>93.7666973479607-2.50388086289209i</v>
      </c>
      <c r="V35" s="227">
        <f t="shared" si="16"/>
        <v>39.444068096231305</v>
      </c>
      <c r="W35" s="227">
        <f t="shared" si="17"/>
        <v>-1.5296232587092617</v>
      </c>
      <c r="X35" s="227" t="str">
        <f t="shared" si="5"/>
        <v>0.99999999713948-0.0000144507917270391i</v>
      </c>
      <c r="Y35" s="227" t="str">
        <f t="shared" si="6"/>
        <v>191.870764603566+12.0454035322168i</v>
      </c>
      <c r="Z35" s="227" t="str">
        <f t="shared" si="7"/>
        <v>35.2036064060829+2.20952708835666i</v>
      </c>
      <c r="AA35" s="227" t="str">
        <f t="shared" si="8"/>
        <v>18.4634050344662-1.62251051311449i</v>
      </c>
      <c r="AB35" s="227">
        <f t="shared" si="18"/>
        <v>25.359644997715964</v>
      </c>
      <c r="AC35" s="227">
        <f t="shared" si="19"/>
        <v>-5.0220860365068747</v>
      </c>
      <c r="AD35" s="229">
        <f t="shared" si="20"/>
        <v>32.934217407086464</v>
      </c>
      <c r="AE35" s="229">
        <f t="shared" si="21"/>
        <v>96.139094319605988</v>
      </c>
      <c r="AF35" s="227">
        <f t="shared" si="9"/>
        <v>58.293862404802425</v>
      </c>
      <c r="AG35" s="227">
        <f t="shared" si="10"/>
        <v>91.117008283099111</v>
      </c>
      <c r="AH35" s="229" t="str">
        <f t="shared" si="22"/>
        <v>4.74090479820112-44.0771100652547i</v>
      </c>
    </row>
    <row r="36" spans="1:34" x14ac:dyDescent="0.2">
      <c r="E36" s="221" t="s">
        <v>182</v>
      </c>
      <c r="F36" s="226">
        <v>2000000</v>
      </c>
      <c r="I36" s="227">
        <v>32</v>
      </c>
      <c r="J36" s="227">
        <f t="shared" si="0"/>
        <v>1.3120039208570689</v>
      </c>
      <c r="K36" s="227">
        <f t="shared" si="23"/>
        <v>20.511806970208617</v>
      </c>
      <c r="L36" s="227">
        <f t="shared" si="11"/>
        <v>128.8794841789186</v>
      </c>
      <c r="M36" s="227">
        <f>SQRT((Fco_target-K37)^2)</f>
        <v>6562.8679939519707</v>
      </c>
      <c r="N36" s="227">
        <f>SQRT((ABS(AC36)-171.5+'Small Signal'!C$59)^2)</f>
        <v>96.364484605095129</v>
      </c>
      <c r="O36" s="227">
        <f t="shared" si="12"/>
        <v>90.939611336901635</v>
      </c>
      <c r="P36" s="227">
        <f t="shared" si="13"/>
        <v>58.098702153099246</v>
      </c>
      <c r="Q36" s="227">
        <f t="shared" si="14"/>
        <v>20.511806970208617</v>
      </c>
      <c r="R36" s="227" t="str">
        <f t="shared" si="2"/>
        <v>0.0355+0.000167543329432594i</v>
      </c>
      <c r="S36" s="227" t="str">
        <f t="shared" si="3"/>
        <v>0.018-35.2690311760114i</v>
      </c>
      <c r="T36" s="227" t="str">
        <f t="shared" ref="T36:T67" si="24">IMDIV(IMPRODUCT(S36,COMPLEX(Ross,0)),IMSUM(S36,COMPLEX(Ross,0)))</f>
        <v>6.19543829686898-1.12413416720875i</v>
      </c>
      <c r="U36" s="227" t="str">
        <f t="shared" si="4"/>
        <v>93.7641786229481-2.56067592360889i</v>
      </c>
      <c r="V36" s="227">
        <f t="shared" si="16"/>
        <v>39.443976928392232</v>
      </c>
      <c r="W36" s="227">
        <f t="shared" si="17"/>
        <v>-1.5643443682344083</v>
      </c>
      <c r="X36" s="227" t="str">
        <f t="shared" si="5"/>
        <v>0.999999997008112-0.0000147788882181059i</v>
      </c>
      <c r="Y36" s="227" t="str">
        <f t="shared" si="6"/>
        <v>191.886323214019+12.3185346252895i</v>
      </c>
      <c r="Z36" s="227" t="str">
        <f t="shared" si="7"/>
        <v>35.2064624901963+2.25962834533178i</v>
      </c>
      <c r="AA36" s="227" t="str">
        <f t="shared" si="8"/>
        <v>18.4569418494382-1.65877067327993i</v>
      </c>
      <c r="AB36" s="227">
        <f t="shared" si="18"/>
        <v>25.358132190253599</v>
      </c>
      <c r="AC36" s="227">
        <f t="shared" si="19"/>
        <v>-5.1355153949048571</v>
      </c>
      <c r="AD36" s="229">
        <f t="shared" si="20"/>
        <v>32.740569962845647</v>
      </c>
      <c r="AE36" s="229">
        <f t="shared" si="21"/>
        <v>96.075126731806492</v>
      </c>
      <c r="AF36" s="227">
        <f t="shared" si="9"/>
        <v>58.098702153099246</v>
      </c>
      <c r="AG36" s="227">
        <f t="shared" si="10"/>
        <v>90.939611336901635</v>
      </c>
      <c r="AH36" s="229" t="str">
        <f t="shared" si="22"/>
        <v>4.5882506903473-43.1104561314961i</v>
      </c>
    </row>
    <row r="37" spans="1:34" x14ac:dyDescent="0.2">
      <c r="F37" s="220"/>
      <c r="I37" s="227">
        <v>33</v>
      </c>
      <c r="J37" s="227">
        <f t="shared" si="0"/>
        <v>1.3217540433838522</v>
      </c>
      <c r="K37" s="227">
        <f t="shared" si="23"/>
        <v>20.977515148659059</v>
      </c>
      <c r="L37" s="227">
        <f t="shared" si="11"/>
        <v>131.8056149631918</v>
      </c>
      <c r="M37" s="227">
        <f>SQRT((Fco_target-K38)^2)</f>
        <v>6562.3917121508357</v>
      </c>
      <c r="N37" s="227">
        <f>SQRT((ABS(AC37)-171.5+'Small Signal'!C$59)^2)</f>
        <v>96.248521019519956</v>
      </c>
      <c r="O37" s="227">
        <f t="shared" si="12"/>
        <v>90.762704800782799</v>
      </c>
      <c r="P37" s="227">
        <f t="shared" si="13"/>
        <v>57.903428311302861</v>
      </c>
      <c r="Q37" s="227">
        <f t="shared" si="14"/>
        <v>20.977515148659059</v>
      </c>
      <c r="R37" s="227" t="str">
        <f t="shared" si="2"/>
        <v>0.0355+0.000171347299452149i</v>
      </c>
      <c r="S37" s="227" t="str">
        <f t="shared" si="3"/>
        <v>0.018-34.4860463397095i</v>
      </c>
      <c r="T37" s="227" t="str">
        <f t="shared" si="24"/>
        <v>6.18635842722366-1.14796715158201i</v>
      </c>
      <c r="U37" s="227" t="str">
        <f t="shared" si="4"/>
        <v>93.7615443349636-2.61875671908441i</v>
      </c>
      <c r="V37" s="227">
        <f t="shared" si="16"/>
        <v>39.443881575527996</v>
      </c>
      <c r="W37" s="227">
        <f t="shared" si="17"/>
        <v>-1.5998532380799082</v>
      </c>
      <c r="X37" s="227" t="str">
        <f t="shared" si="5"/>
        <v>0.999999996870712-0.0000151144339416774i</v>
      </c>
      <c r="Y37" s="227" t="str">
        <f t="shared" si="6"/>
        <v>191.902595630219+12.5978424501327i</v>
      </c>
      <c r="Z37" s="227" t="str">
        <f t="shared" si="7"/>
        <v>35.2094496071478+2.31086261477267i</v>
      </c>
      <c r="AA37" s="227" t="str">
        <f t="shared" si="8"/>
        <v>18.4501866630388-1.69581427160443i</v>
      </c>
      <c r="AB37" s="227">
        <f t="shared" si="18"/>
        <v>25.356550471978913</v>
      </c>
      <c r="AC37" s="227">
        <f t="shared" si="19"/>
        <v>-5.2514789804800301</v>
      </c>
      <c r="AD37" s="229">
        <f t="shared" si="20"/>
        <v>32.546877839323948</v>
      </c>
      <c r="AE37" s="229">
        <f t="shared" si="21"/>
        <v>96.01418378126283</v>
      </c>
      <c r="AF37" s="227">
        <f t="shared" si="9"/>
        <v>57.903428311302861</v>
      </c>
      <c r="AG37" s="227">
        <f t="shared" si="10"/>
        <v>90.762704800782799</v>
      </c>
      <c r="AH37" s="229" t="str">
        <f t="shared" si="22"/>
        <v>4.44222081024489-42.1644973707693i</v>
      </c>
    </row>
    <row r="38" spans="1:34" x14ac:dyDescent="0.2">
      <c r="F38" s="220"/>
      <c r="I38" s="227">
        <v>34</v>
      </c>
      <c r="J38" s="227">
        <f t="shared" si="0"/>
        <v>1.3315041659106357</v>
      </c>
      <c r="K38" s="227">
        <f t="shared" si="23"/>
        <v>21.453796949793784</v>
      </c>
      <c r="L38" s="227">
        <f t="shared" si="11"/>
        <v>134.79818177815852</v>
      </c>
      <c r="M38" s="227">
        <f t="shared" si="1"/>
        <v>6561.9046166593052</v>
      </c>
      <c r="N38" s="227">
        <f>SQRT((ABS(AC38)-171.5+'Small Signal'!C$59)^2)</f>
        <v>96.129968501358576</v>
      </c>
      <c r="O38" s="227">
        <f t="shared" si="12"/>
        <v>90.586205422176448</v>
      </c>
      <c r="P38" s="227">
        <f t="shared" si="13"/>
        <v>57.708040368274894</v>
      </c>
      <c r="Q38" s="227">
        <f t="shared" si="14"/>
        <v>21.453796949793784</v>
      </c>
      <c r="R38" s="227" t="str">
        <f t="shared" si="2"/>
        <v>0.0355+0.000175237636311606i</v>
      </c>
      <c r="S38" s="227" t="str">
        <f t="shared" si="3"/>
        <v>0.018-33.720444040819i</v>
      </c>
      <c r="T38" s="227" t="str">
        <f t="shared" si="24"/>
        <v>6.17689008586981-1.17222894583663i</v>
      </c>
      <c r="U38" s="227" t="str">
        <f t="shared" si="4"/>
        <v>93.7587891869688-2.67815217926868i</v>
      </c>
      <c r="V38" s="227">
        <f t="shared" si="16"/>
        <v>39.443781845612584</v>
      </c>
      <c r="W38" s="227">
        <f t="shared" si="17"/>
        <v>-1.6361677147724667</v>
      </c>
      <c r="X38" s="227" t="str">
        <f t="shared" si="5"/>
        <v>0.999999996727002-0.0000154575980280746i</v>
      </c>
      <c r="Y38" s="227" t="str">
        <f t="shared" si="6"/>
        <v>191.919614566308+12.8834655374882i</v>
      </c>
      <c r="Z38" s="227" t="str">
        <f t="shared" si="7"/>
        <v>35.2125737622482+2.36325530742033i</v>
      </c>
      <c r="AA38" s="227" t="str">
        <f t="shared" si="8"/>
        <v>18.4431265120338-1.73365637256755i</v>
      </c>
      <c r="AB38" s="227">
        <f t="shared" si="18"/>
        <v>25.354896730734513</v>
      </c>
      <c r="AC38" s="227">
        <f t="shared" si="19"/>
        <v>-5.3700314986414384</v>
      </c>
      <c r="AD38" s="229">
        <f t="shared" si="20"/>
        <v>32.353143637540377</v>
      </c>
      <c r="AE38" s="229">
        <f t="shared" si="21"/>
        <v>95.956236920817886</v>
      </c>
      <c r="AF38" s="227">
        <f t="shared" si="9"/>
        <v>57.708040368274894</v>
      </c>
      <c r="AG38" s="227">
        <f t="shared" si="10"/>
        <v>90.586205422176448</v>
      </c>
      <c r="AH38" s="229" t="str">
        <f t="shared" si="22"/>
        <v>4.30253098644221-41.2388235914357i</v>
      </c>
    </row>
    <row r="39" spans="1:34" x14ac:dyDescent="0.2">
      <c r="F39" s="220"/>
      <c r="I39" s="227">
        <v>35</v>
      </c>
      <c r="J39" s="227">
        <f t="shared" si="0"/>
        <v>1.341254288437419</v>
      </c>
      <c r="K39" s="227">
        <f t="shared" si="23"/>
        <v>21.940892441324351</v>
      </c>
      <c r="L39" s="227">
        <f t="shared" si="11"/>
        <v>137.8586930137368</v>
      </c>
      <c r="M39" s="227">
        <f t="shared" si="1"/>
        <v>6561.4064619590754</v>
      </c>
      <c r="N39" s="227">
        <f>SQRT((ABS(AC39)-171.5+'Small Signal'!C$59)^2)</f>
        <v>96.008771296738786</v>
      </c>
      <c r="O39" s="227">
        <f t="shared" si="12"/>
        <v>90.410030252669387</v>
      </c>
      <c r="P39" s="227">
        <f t="shared" si="13"/>
        <v>57.51253759332738</v>
      </c>
      <c r="Q39" s="227">
        <f t="shared" si="14"/>
        <v>21.940892441324351</v>
      </c>
      <c r="R39" s="227" t="str">
        <f t="shared" si="2"/>
        <v>0.0355+0.000179216300917858i</v>
      </c>
      <c r="S39" s="227" t="str">
        <f t="shared" si="3"/>
        <v>0.018-32.9718383809254i</v>
      </c>
      <c r="T39" s="227" t="str">
        <f t="shared" si="24"/>
        <v>6.16701796819154-1.1969220782874i</v>
      </c>
      <c r="U39" s="227" t="str">
        <f t="shared" si="4"/>
        <v>93.7559076396131-2.73889187273624i</v>
      </c>
      <c r="V39" s="227">
        <f t="shared" si="16"/>
        <v>39.443677537817322</v>
      </c>
      <c r="W39" s="227">
        <f t="shared" si="17"/>
        <v>-1.6733060473125565</v>
      </c>
      <c r="X39" s="227" t="str">
        <f t="shared" si="5"/>
        <v>0.999999996576691-0.0000158085534476205i</v>
      </c>
      <c r="Y39" s="227" t="str">
        <f t="shared" si="6"/>
        <v>191.937414232527+13.1755454445582i</v>
      </c>
      <c r="Z39" s="227" t="str">
        <f t="shared" si="7"/>
        <v>35.2158412354457+2.41683238914073i</v>
      </c>
      <c r="AA39" s="227" t="str">
        <f t="shared" si="8"/>
        <v>18.4357478790142-1.77231219902355i</v>
      </c>
      <c r="AB39" s="227">
        <f t="shared" si="18"/>
        <v>25.353167716310139</v>
      </c>
      <c r="AC39" s="227">
        <f t="shared" si="19"/>
        <v>-5.4912287032612026</v>
      </c>
      <c r="AD39" s="229">
        <f t="shared" si="20"/>
        <v>32.159369877017241</v>
      </c>
      <c r="AE39" s="229">
        <f t="shared" si="21"/>
        <v>95.901258955930587</v>
      </c>
      <c r="AF39" s="227">
        <f t="shared" si="9"/>
        <v>57.51253759332738</v>
      </c>
      <c r="AG39" s="227">
        <f t="shared" si="10"/>
        <v>90.410030252669387</v>
      </c>
      <c r="AH39" s="229" t="str">
        <f t="shared" si="22"/>
        <v>4.1689089578366-40.3330305679111i</v>
      </c>
    </row>
    <row r="40" spans="1:34" x14ac:dyDescent="0.2">
      <c r="F40" s="220"/>
      <c r="I40" s="227">
        <v>36</v>
      </c>
      <c r="J40" s="227">
        <f t="shared" si="0"/>
        <v>1.3510044109642023</v>
      </c>
      <c r="K40" s="227">
        <f t="shared" si="23"/>
        <v>22.43904714155466</v>
      </c>
      <c r="L40" s="227">
        <f t="shared" si="11"/>
        <v>140.98869130692634</v>
      </c>
      <c r="M40" s="227">
        <f t="shared" si="1"/>
        <v>6560.8969969574964</v>
      </c>
      <c r="N40" s="227">
        <f>SQRT((ABS(AC40)-171.5+'Small Signal'!C$59)^2)</f>
        <v>95.884872592567461</v>
      </c>
      <c r="O40" s="227">
        <f t="shared" si="12"/>
        <v>90.234096632384706</v>
      </c>
      <c r="P40" s="227">
        <f t="shared" si="13"/>
        <v>57.316919035112107</v>
      </c>
      <c r="Q40" s="227">
        <f t="shared" si="14"/>
        <v>22.43904714155466</v>
      </c>
      <c r="R40" s="227" t="str">
        <f t="shared" si="2"/>
        <v>0.0355+0.000183285298699004i</v>
      </c>
      <c r="S40" s="227" t="str">
        <f t="shared" si="3"/>
        <v>0.018-32.2398520286942i</v>
      </c>
      <c r="T40" s="227" t="str">
        <f t="shared" si="24"/>
        <v>6.15672628529988-1.22204870121578i</v>
      </c>
      <c r="U40" s="227" t="str">
        <f t="shared" si="4"/>
        <v>93.7528939001908-2.80100601992018i</v>
      </c>
      <c r="V40" s="227">
        <f t="shared" si="16"/>
        <v>39.443568442107697</v>
      </c>
      <c r="W40" s="227">
        <f t="shared" si="17"/>
        <v>-1.711286896122852</v>
      </c>
      <c r="X40" s="227" t="str">
        <f t="shared" si="5"/>
        <v>0.999999996419478-0.0000161674770978245i</v>
      </c>
      <c r="Y40" s="227" t="str">
        <f t="shared" si="6"/>
        <v>191.956030403331+13.4742268154691i</v>
      </c>
      <c r="Z40" s="227" t="str">
        <f t="shared" si="7"/>
        <v>35.2192585938299+2.47162039201393i</v>
      </c>
      <c r="AA40" s="227" t="str">
        <f t="shared" si="8"/>
        <v>18.4280366706962-1.81179712370649i</v>
      </c>
      <c r="AB40" s="227">
        <f t="shared" si="18"/>
        <v>25.351360034551096</v>
      </c>
      <c r="AC40" s="227">
        <f t="shared" si="19"/>
        <v>-5.615127407432527</v>
      </c>
      <c r="AD40" s="229">
        <f t="shared" si="20"/>
        <v>31.965559000561015</v>
      </c>
      <c r="AE40" s="229">
        <f t="shared" si="21"/>
        <v>95.84922403981723</v>
      </c>
      <c r="AF40" s="227">
        <f t="shared" si="9"/>
        <v>57.316919035112107</v>
      </c>
      <c r="AG40" s="227">
        <f t="shared" si="10"/>
        <v>90.234096632384706</v>
      </c>
      <c r="AH40" s="229" t="str">
        <f t="shared" si="22"/>
        <v>4.04109389853073-39.4467201058593i</v>
      </c>
    </row>
    <row r="41" spans="1:34" x14ac:dyDescent="0.2">
      <c r="F41" s="220"/>
      <c r="I41" s="227">
        <v>37</v>
      </c>
      <c r="J41" s="227">
        <f t="shared" si="0"/>
        <v>1.3607545334909859</v>
      </c>
      <c r="K41" s="227">
        <f t="shared" si="23"/>
        <v>22.948512143133257</v>
      </c>
      <c r="L41" s="227">
        <f t="shared" si="11"/>
        <v>144.18975431936721</v>
      </c>
      <c r="M41" s="227">
        <f t="shared" si="1"/>
        <v>6560.3759648610148</v>
      </c>
      <c r="N41" s="227">
        <f>SQRT((ABS(AC41)-171.5+'Small Signal'!C$59)^2)</f>
        <v>95.758214506386167</v>
      </c>
      <c r="O41" s="227">
        <f t="shared" si="12"/>
        <v>90.058322175014325</v>
      </c>
      <c r="P41" s="227">
        <f t="shared" si="13"/>
        <v>57.121183520149245</v>
      </c>
      <c r="Q41" s="227">
        <f t="shared" si="14"/>
        <v>22.948512143133257</v>
      </c>
      <c r="R41" s="227" t="str">
        <f t="shared" si="2"/>
        <v>0.0355+0.000187446680615177i</v>
      </c>
      <c r="S41" s="227" t="str">
        <f t="shared" si="3"/>
        <v>0.018-31.5241160296783i</v>
      </c>
      <c r="T41" s="227" t="str">
        <f t="shared" si="24"/>
        <v>6.14599875968706-1.24761055956794i</v>
      </c>
      <c r="U41" s="227" t="str">
        <f t="shared" si="4"/>
        <v>93.7497419111067-2.86452550656007i</v>
      </c>
      <c r="V41" s="227">
        <f t="shared" si="16"/>
        <v>39.443454338822534</v>
      </c>
      <c r="W41" s="227">
        <f t="shared" si="17"/>
        <v>-1.7501293421872326</v>
      </c>
      <c r="X41" s="227" t="str">
        <f t="shared" si="5"/>
        <v>0.999999996255046-0.0000165345498925473i</v>
      </c>
      <c r="Y41" s="227" t="str">
        <f t="shared" si="6"/>
        <v>191.975500488582+13.7796574425349i</v>
      </c>
      <c r="Z41" s="227" t="str">
        <f t="shared" si="7"/>
        <v>35.2228327047008+2.52764642556965i</v>
      </c>
      <c r="AA41" s="227" t="str">
        <f t="shared" si="8"/>
        <v>18.4199781955605-1.85212665978113i</v>
      </c>
      <c r="AB41" s="227">
        <f t="shared" si="18"/>
        <v>25.349470141236946</v>
      </c>
      <c r="AC41" s="227">
        <f t="shared" si="19"/>
        <v>-5.7417854936138237</v>
      </c>
      <c r="AD41" s="229">
        <f t="shared" si="20"/>
        <v>31.771713378912303</v>
      </c>
      <c r="AE41" s="229">
        <f t="shared" si="21"/>
        <v>95.800107668628144</v>
      </c>
      <c r="AF41" s="227">
        <f t="shared" si="9"/>
        <v>57.121183520149245</v>
      </c>
      <c r="AG41" s="227">
        <f t="shared" si="10"/>
        <v>90.058322175014325</v>
      </c>
      <c r="AH41" s="229" t="str">
        <f t="shared" si="22"/>
        <v>3.91883595955484-38.5795000937882i</v>
      </c>
    </row>
    <row r="42" spans="1:34" x14ac:dyDescent="0.2">
      <c r="F42" s="220"/>
      <c r="I42" s="227">
        <v>38</v>
      </c>
      <c r="J42" s="227">
        <f t="shared" si="0"/>
        <v>1.3705046560177692</v>
      </c>
      <c r="K42" s="227">
        <f t="shared" si="23"/>
        <v>23.469544239615477</v>
      </c>
      <c r="L42" s="227">
        <f t="shared" si="11"/>
        <v>147.46349553255325</v>
      </c>
      <c r="M42" s="227">
        <f t="shared" si="1"/>
        <v>6559.8431030457305</v>
      </c>
      <c r="N42" s="227">
        <f>SQRT((ABS(AC42)-171.5+'Small Signal'!C$59)^2)</f>
        <v>95.628738076908206</v>
      </c>
      <c r="O42" s="227">
        <f t="shared" si="12"/>
        <v>89.882624753600012</v>
      </c>
      <c r="P42" s="227">
        <f t="shared" si="13"/>
        <v>56.92532965099646</v>
      </c>
      <c r="Q42" s="227">
        <f t="shared" si="14"/>
        <v>23.469544239615477</v>
      </c>
      <c r="R42" s="227" t="str">
        <f t="shared" si="2"/>
        <v>0.0355+0.000191702544192319i</v>
      </c>
      <c r="S42" s="227" t="str">
        <f t="shared" si="3"/>
        <v>0.018-30.824269620349i</v>
      </c>
      <c r="T42" s="227" t="str">
        <f t="shared" si="24"/>
        <v>6.13481862201714-1.273608958124i</v>
      </c>
      <c r="U42" s="227" t="str">
        <f t="shared" si="4"/>
        <v>93.7464453378161-2.92948189736045i</v>
      </c>
      <c r="V42" s="227">
        <f t="shared" si="16"/>
        <v>39.443334998233546</v>
      </c>
      <c r="W42" s="227">
        <f t="shared" si="17"/>
        <v>-1.7898528963826756</v>
      </c>
      <c r="X42" s="227" t="str">
        <f t="shared" si="5"/>
        <v>0.999999996083061-0.000016909956853189i</v>
      </c>
      <c r="Y42" s="227" t="str">
        <f t="shared" si="6"/>
        <v>191.995863607954+14.0919883283016i</v>
      </c>
      <c r="Z42" s="227" t="str">
        <f t="shared" si="7"/>
        <v>35.2265707492265+2.58493818816605i</v>
      </c>
      <c r="AA42" s="227" t="str">
        <f t="shared" si="8"/>
        <v>18.41155714083-1.89331645037437i</v>
      </c>
      <c r="AB42" s="227">
        <f t="shared" si="18"/>
        <v>25.347494335723646</v>
      </c>
      <c r="AC42" s="227">
        <f t="shared" si="19"/>
        <v>-5.8712619230917946</v>
      </c>
      <c r="AD42" s="229">
        <f t="shared" si="20"/>
        <v>31.577835315272811</v>
      </c>
      <c r="AE42" s="229">
        <f t="shared" si="21"/>
        <v>95.753886676691806</v>
      </c>
      <c r="AF42" s="227">
        <f t="shared" si="9"/>
        <v>56.92532965099646</v>
      </c>
      <c r="AG42" s="227">
        <f t="shared" si="10"/>
        <v>89.882624753600012</v>
      </c>
      <c r="AH42" s="229" t="str">
        <f t="shared" si="22"/>
        <v>3.80189582704444-37.7309845420702i</v>
      </c>
    </row>
    <row r="43" spans="1:34" x14ac:dyDescent="0.2">
      <c r="F43" s="220"/>
      <c r="I43" s="227">
        <v>39</v>
      </c>
      <c r="J43" s="227">
        <f t="shared" si="0"/>
        <v>1.3802547785445527</v>
      </c>
      <c r="K43" s="227">
        <f t="shared" si="23"/>
        <v>24.002406054899147</v>
      </c>
      <c r="L43" s="227">
        <f t="shared" si="11"/>
        <v>150.81156506110065</v>
      </c>
      <c r="M43" s="227">
        <f t="shared" si="1"/>
        <v>6559.2981429250312</v>
      </c>
      <c r="N43" s="227">
        <f>SQRT((ABS(AC43)-171.5+'Small Signal'!C$59)^2)</f>
        <v>95.496383255309183</v>
      </c>
      <c r="O43" s="227">
        <f t="shared" si="12"/>
        <v>89.706922487163922</v>
      </c>
      <c r="P43" s="227">
        <f t="shared" si="13"/>
        <v>56.729355804057207</v>
      </c>
      <c r="Q43" s="227">
        <f t="shared" si="14"/>
        <v>24.002406054899147</v>
      </c>
      <c r="R43" s="227" t="str">
        <f t="shared" si="2"/>
        <v>0.0355+0.000196055034579431i</v>
      </c>
      <c r="S43" s="227" t="str">
        <f t="shared" si="3"/>
        <v>0.018-30.1399600462536i</v>
      </c>
      <c r="T43" s="227" t="str">
        <f t="shared" si="24"/>
        <v>6.12316860918673-1.3000447271207i</v>
      </c>
      <c r="U43" s="227" t="str">
        <f t="shared" si="4"/>
        <v>93.7429975562219-2.99590744986015i</v>
      </c>
      <c r="V43" s="227">
        <f t="shared" si="16"/>
        <v>39.443210180084868</v>
      </c>
      <c r="W43" s="227">
        <f t="shared" si="17"/>
        <v>-1.830477509008543</v>
      </c>
      <c r="X43" s="227" t="str">
        <f t="shared" si="5"/>
        <v>0.999999995903179-0.0000172938872019492i</v>
      </c>
      <c r="Y43" s="227" t="str">
        <f t="shared" si="6"/>
        <v>192.017160668675+14.411373748346i</v>
      </c>
      <c r="Z43" s="227" t="str">
        <f t="shared" si="7"/>
        <v>35.2304802367153+2.64352397850666i</v>
      </c>
      <c r="AA43" s="227" t="str">
        <f t="shared" si="8"/>
        <v>18.4027575487877-1.93538225701822i</v>
      </c>
      <c r="AB43" s="227">
        <f t="shared" si="18"/>
        <v>25.345428754342386</v>
      </c>
      <c r="AC43" s="227">
        <f t="shared" si="19"/>
        <v>-6.0036167446908228</v>
      </c>
      <c r="AD43" s="229">
        <f t="shared" si="20"/>
        <v>31.383927049714821</v>
      </c>
      <c r="AE43" s="229">
        <f t="shared" si="21"/>
        <v>95.710539231854739</v>
      </c>
      <c r="AF43" s="227">
        <f t="shared" si="9"/>
        <v>56.729355804057207</v>
      </c>
      <c r="AG43" s="227">
        <f t="shared" si="10"/>
        <v>89.706922487163922</v>
      </c>
      <c r="AH43" s="229" t="str">
        <f t="shared" si="22"/>
        <v>3.69004429645258-36.9007936103353i</v>
      </c>
    </row>
    <row r="44" spans="1:34" x14ac:dyDescent="0.2">
      <c r="F44" s="220"/>
      <c r="I44" s="227">
        <v>40</v>
      </c>
      <c r="J44" s="227">
        <f t="shared" si="0"/>
        <v>1.390004901071336</v>
      </c>
      <c r="K44" s="227">
        <f t="shared" si="23"/>
        <v>24.547366175598889</v>
      </c>
      <c r="L44" s="227">
        <f t="shared" si="11"/>
        <v>154.23565048448009</v>
      </c>
      <c r="M44" s="227">
        <f t="shared" si="1"/>
        <v>6558.7408098142041</v>
      </c>
      <c r="N44" s="227">
        <f>SQRT((ABS(AC44)-171.5+'Small Signal'!C$59)^2)</f>
        <v>95.361088897349248</v>
      </c>
      <c r="O44" s="227">
        <f t="shared" si="12"/>
        <v>89.531133728294563</v>
      </c>
      <c r="P44" s="227">
        <f t="shared" si="13"/>
        <v>56.533260127030744</v>
      </c>
      <c r="Q44" s="227">
        <f t="shared" si="14"/>
        <v>24.547366175598889</v>
      </c>
      <c r="R44" s="227" t="str">
        <f t="shared" si="2"/>
        <v>0.0355+0.000200506345629824i</v>
      </c>
      <c r="S44" s="227" t="str">
        <f t="shared" si="3"/>
        <v>0.018-29.4708423842122i</v>
      </c>
      <c r="T44" s="227" t="str">
        <f t="shared" si="24"/>
        <v>6.1110309637997-1.3269181863161i</v>
      </c>
      <c r="U44" s="227" t="str">
        <f t="shared" si="4"/>
        <v>93.7393916395058-3.06383512850844i</v>
      </c>
      <c r="V44" s="227">
        <f t="shared" si="16"/>
        <v>39.443079633111864</v>
      </c>
      <c r="W44" s="227">
        <f t="shared" si="17"/>
        <v>-1.872023579515534</v>
      </c>
      <c r="X44" s="227" t="str">
        <f t="shared" si="5"/>
        <v>0.999999995715035-0.000017686534457203i</v>
      </c>
      <c r="Y44" s="227" t="str">
        <f t="shared" si="6"/>
        <v>192.039434446784+14.7379713148021i</v>
      </c>
      <c r="Z44" s="227" t="str">
        <f t="shared" si="7"/>
        <v>35.2345690195308+2.70343270729061i</v>
      </c>
      <c r="AA44" s="227" t="str">
        <f t="shared" si="8"/>
        <v>18.3935627924376-1.97833994693136i</v>
      </c>
      <c r="AB44" s="227">
        <f t="shared" si="18"/>
        <v>25.343269363547787</v>
      </c>
      <c r="AC44" s="227">
        <f t="shared" si="19"/>
        <v>-6.1389111026507619</v>
      </c>
      <c r="AD44" s="229">
        <f t="shared" si="20"/>
        <v>31.18999076348296</v>
      </c>
      <c r="AE44" s="229">
        <f t="shared" si="21"/>
        <v>95.670044830945329</v>
      </c>
      <c r="AF44" s="227">
        <f t="shared" si="9"/>
        <v>56.533260127030744</v>
      </c>
      <c r="AG44" s="227">
        <f t="shared" si="10"/>
        <v>89.531133728294563</v>
      </c>
      <c r="AH44" s="229" t="str">
        <f t="shared" si="22"/>
        <v>3.58306186237315-36.0885536241481i</v>
      </c>
    </row>
    <row r="45" spans="1:34" x14ac:dyDescent="0.2">
      <c r="A45" s="227"/>
      <c r="B45" s="235"/>
      <c r="C45" s="227"/>
      <c r="D45" s="227"/>
      <c r="E45" s="227"/>
      <c r="F45" s="227"/>
      <c r="I45" s="227">
        <v>41</v>
      </c>
      <c r="J45" s="227">
        <f t="shared" si="0"/>
        <v>1.3997550235981193</v>
      </c>
      <c r="K45" s="227">
        <f t="shared" si="23"/>
        <v>25.104699286426122</v>
      </c>
      <c r="L45" s="227">
        <f t="shared" si="11"/>
        <v>157.73747769763446</v>
      </c>
      <c r="M45" s="227">
        <f t="shared" si="1"/>
        <v>6558.1708227919871</v>
      </c>
      <c r="N45" s="227">
        <f>SQRT((ABS(AC45)-171.5+'Small Signal'!C$59)^2)</f>
        <v>95.222792756407756</v>
      </c>
      <c r="O45" s="227">
        <f t="shared" si="12"/>
        <v>89.355177051793106</v>
      </c>
      <c r="P45" s="227">
        <f t="shared" si="13"/>
        <v>56.337040536000728</v>
      </c>
      <c r="Q45" s="227">
        <f t="shared" si="14"/>
        <v>25.104699286426122</v>
      </c>
      <c r="R45" s="227" t="str">
        <f t="shared" si="2"/>
        <v>0.0355+0.000205058721006925i</v>
      </c>
      <c r="S45" s="227" t="str">
        <f t="shared" si="3"/>
        <v>0.018-28.8165793684598i</v>
      </c>
      <c r="T45" s="227" t="str">
        <f t="shared" si="24"/>
        <v>6.09838743520669-1.35422910749321i</v>
      </c>
      <c r="U45" s="227" t="str">
        <f t="shared" si="4"/>
        <v>93.7356203443673-3.13329861894748i</v>
      </c>
      <c r="V45" s="227">
        <f t="shared" si="16"/>
        <v>39.442943094538037</v>
      </c>
      <c r="W45" s="227">
        <f t="shared" si="17"/>
        <v>-1.9145119664390637</v>
      </c>
      <c r="X45" s="227" t="str">
        <f t="shared" si="5"/>
        <v>0.999999995518251-0.0000180880965310431i</v>
      </c>
      <c r="Y45" s="227" t="str">
        <f t="shared" si="6"/>
        <v>192.062729672038+15.0719420405838i</v>
      </c>
      <c r="Z45" s="227" t="str">
        <f t="shared" si="7"/>
        <v>35.2388453086793+2.76469390899049i</v>
      </c>
      <c r="AA45" s="227" t="str">
        <f t="shared" si="8"/>
        <v>18.383955550516-2.0222054790635i</v>
      </c>
      <c r="AB45" s="227">
        <f t="shared" si="18"/>
        <v>25.341011952808795</v>
      </c>
      <c r="AC45" s="227">
        <f t="shared" si="19"/>
        <v>-6.2772072435922563</v>
      </c>
      <c r="AD45" s="229">
        <f t="shared" si="20"/>
        <v>30.996028583191929</v>
      </c>
      <c r="AE45" s="229">
        <f t="shared" si="21"/>
        <v>95.632384295385364</v>
      </c>
      <c r="AF45" s="227">
        <f t="shared" si="9"/>
        <v>56.337040536000728</v>
      </c>
      <c r="AG45" s="227">
        <f t="shared" si="10"/>
        <v>89.355177051793106</v>
      </c>
      <c r="AH45" s="229" t="str">
        <f t="shared" si="22"/>
        <v>3.48073832354329-35.2938970817962i</v>
      </c>
    </row>
    <row r="46" spans="1:34" x14ac:dyDescent="0.2">
      <c r="A46" s="227"/>
      <c r="B46" s="235"/>
      <c r="C46" s="227"/>
      <c r="D46" s="227"/>
      <c r="E46" s="227"/>
      <c r="F46" s="227"/>
      <c r="I46" s="227">
        <v>42</v>
      </c>
      <c r="J46" s="227">
        <f t="shared" si="0"/>
        <v>1.4095051461249029</v>
      </c>
      <c r="K46" s="227">
        <f t="shared" si="23"/>
        <v>25.674686308642574</v>
      </c>
      <c r="L46" s="227">
        <f t="shared" si="11"/>
        <v>161.31881178090791</v>
      </c>
      <c r="M46" s="227">
        <f t="shared" si="1"/>
        <v>6557.5878945589729</v>
      </c>
      <c r="N46" s="227">
        <f>SQRT((ABS(AC46)-171.5+'Small Signal'!C$59)^2)</f>
        <v>95.081431477520056</v>
      </c>
      <c r="O46" s="227">
        <f t="shared" si="12"/>
        <v>89.178971244492772</v>
      </c>
      <c r="P46" s="227">
        <f t="shared" si="13"/>
        <v>56.14069471216618</v>
      </c>
      <c r="Q46" s="227">
        <f t="shared" si="14"/>
        <v>25.674686308642574</v>
      </c>
      <c r="R46" s="227" t="str">
        <f t="shared" si="2"/>
        <v>0.0355+0.00020971445531518i</v>
      </c>
      <c r="S46" s="227" t="str">
        <f t="shared" si="3"/>
        <v>0.018-28.1768412206499i</v>
      </c>
      <c r="T46" s="227" t="str">
        <f t="shared" si="24"/>
        <v>6.08521928227109-1.38197667540811i</v>
      </c>
      <c r="U46" s="227" t="str">
        <f t="shared" si="4"/>
        <v>93.7316760966342-3.20433234249518i</v>
      </c>
      <c r="V46" s="227">
        <f t="shared" si="16"/>
        <v>39.442800289548188</v>
      </c>
      <c r="W46" s="227">
        <f t="shared" si="17"/>
        <v>-1.9579639975390892</v>
      </c>
      <c r="X46" s="227" t="str">
        <f t="shared" si="5"/>
        <v>0.99999999531243-0.0000184987758290368i</v>
      </c>
      <c r="Y46" s="227" t="str">
        <f t="shared" si="6"/>
        <v>192.087093116612+15.4134504042653i</v>
      </c>
      <c r="Z46" s="227" t="str">
        <f t="shared" si="7"/>
        <v>35.2433176900912+2.82733775375054i</v>
      </c>
      <c r="AA46" s="227" t="str">
        <f t="shared" si="8"/>
        <v>18.3739177818644-2.06699488882184i</v>
      </c>
      <c r="AB46" s="227">
        <f t="shared" si="18"/>
        <v>25.338652127235971</v>
      </c>
      <c r="AC46" s="227">
        <f t="shared" si="19"/>
        <v>-6.4185685224799576</v>
      </c>
      <c r="AD46" s="229">
        <f t="shared" si="20"/>
        <v>30.802042584930213</v>
      </c>
      <c r="AE46" s="229">
        <f t="shared" si="21"/>
        <v>95.59753976697273</v>
      </c>
      <c r="AF46" s="227">
        <f t="shared" si="9"/>
        <v>56.14069471216618</v>
      </c>
      <c r="AG46" s="227">
        <f t="shared" si="10"/>
        <v>89.178971244492772</v>
      </c>
      <c r="AH46" s="229" t="str">
        <f t="shared" si="22"/>
        <v>3.38287240259536-34.5164626519944i</v>
      </c>
    </row>
    <row r="47" spans="1:34" x14ac:dyDescent="0.2">
      <c r="A47" s="227"/>
      <c r="B47" s="235"/>
      <c r="C47" s="227"/>
      <c r="D47" s="227"/>
      <c r="E47" s="227"/>
      <c r="F47" s="227"/>
      <c r="I47" s="227">
        <v>43</v>
      </c>
      <c r="J47" s="227">
        <f t="shared" si="0"/>
        <v>1.4192552686516862</v>
      </c>
      <c r="K47" s="227">
        <f t="shared" si="23"/>
        <v>26.257614541657375</v>
      </c>
      <c r="L47" s="227">
        <f t="shared" si="11"/>
        <v>164.98145788972667</v>
      </c>
      <c r="M47" s="227">
        <f t="shared" si="1"/>
        <v>6556.991731292791</v>
      </c>
      <c r="N47" s="227">
        <f>SQRT((ABS(AC47)-171.5+'Small Signal'!C$59)^2)</f>
        <v>94.936940592508336</v>
      </c>
      <c r="O47" s="227">
        <f t="shared" si="12"/>
        <v>89.002435296364311</v>
      </c>
      <c r="P47" s="227">
        <f t="shared" si="13"/>
        <v>55.94422009821308</v>
      </c>
      <c r="Q47" s="227">
        <f t="shared" si="14"/>
        <v>26.257614541657375</v>
      </c>
      <c r="R47" s="227" t="str">
        <f t="shared" si="2"/>
        <v>0.0355+0.000214475895256645i</v>
      </c>
      <c r="S47" s="227" t="str">
        <f t="shared" si="3"/>
        <v>0.018-27.5513054836303i</v>
      </c>
      <c r="T47" s="227" t="str">
        <f t="shared" si="24"/>
        <v>6.07150727803083-1.41015944719882i</v>
      </c>
      <c r="U47" s="227" t="str">
        <f t="shared" si="4"/>
        <v>93.7275509762447-3.27697147082751i</v>
      </c>
      <c r="V47" s="227">
        <f t="shared" si="16"/>
        <v>39.442650930739347</v>
      </c>
      <c r="W47" s="227">
        <f t="shared" si="17"/>
        <v>-2.0024014801510299</v>
      </c>
      <c r="X47" s="227" t="str">
        <f t="shared" si="5"/>
        <v>0.999999995097157-0.0000189187793522474i</v>
      </c>
      <c r="Y47" s="227" t="str">
        <f t="shared" si="6"/>
        <v>192.112573687811+15.7626644155857i</v>
      </c>
      <c r="Z47" s="227" t="str">
        <f t="shared" si="7"/>
        <v>35.2479951416409+2.89139505939922i</v>
      </c>
      <c r="AA47" s="227" t="str">
        <f t="shared" si="8"/>
        <v>18.3634306991779-2.11272427139606i</v>
      </c>
      <c r="AB47" s="227">
        <f t="shared" si="18"/>
        <v>25.336185299938482</v>
      </c>
      <c r="AC47" s="227">
        <f t="shared" si="19"/>
        <v>-6.5630594074916688</v>
      </c>
      <c r="AD47" s="229">
        <f t="shared" si="20"/>
        <v>30.608034798274602</v>
      </c>
      <c r="AE47" s="229">
        <f t="shared" si="21"/>
        <v>95.565494703855975</v>
      </c>
      <c r="AF47" s="227">
        <f t="shared" si="9"/>
        <v>55.94422009821308</v>
      </c>
      <c r="AG47" s="227">
        <f t="shared" si="10"/>
        <v>89.002435296364311</v>
      </c>
      <c r="AH47" s="229" t="str">
        <f t="shared" si="22"/>
        <v>3.28927138012557-33.755895163236i</v>
      </c>
    </row>
    <row r="48" spans="1:34" x14ac:dyDescent="0.2">
      <c r="A48" s="227"/>
      <c r="B48" s="235"/>
      <c r="C48" s="227" t="s">
        <v>176</v>
      </c>
      <c r="D48" s="227"/>
      <c r="E48" s="227"/>
      <c r="F48" s="235"/>
      <c r="I48" s="227">
        <v>44</v>
      </c>
      <c r="J48" s="227">
        <f t="shared" si="0"/>
        <v>1.4290053911784697</v>
      </c>
      <c r="K48" s="227">
        <f t="shared" si="23"/>
        <v>26.853777807839133</v>
      </c>
      <c r="L48" s="227">
        <f t="shared" si="11"/>
        <v>168.72726216448009</v>
      </c>
      <c r="M48" s="227">
        <f t="shared" si="1"/>
        <v>6556.3820325000142</v>
      </c>
      <c r="N48" s="227">
        <f>SQRT((ABS(AC48)-171.5+'Small Signal'!C$59)^2)</f>
        <v>94.789254516306897</v>
      </c>
      <c r="O48" s="227">
        <f t="shared" si="12"/>
        <v>88.825488393026376</v>
      </c>
      <c r="P48" s="227">
        <f t="shared" si="13"/>
        <v>55.74761389432625</v>
      </c>
      <c r="Q48" s="227">
        <f t="shared" si="14"/>
        <v>26.853777807839133</v>
      </c>
      <c r="R48" s="227" t="str">
        <f t="shared" si="2"/>
        <v>0.0355+0.000219345440813824i</v>
      </c>
      <c r="S48" s="227" t="str">
        <f t="shared" si="3"/>
        <v>0.018-26.9396568589106i</v>
      </c>
      <c r="T48" s="227" t="str">
        <f t="shared" si="24"/>
        <v>6.05723171643383-1.4387753102821i</v>
      </c>
      <c r="U48" s="227" t="str">
        <f t="shared" si="4"/>
        <v>93.7232367015357-3.35125194085336i</v>
      </c>
      <c r="V48" s="227">
        <f t="shared" si="16"/>
        <v>39.442494717544825</v>
      </c>
      <c r="W48" s="227">
        <f t="shared" si="17"/>
        <v>-2.047846711750497</v>
      </c>
      <c r="X48" s="227" t="str">
        <f t="shared" si="5"/>
        <v>0.999999994871997-0.0000193483188015723i</v>
      </c>
      <c r="Y48" s="227" t="str">
        <f t="shared" si="6"/>
        <v>192.139222524907+16.1197556815239i</v>
      </c>
      <c r="Z48" s="227" t="str">
        <f t="shared" si="7"/>
        <v>35.2528870509226+2.95689730356611i</v>
      </c>
      <c r="AA48" s="227" t="str">
        <f t="shared" si="8"/>
        <v>18.3524747421447-2.15940976359315i</v>
      </c>
      <c r="AB48" s="227">
        <f t="shared" si="18"/>
        <v>25.333606684103209</v>
      </c>
      <c r="AC48" s="227">
        <f t="shared" si="19"/>
        <v>-6.7107454836931026</v>
      </c>
      <c r="AD48" s="229">
        <f t="shared" si="20"/>
        <v>30.414007210223041</v>
      </c>
      <c r="AE48" s="229">
        <f t="shared" si="21"/>
        <v>95.536233876719479</v>
      </c>
      <c r="AF48" s="227">
        <f t="shared" si="9"/>
        <v>55.74761389432625</v>
      </c>
      <c r="AG48" s="227">
        <f t="shared" si="10"/>
        <v>88.825488393026376</v>
      </c>
      <c r="AH48" s="229" t="str">
        <f t="shared" si="22"/>
        <v>3.19975074264898-33.0118455854886i</v>
      </c>
    </row>
    <row r="49" spans="1:34" x14ac:dyDescent="0.2">
      <c r="A49" s="227"/>
      <c r="B49" s="235"/>
      <c r="C49" s="236">
        <v>0</v>
      </c>
      <c r="D49" s="229"/>
      <c r="E49" s="227"/>
      <c r="F49" s="235"/>
      <c r="I49" s="227">
        <v>45</v>
      </c>
      <c r="J49" s="227">
        <f t="shared" si="0"/>
        <v>1.438755513705253</v>
      </c>
      <c r="K49" s="227">
        <f t="shared" si="23"/>
        <v>27.46347660061566</v>
      </c>
      <c r="L49" s="227">
        <f t="shared" si="11"/>
        <v>172.55811266105869</v>
      </c>
      <c r="M49" s="227">
        <f t="shared" si="1"/>
        <v>6555.7584908646932</v>
      </c>
      <c r="N49" s="227">
        <f>SQRT((ABS(AC49)-171.5+'Small Signal'!C$59)^2)</f>
        <v>94.63830654458684</v>
      </c>
      <c r="O49" s="227">
        <f t="shared" si="12"/>
        <v>88.648049909783467</v>
      </c>
      <c r="P49" s="227">
        <f t="shared" si="13"/>
        <v>55.550873053843929</v>
      </c>
      <c r="Q49" s="227">
        <f t="shared" si="14"/>
        <v>27.46347660061566</v>
      </c>
      <c r="R49" s="227" t="str">
        <f t="shared" si="2"/>
        <v>0.0355+0.000224325546459376i</v>
      </c>
      <c r="S49" s="227" t="str">
        <f t="shared" si="3"/>
        <v>0.018-26.3415870477374i</v>
      </c>
      <c r="T49" s="227" t="str">
        <f t="shared" si="24"/>
        <v>6.04237242133474-1.46782143877878i</v>
      </c>
      <c r="U49" s="227" t="str">
        <f t="shared" si="4"/>
        <v>93.7187246128405-3.42721046977804i</v>
      </c>
      <c r="V49" s="227">
        <f t="shared" si="16"/>
        <v>39.442331335633511</v>
      </c>
      <c r="W49" s="227">
        <f t="shared" si="17"/>
        <v>-2.0943224907353639</v>
      </c>
      <c r="X49" s="227" t="str">
        <f t="shared" si="5"/>
        <v>0.999999994636497-0.0000197876106844495i</v>
      </c>
      <c r="Y49" s="227" t="str">
        <f t="shared" si="6"/>
        <v>192.167093100331+16.4848994729032i</v>
      </c>
      <c r="Z49" s="227" t="str">
        <f t="shared" si="7"/>
        <v>35.2580032338262+3.02387663589583i</v>
      </c>
      <c r="AA49" s="227" t="str">
        <f t="shared" si="8"/>
        <v>18.3410295500039-2.20706752409066i</v>
      </c>
      <c r="AB49" s="227">
        <f t="shared" si="18"/>
        <v>25.330911284791817</v>
      </c>
      <c r="AC49" s="227">
        <f t="shared" si="19"/>
        <v>-6.861693455413163</v>
      </c>
      <c r="AD49" s="229">
        <f t="shared" si="20"/>
        <v>30.219961769052116</v>
      </c>
      <c r="AE49" s="229">
        <f t="shared" si="21"/>
        <v>95.509743365196627</v>
      </c>
      <c r="AF49" s="227">
        <f t="shared" si="9"/>
        <v>55.550873053843929</v>
      </c>
      <c r="AG49" s="227">
        <f t="shared" si="10"/>
        <v>88.648049909783467</v>
      </c>
      <c r="AH49" s="229" t="str">
        <f t="shared" si="22"/>
        <v>3.11413384401311-32.2839710048819i</v>
      </c>
    </row>
    <row r="50" spans="1:34" x14ac:dyDescent="0.2">
      <c r="A50" s="227"/>
      <c r="B50" s="235" t="s">
        <v>177</v>
      </c>
      <c r="C50" s="229">
        <f>D52</f>
        <v>2.1999999999999998E-11</v>
      </c>
      <c r="D50" s="227"/>
      <c r="E50" s="227"/>
      <c r="F50" s="235"/>
      <c r="I50" s="227">
        <v>46</v>
      </c>
      <c r="J50" s="227">
        <f t="shared" si="0"/>
        <v>1.4485056362320363</v>
      </c>
      <c r="K50" s="227">
        <f t="shared" si="23"/>
        <v>28.08701823593649</v>
      </c>
      <c r="L50" s="227">
        <f t="shared" si="11"/>
        <v>176.47594030252125</v>
      </c>
      <c r="M50" s="227">
        <f t="shared" si="1"/>
        <v>6555.1207920934557</v>
      </c>
      <c r="N50" s="227">
        <f>SQRT((ABS(AC50)-171.5+'Small Signal'!C$59)^2)</f>
        <v>94.484028852791795</v>
      </c>
      <c r="O50" s="227">
        <f t="shared" si="12"/>
        <v>88.470039407318382</v>
      </c>
      <c r="P50" s="227">
        <f t="shared" si="13"/>
        <v>55.353994278554531</v>
      </c>
      <c r="Q50" s="227">
        <f t="shared" si="14"/>
        <v>28.08701823593649</v>
      </c>
      <c r="R50" s="227" t="str">
        <f t="shared" si="2"/>
        <v>0.0355+0.000229418722393278i</v>
      </c>
      <c r="S50" s="227" t="str">
        <f t="shared" si="3"/>
        <v>0.018-25.7567945956971i</v>
      </c>
      <c r="T50" s="227" t="str">
        <f t="shared" si="24"/>
        <v>6.02690875794689-1.49729424852213i</v>
      </c>
      <c r="U50" s="227" t="str">
        <f t="shared" si="4"/>
        <v>93.7140056553463-3.50488457034919i</v>
      </c>
      <c r="V50" s="227">
        <f t="shared" si="16"/>
        <v>39.442160456281243</v>
      </c>
      <c r="W50" s="227">
        <f t="shared" si="17"/>
        <v>-2.141852127428828</v>
      </c>
      <c r="X50" s="227" t="str">
        <f t="shared" si="5"/>
        <v>0.999999994390183-0.000020236876423988i</v>
      </c>
      <c r="Y50" s="227" t="str">
        <f t="shared" si="6"/>
        <v>192.196241325376+16.8582747914655i</v>
      </c>
      <c r="Z50" s="227" t="str">
        <f t="shared" si="7"/>
        <v>35.2633539539408+3.09236589034775i</v>
      </c>
      <c r="AA50" s="227" t="str">
        <f t="shared" si="8"/>
        <v>18.3290739335458-2.25571371201194i</v>
      </c>
      <c r="AB50" s="227">
        <f t="shared" si="18"/>
        <v>25.32809389044813</v>
      </c>
      <c r="AC50" s="227">
        <f t="shared" si="19"/>
        <v>-7.0159711472081998</v>
      </c>
      <c r="AD50" s="229">
        <f t="shared" si="20"/>
        <v>30.0259003881064</v>
      </c>
      <c r="AE50" s="229">
        <f t="shared" si="21"/>
        <v>95.486010554526587</v>
      </c>
      <c r="AF50" s="227">
        <f t="shared" si="9"/>
        <v>55.353994278554531</v>
      </c>
      <c r="AG50" s="227">
        <f t="shared" si="10"/>
        <v>88.470039407318382</v>
      </c>
      <c r="AH50" s="229" t="str">
        <f t="shared" si="22"/>
        <v>3.03225157984631-31.5719345919965i</v>
      </c>
    </row>
    <row r="51" spans="1:34" x14ac:dyDescent="0.2">
      <c r="A51" s="227"/>
      <c r="B51" s="235" t="s">
        <v>178</v>
      </c>
      <c r="C51" s="227">
        <f>D53</f>
        <v>68100</v>
      </c>
      <c r="D51" s="227"/>
      <c r="E51" s="227"/>
      <c r="F51" s="235"/>
      <c r="I51" s="227">
        <v>47</v>
      </c>
      <c r="J51" s="227">
        <f t="shared" si="0"/>
        <v>1.4582557587588199</v>
      </c>
      <c r="K51" s="227">
        <f t="shared" si="23"/>
        <v>28.724717007173975</v>
      </c>
      <c r="L51" s="227">
        <f t="shared" si="11"/>
        <v>180.4827198523671</v>
      </c>
      <c r="M51" s="227">
        <f t="shared" si="1"/>
        <v>6554.4686147570883</v>
      </c>
      <c r="N51" s="227">
        <f>SQRT((ABS(AC51)-171.5+'Small Signal'!C$59)^2)</f>
        <v>94.326352496705226</v>
      </c>
      <c r="O51" s="227">
        <f t="shared" si="12"/>
        <v>88.291376629173641</v>
      </c>
      <c r="P51" s="227">
        <f t="shared" si="13"/>
        <v>55.15697401363655</v>
      </c>
      <c r="Q51" s="227">
        <f t="shared" si="14"/>
        <v>28.724717007173975</v>
      </c>
      <c r="R51" s="227" t="str">
        <f t="shared" si="2"/>
        <v>0.0355+0.000234627535808077i</v>
      </c>
      <c r="S51" s="227" t="str">
        <f t="shared" si="3"/>
        <v>0.018-25.1849847407701i</v>
      </c>
      <c r="T51" s="227" t="str">
        <f t="shared" si="24"/>
        <v>6.01081964695214-1.52718935071957i</v>
      </c>
      <c r="U51" s="227" t="str">
        <f t="shared" si="4"/>
        <v>93.7090703611851-3.58431256627774i</v>
      </c>
      <c r="V51" s="227">
        <f t="shared" si="16"/>
        <v>39.441981735713789</v>
      </c>
      <c r="W51" s="227">
        <f t="shared" si="17"/>
        <v>-2.1904594553063705</v>
      </c>
      <c r="X51" s="227" t="str">
        <f t="shared" si="5"/>
        <v>0.999999994132556-0.0000206963424705743i</v>
      </c>
      <c r="Y51" s="227" t="str">
        <f t="shared" si="6"/>
        <v>192.226725660623+17.2400644373534i</v>
      </c>
      <c r="Z51" s="227" t="str">
        <f t="shared" si="7"/>
        <v>35.2689499428254+3.16239859757026i</v>
      </c>
      <c r="AA51" s="227" t="str">
        <f t="shared" si="8"/>
        <v>18.3165858465898-2.30536446372279i</v>
      </c>
      <c r="AB51" s="227">
        <f t="shared" si="18"/>
        <v>25.325149064111095</v>
      </c>
      <c r="AC51" s="227">
        <f t="shared" si="19"/>
        <v>-7.1736475032947817</v>
      </c>
      <c r="AD51" s="229">
        <f t="shared" si="20"/>
        <v>29.831824949525455</v>
      </c>
      <c r="AE51" s="229">
        <f t="shared" si="21"/>
        <v>95.465024132468429</v>
      </c>
      <c r="AF51" s="227">
        <f t="shared" si="9"/>
        <v>55.15697401363655</v>
      </c>
      <c r="AG51" s="227">
        <f t="shared" si="10"/>
        <v>88.291376629173641</v>
      </c>
      <c r="AH51" s="229" t="str">
        <f t="shared" si="22"/>
        <v>2.95394207462141-30.875405564319i</v>
      </c>
    </row>
    <row r="52" spans="1:34" x14ac:dyDescent="0.2">
      <c r="A52" s="227"/>
      <c r="B52" s="235" t="s">
        <v>179</v>
      </c>
      <c r="C52" s="229">
        <f>1/(2*PI()*Rshss*3*'Small Signal'!C60)</f>
        <v>2.1961217843323658E-11</v>
      </c>
      <c r="D52" s="237">
        <f>IF(C52*10^12&lt;10000,IF((10^(LOG(C52*10^12)-INT(LOG(C52*10^12))))-VLOOKUP((10^(LOG(C52*10^12)-INT(LOG(C52*10^12)))),c_s1:C_f1,1)&lt;VLOOKUP((10^(LOG(C52*10^12)-INT(LOG(C52*10^12)))),c_s1:C_f1,2)-(10^(LOG(C52*10^12)-INT(LOG(C52*10^12)))),VLOOKUP((10^(LOG(C52*10^12)-INT(LOG(C52*10^12)))),c_s1:C_f1,1),VLOOKUP((10^(LOG(C52*10^12)-INT(LOG(C52*10^12)))),c_s1:C_f1,2))*10^INT(LOG(C52*10^12)),IF((10^(LOG(C52*10^12)-INT(LOG(C52*10^12))))-VLOOKUP((10^(LOG(C52*10^12)-INT(LOG(C52*10^12)))),C_s2:C_f2,1)&lt;VLOOKUP((10^(LOG(C52*10^12)-INT(LOG(C52*10^12)))),C_s2:C_f2,2)-(10^(LOG(C52*10^12)-INT(LOG(C52*10^12)))),VLOOKUP((10^(LOG(C52*10^12)-INT(LOG(C52*10^12)))),C_s2:C_f2,1),VLOOKUP((10^(LOG(C52*10^12)-INT(LOG(C52*10^12)))),C_s2:C_f2,2))*10^INT(LOG(C52*10^12)))*10^-12</f>
        <v>2.1999999999999998E-11</v>
      </c>
      <c r="E52" s="227"/>
      <c r="F52" s="235"/>
      <c r="I52" s="227">
        <v>48</v>
      </c>
      <c r="J52" s="227">
        <f t="shared" si="0"/>
        <v>1.4680058812856032</v>
      </c>
      <c r="K52" s="227">
        <f t="shared" si="23"/>
        <v>29.376894343541498</v>
      </c>
      <c r="L52" s="227">
        <f t="shared" si="11"/>
        <v>184.58047090990704</v>
      </c>
      <c r="M52" s="227">
        <f t="shared" si="1"/>
        <v>6553.8016301285215</v>
      </c>
      <c r="N52" s="227">
        <f>SQRT((ABS(AC52)-171.5+'Small Signal'!C$59)^2)</f>
        <v>94.165207414672579</v>
      </c>
      <c r="O52" s="227">
        <f t="shared" si="12"/>
        <v>88.111981501157842</v>
      </c>
      <c r="P52" s="227">
        <f t="shared" si="13"/>
        <v>54.959808442242888</v>
      </c>
      <c r="Q52" s="227">
        <f t="shared" si="14"/>
        <v>29.376894343541498</v>
      </c>
      <c r="R52" s="227" t="str">
        <f t="shared" si="2"/>
        <v>0.0355+0.000239954612182879i</v>
      </c>
      <c r="S52" s="227" t="str">
        <f t="shared" si="3"/>
        <v>0.018-24.6258692647564i</v>
      </c>
      <c r="T52" s="227" t="str">
        <f t="shared" si="24"/>
        <v>5.99408358147746-1.5575015043556i</v>
      </c>
      <c r="U52" s="227" t="str">
        <f t="shared" si="4"/>
        <v>93.7039088307249-3.66553360782702i</v>
      </c>
      <c r="V52" s="227">
        <f t="shared" si="16"/>
        <v>39.441794814420007</v>
      </c>
      <c r="W52" s="227">
        <f t="shared" si="17"/>
        <v>-2.2401688424504469</v>
      </c>
      <c r="X52" s="227" t="str">
        <f t="shared" si="5"/>
        <v>0.999999993863097-0.000021166240416014i</v>
      </c>
      <c r="Y52" s="227" t="str">
        <f t="shared" si="6"/>
        <v>192.258607231295+17.6304550769376i</v>
      </c>
      <c r="Z52" s="227" t="str">
        <f t="shared" si="7"/>
        <v>35.2748024211846+3.2340089973382i</v>
      </c>
      <c r="AA52" s="227" t="str">
        <f t="shared" si="8"/>
        <v>18.3035423569781-2.35603586774575i</v>
      </c>
      <c r="AB52" s="227">
        <f t="shared" si="18"/>
        <v>25.322071134327434</v>
      </c>
      <c r="AC52" s="227">
        <f t="shared" si="19"/>
        <v>-7.3347925853274143</v>
      </c>
      <c r="AD52" s="229">
        <f t="shared" si="20"/>
        <v>29.637737307915451</v>
      </c>
      <c r="AE52" s="229">
        <f t="shared" si="21"/>
        <v>95.446774086485263</v>
      </c>
      <c r="AF52" s="227">
        <f t="shared" si="9"/>
        <v>54.959808442242888</v>
      </c>
      <c r="AG52" s="227">
        <f t="shared" si="10"/>
        <v>88.111981501157842</v>
      </c>
      <c r="AH52" s="229" t="str">
        <f t="shared" si="22"/>
        <v>2.87905038092162-30.1940591433949i</v>
      </c>
    </row>
    <row r="53" spans="1:34" x14ac:dyDescent="0.2">
      <c r="A53" s="227"/>
      <c r="B53" s="235" t="s">
        <v>180</v>
      </c>
      <c r="C53" s="229">
        <f>1/(2*PI()*'Small Signal'!C60*9*Cffss)</f>
        <v>68212.873604262888</v>
      </c>
      <c r="D53" s="238">
        <f>(IF((10^(LOG(C53)-INT(LOG(C53)))*100)-VLOOKUP((10^(LOG(C53)-INT(LOG(C53)))*100),E96_s:E96_f,1)&lt;VLOOKUP((10^(LOG(C53)-INT(LOG(C53)))*100),E96_s:E96_f,2)-(10^(LOG(C53)-INT(LOG(C53)))*100),VLOOKUP((10^(LOG(C53)-INT(LOG(C53)))*100),E96_s:E96_f,1),VLOOKUP((10^(LOG(C53)-INT(LOG(C53)))*100),E96_s:E96_f,2)))*10^INT(LOG(C53))/100</f>
        <v>68100</v>
      </c>
      <c r="E53" s="227"/>
      <c r="F53" s="235"/>
      <c r="I53" s="227">
        <v>49</v>
      </c>
      <c r="J53" s="227">
        <f t="shared" si="0"/>
        <v>1.4777560038123867</v>
      </c>
      <c r="K53" s="227">
        <f t="shared" si="23"/>
        <v>30.04387897210847</v>
      </c>
      <c r="L53" s="227">
        <f t="shared" si="11"/>
        <v>188.77125892823366</v>
      </c>
      <c r="M53" s="227">
        <f t="shared" si="1"/>
        <v>6553.1195020171363</v>
      </c>
      <c r="N53" s="227">
        <f>SQRT((ABS(AC53)-171.5+'Small Signal'!C$59)^2)</f>
        <v>94.000522431614002</v>
      </c>
      <c r="O53" s="227">
        <f t="shared" si="12"/>
        <v>87.931774132822639</v>
      </c>
      <c r="P53" s="227">
        <f t="shared" si="13"/>
        <v>54.76249347973139</v>
      </c>
      <c r="Q53" s="227">
        <f t="shared" si="14"/>
        <v>30.04387897210847</v>
      </c>
      <c r="R53" s="227" t="str">
        <f t="shared" si="2"/>
        <v>0.0355+0.000245402636606704i</v>
      </c>
      <c r="S53" s="227" t="str">
        <f t="shared" si="3"/>
        <v>0.018-24.0791663480012i</v>
      </c>
      <c r="T53" s="227" t="str">
        <f t="shared" si="24"/>
        <v>5.97667864715373-1.5882245674426i</v>
      </c>
      <c r="U53" s="227" t="str">
        <f t="shared" si="4"/>
        <v>93.6985107130266-3.74858768756049i</v>
      </c>
      <c r="V53" s="227">
        <f t="shared" si="16"/>
        <v>39.441599316433937</v>
      </c>
      <c r="W53" s="227">
        <f t="shared" si="17"/>
        <v>-2.2910052032356671</v>
      </c>
      <c r="X53" s="227" t="str">
        <f t="shared" si="5"/>
        <v>0.999999993581265-0.000021646807110265i</v>
      </c>
      <c r="Y53" s="227" t="str">
        <f t="shared" si="6"/>
        <v>192.291949947747+18.0296373109109i</v>
      </c>
      <c r="Z53" s="227" t="str">
        <f t="shared" si="7"/>
        <v>35.2809231209866+3.30723205103877i</v>
      </c>
      <c r="AA53" s="227" t="str">
        <f t="shared" si="8"/>
        <v>18.2899196171318-2.40774393768305i</v>
      </c>
      <c r="AB53" s="227">
        <f t="shared" si="18"/>
        <v>25.318854185759513</v>
      </c>
      <c r="AC53" s="227">
        <f t="shared" si="19"/>
        <v>-7.4994775683860073</v>
      </c>
      <c r="AD53" s="229">
        <f t="shared" si="20"/>
        <v>29.443639293971877</v>
      </c>
      <c r="AE53" s="229">
        <f t="shared" si="21"/>
        <v>95.431251701208652</v>
      </c>
      <c r="AF53" s="227">
        <f t="shared" si="9"/>
        <v>54.76249347973139</v>
      </c>
      <c r="AG53" s="227">
        <f t="shared" si="10"/>
        <v>87.931774132822639</v>
      </c>
      <c r="AH53" s="229" t="str">
        <f t="shared" si="22"/>
        <v>2.80742819050162-29.5275765071741i</v>
      </c>
    </row>
    <row r="54" spans="1:34" x14ac:dyDescent="0.2">
      <c r="A54" s="227"/>
      <c r="B54" s="235" t="s">
        <v>141</v>
      </c>
      <c r="C54" s="229">
        <v>9.9999999999999998E-13</v>
      </c>
      <c r="D54" s="227"/>
      <c r="E54" s="227"/>
      <c r="F54" s="235"/>
      <c r="I54" s="227">
        <v>50</v>
      </c>
      <c r="J54" s="227">
        <f t="shared" si="0"/>
        <v>1.48750612633917</v>
      </c>
      <c r="K54" s="227">
        <f t="shared" si="23"/>
        <v>30.726007083493656</v>
      </c>
      <c r="L54" s="227">
        <f t="shared" si="11"/>
        <v>193.05719625530324</v>
      </c>
      <c r="M54" s="227">
        <f t="shared" si="1"/>
        <v>6552.4218865993089</v>
      </c>
      <c r="N54" s="227">
        <f>SQRT((ABS(AC54)-171.5+'Small Signal'!C$59)^2)</f>
        <v>93.832225264965558</v>
      </c>
      <c r="O54" s="227">
        <f t="shared" si="12"/>
        <v>87.750674821159123</v>
      </c>
      <c r="P54" s="227">
        <f t="shared" si="13"/>
        <v>54.565024767544266</v>
      </c>
      <c r="Q54" s="227">
        <f t="shared" si="14"/>
        <v>30.726007083493656</v>
      </c>
      <c r="R54" s="227" t="str">
        <f t="shared" si="2"/>
        <v>0.0355+0.000250974355131894i</v>
      </c>
      <c r="S54" s="227" t="str">
        <f t="shared" si="3"/>
        <v>0.018-23.5446004273445i</v>
      </c>
      <c r="T54" s="227" t="str">
        <f t="shared" si="24"/>
        <v>5.95858254547577-1.61935144724661i</v>
      </c>
      <c r="U54" s="227" t="str">
        <f t="shared" si="4"/>
        <v>93.6928651854289-3.83351565623894i</v>
      </c>
      <c r="V54" s="227">
        <f t="shared" si="16"/>
        <v>39.441394848584281</v>
      </c>
      <c r="W54" s="227">
        <f t="shared" si="17"/>
        <v>-2.3429940102481086</v>
      </c>
      <c r="X54" s="227" t="str">
        <f t="shared" si="5"/>
        <v>0.999999993286489-0.0000221382847808198i</v>
      </c>
      <c r="Y54" s="227" t="str">
        <f t="shared" si="6"/>
        <v>192.326820631296+18.4378057425719i</v>
      </c>
      <c r="Z54" s="227" t="str">
        <f t="shared" si="7"/>
        <v>35.2873243085614+3.38210345419192i</v>
      </c>
      <c r="AA54" s="227" t="str">
        <f t="shared" si="8"/>
        <v>18.2756928342248-2.46050458303681i</v>
      </c>
      <c r="AB54" s="227">
        <f t="shared" si="18"/>
        <v>25.315492049485108</v>
      </c>
      <c r="AC54" s="227">
        <f t="shared" si="19"/>
        <v>-7.6677747350344374</v>
      </c>
      <c r="AD54" s="229">
        <f t="shared" si="20"/>
        <v>29.249532718059157</v>
      </c>
      <c r="AE54" s="229">
        <f t="shared" si="21"/>
        <v>95.418449556193565</v>
      </c>
      <c r="AF54" s="227">
        <f t="shared" si="9"/>
        <v>54.565024767544266</v>
      </c>
      <c r="AG54" s="227">
        <f t="shared" si="10"/>
        <v>87.750674821159123</v>
      </c>
      <c r="AH54" s="229" t="str">
        <f t="shared" si="22"/>
        <v>2.73893355674423-28.8756447380092i</v>
      </c>
    </row>
    <row r="55" spans="1:34" x14ac:dyDescent="0.2">
      <c r="A55" s="227"/>
      <c r="B55" s="235" t="s">
        <v>142</v>
      </c>
      <c r="C55" s="239">
        <v>1000000</v>
      </c>
      <c r="D55" s="227"/>
      <c r="E55" s="227"/>
      <c r="F55" s="235"/>
      <c r="I55" s="227">
        <v>51</v>
      </c>
      <c r="J55" s="227">
        <f t="shared" si="0"/>
        <v>1.4972562488659533</v>
      </c>
      <c r="K55" s="227">
        <f t="shared" si="23"/>
        <v>31.423622501320672</v>
      </c>
      <c r="L55" s="227">
        <f t="shared" si="11"/>
        <v>197.44044319865588</v>
      </c>
      <c r="M55" s="227">
        <f t="shared" si="1"/>
        <v>6551.7084322451092</v>
      </c>
      <c r="N55" s="227">
        <f>SQRT((ABS(AC55)-171.5+'Small Signal'!C$59)^2)</f>
        <v>93.660242532700835</v>
      </c>
      <c r="O55" s="227">
        <f t="shared" si="12"/>
        <v>87.568604056672143</v>
      </c>
      <c r="P55" s="227">
        <f t="shared" si="13"/>
        <v>54.367397666737247</v>
      </c>
      <c r="Q55" s="227">
        <f t="shared" si="14"/>
        <v>31.423622501320672</v>
      </c>
      <c r="R55" s="227" t="str">
        <f t="shared" si="2"/>
        <v>0.0355+0.000256672576158253i</v>
      </c>
      <c r="S55" s="227" t="str">
        <f t="shared" si="3"/>
        <v>0.018-23.021902057225i</v>
      </c>
      <c r="T55" s="227" t="str">
        <f t="shared" si="24"/>
        <v>5.93977262068795-1.65087404963778i</v>
      </c>
      <c r="U55" s="227" t="str">
        <f t="shared" si="4"/>
        <v>93.6869609322273-3.92035923885594i</v>
      </c>
      <c r="V55" s="227">
        <f t="shared" si="16"/>
        <v>39.441180999710099</v>
      </c>
      <c r="W55" s="227">
        <f t="shared" si="17"/>
        <v>-2.3961613064416043</v>
      </c>
      <c r="X55" s="227" t="str">
        <f t="shared" si="5"/>
        <v>0.999999992978176-0.0000226409211548003i</v>
      </c>
      <c r="Y55" s="227" t="str">
        <f t="shared" si="6"/>
        <v>192.363289145671+18.8551590462054i</v>
      </c>
      <c r="Z55" s="227" t="str">
        <f t="shared" si="7"/>
        <v>35.2940188087309+3.45865964898823i</v>
      </c>
      <c r="AA55" s="227" t="str">
        <f t="shared" si="8"/>
        <v>18.2608362400317-2.51433357780883i</v>
      </c>
      <c r="AB55" s="227">
        <f t="shared" si="18"/>
        <v>25.311978292982985</v>
      </c>
      <c r="AC55" s="227">
        <f t="shared" si="19"/>
        <v>-7.8397574672991643</v>
      </c>
      <c r="AD55" s="229">
        <f t="shared" si="20"/>
        <v>29.055419373754262</v>
      </c>
      <c r="AE55" s="229">
        <f t="shared" si="21"/>
        <v>95.408361523971308</v>
      </c>
      <c r="AF55" s="227">
        <f t="shared" si="9"/>
        <v>54.367397666737247</v>
      </c>
      <c r="AG55" s="227">
        <f t="shared" si="10"/>
        <v>87.568604056672143</v>
      </c>
      <c r="AH55" s="229" t="str">
        <f t="shared" si="22"/>
        <v>2.67343062812088-28.237956766739i</v>
      </c>
    </row>
    <row r="56" spans="1:34" x14ac:dyDescent="0.2">
      <c r="A56" s="227"/>
      <c r="B56" s="235" t="s">
        <v>146</v>
      </c>
      <c r="C56" s="227">
        <v>1</v>
      </c>
      <c r="D56" s="227"/>
      <c r="E56" s="227"/>
      <c r="F56" s="235"/>
      <c r="I56" s="227">
        <v>52</v>
      </c>
      <c r="J56" s="227">
        <f t="shared" si="0"/>
        <v>1.5070063713927369</v>
      </c>
      <c r="K56" s="227">
        <f t="shared" si="23"/>
        <v>32.13707685552064</v>
      </c>
      <c r="L56" s="227">
        <f t="shared" si="11"/>
        <v>201.92320911430843</v>
      </c>
      <c r="M56" s="227">
        <f t="shared" si="1"/>
        <v>6550.9787793410605</v>
      </c>
      <c r="N56" s="227">
        <f>SQRT((ABS(AC56)-171.5+'Small Signal'!C$59)^2)</f>
        <v>93.484499763586513</v>
      </c>
      <c r="O56" s="227">
        <f t="shared" si="12"/>
        <v>87.385482531993688</v>
      </c>
      <c r="P56" s="227">
        <f t="shared" si="13"/>
        <v>54.16960725116332</v>
      </c>
      <c r="Q56" s="227">
        <f t="shared" si="14"/>
        <v>32.13707685552064</v>
      </c>
      <c r="R56" s="227" t="str">
        <f t="shared" si="2"/>
        <v>0.0355+0.000262500171848601i</v>
      </c>
      <c r="S56" s="227" t="str">
        <f t="shared" si="3"/>
        <v>0.018-22.510807773867i</v>
      </c>
      <c r="T56" s="227" t="str">
        <f t="shared" si="24"/>
        <v>5.92022589042025-1.68278322773887i</v>
      </c>
      <c r="U56" s="227" t="str">
        <f t="shared" si="4"/>
        <v>93.6807861224001-4.00916105079928i</v>
      </c>
      <c r="V56" s="227">
        <f t="shared" si="16"/>
        <v>39.44095733984048</v>
      </c>
      <c r="W56" s="227">
        <f t="shared" si="17"/>
        <v>-2.4505337175341895</v>
      </c>
      <c r="X56" s="227" t="str">
        <f t="shared" si="5"/>
        <v>0.999999992655703-0.0000231549695838225i</v>
      </c>
      <c r="Y56" s="227" t="str">
        <f t="shared" si="6"/>
        <v>192.401428534258+19.281900035466i</v>
      </c>
      <c r="Z56" s="227" t="str">
        <f t="shared" si="7"/>
        <v>35.3010200300031+3.53693783682685i</v>
      </c>
      <c r="AA56" s="227" t="str">
        <f t="shared" si="8"/>
        <v>18.2453230605236-2.5692465267613i</v>
      </c>
      <c r="AB56" s="227">
        <f t="shared" si="18"/>
        <v>25.308306209803206</v>
      </c>
      <c r="AC56" s="227">
        <f t="shared" si="19"/>
        <v>-8.0155002364134837</v>
      </c>
      <c r="AD56" s="229">
        <f t="shared" si="20"/>
        <v>28.861301041360115</v>
      </c>
      <c r="AE56" s="229">
        <f t="shared" si="21"/>
        <v>95.400982768407175</v>
      </c>
      <c r="AF56" s="227">
        <f t="shared" si="9"/>
        <v>54.16960725116332</v>
      </c>
      <c r="AG56" s="227">
        <f t="shared" si="10"/>
        <v>87.385482531993688</v>
      </c>
      <c r="AH56" s="229" t="str">
        <f t="shared" si="22"/>
        <v>2.61078939227193-27.614211313257i</v>
      </c>
    </row>
    <row r="57" spans="1:34" x14ac:dyDescent="0.2">
      <c r="A57" s="227"/>
      <c r="B57" s="235" t="s">
        <v>147</v>
      </c>
      <c r="C57" s="227">
        <v>20</v>
      </c>
      <c r="D57" s="227"/>
      <c r="E57" s="227"/>
      <c r="F57" s="235"/>
      <c r="I57" s="227">
        <v>53</v>
      </c>
      <c r="J57" s="227">
        <f t="shared" si="0"/>
        <v>1.5167564939195202</v>
      </c>
      <c r="K57" s="227">
        <f t="shared" si="23"/>
        <v>32.866729759569694</v>
      </c>
      <c r="L57" s="227">
        <f t="shared" si="11"/>
        <v>206.50775352037036</v>
      </c>
      <c r="M57" s="227">
        <f t="shared" si="1"/>
        <v>6550.2325601088796</v>
      </c>
      <c r="N57" s="227">
        <f>SQRT((ABS(AC57)-171.5+'Small Signal'!C$59)^2)</f>
        <v>93.304921409838641</v>
      </c>
      <c r="O57" s="227">
        <f t="shared" si="12"/>
        <v>87.201231153207203</v>
      </c>
      <c r="P57" s="227">
        <f t="shared" si="13"/>
        <v>53.971648300315898</v>
      </c>
      <c r="Q57" s="227">
        <f t="shared" si="14"/>
        <v>32.866729759569694</v>
      </c>
      <c r="R57" s="227" t="str">
        <f t="shared" si="2"/>
        <v>0.0355+0.000268460079576481i</v>
      </c>
      <c r="S57" s="227" t="str">
        <f t="shared" si="3"/>
        <v>0.018-22.0110599624831i</v>
      </c>
      <c r="T57" s="227" t="str">
        <f t="shared" si="24"/>
        <v>5.89991908030071-1.71506873007088i</v>
      </c>
      <c r="U57" s="227" t="str">
        <f t="shared" si="4"/>
        <v>93.6743283863558-4.09996461412587i</v>
      </c>
      <c r="V57" s="227">
        <f t="shared" si="16"/>
        <v>39.44072341933812</v>
      </c>
      <c r="W57" s="227">
        <f t="shared" si="17"/>
        <v>-2.5061384646478571</v>
      </c>
      <c r="X57" s="227" t="str">
        <f t="shared" si="5"/>
        <v>0.999999992318422-0.0000236806891716979i</v>
      </c>
      <c r="Y57" s="227" t="str">
        <f t="shared" si="6"/>
        <v>192.441315163427+19.7182357316575i</v>
      </c>
      <c r="Z57" s="227" t="str">
        <f t="shared" si="7"/>
        <v>35.3083419908818+3.61697599083405i</v>
      </c>
      <c r="AA57" s="227" t="str">
        <f t="shared" si="8"/>
        <v>18.2291254852924-2.62525882921493i</v>
      </c>
      <c r="AB57" s="227">
        <f t="shared" si="18"/>
        <v>25.304468808920667</v>
      </c>
      <c r="AC57" s="227">
        <f t="shared" si="19"/>
        <v>-8.1950785901613674</v>
      </c>
      <c r="AD57" s="229">
        <f t="shared" si="20"/>
        <v>28.667179491395231</v>
      </c>
      <c r="AE57" s="229">
        <f t="shared" si="21"/>
        <v>95.396309743368576</v>
      </c>
      <c r="AF57" s="227">
        <f t="shared" si="9"/>
        <v>53.971648300315898</v>
      </c>
      <c r="AG57" s="227">
        <f t="shared" si="10"/>
        <v>87.201231153207203</v>
      </c>
      <c r="AH57" s="229" t="str">
        <f t="shared" si="22"/>
        <v>2.55088543033199-27.0041128239383i</v>
      </c>
    </row>
    <row r="58" spans="1:34" x14ac:dyDescent="0.2">
      <c r="A58" s="227"/>
      <c r="B58" s="235" t="s">
        <v>181</v>
      </c>
      <c r="C58" s="227">
        <f>10^(80/20)</f>
        <v>10000</v>
      </c>
      <c r="D58" s="227"/>
      <c r="E58" s="227"/>
      <c r="F58" s="235"/>
      <c r="I58" s="227">
        <v>54</v>
      </c>
      <c r="J58" s="227">
        <f t="shared" si="0"/>
        <v>1.5265066164463037</v>
      </c>
      <c r="K58" s="227">
        <f t="shared" si="23"/>
        <v>33.612948991750621</v>
      </c>
      <c r="L58" s="227">
        <f t="shared" si="11"/>
        <v>211.1963872359444</v>
      </c>
      <c r="M58" s="227">
        <f t="shared" si="1"/>
        <v>6549.4693984201003</v>
      </c>
      <c r="N58" s="227">
        <f>SQRT((ABS(AC58)-171.5+'Small Signal'!C$59)^2)</f>
        <v>93.12143086235389</v>
      </c>
      <c r="O58" s="227">
        <f t="shared" si="12"/>
        <v>87.015771054061005</v>
      </c>
      <c r="P58" s="227">
        <f t="shared" si="13"/>
        <v>53.773515291832638</v>
      </c>
      <c r="Q58" s="227">
        <f t="shared" si="14"/>
        <v>33.612948991750621</v>
      </c>
      <c r="R58" s="227" t="str">
        <f t="shared" si="2"/>
        <v>0.0355+0.000274555303406728i</v>
      </c>
      <c r="S58" s="227" t="str">
        <f t="shared" si="3"/>
        <v>0.018-21.522406727424i</v>
      </c>
      <c r="T58" s="227" t="str">
        <f t="shared" si="24"/>
        <v>5.87882866276845-1.74771914842212i</v>
      </c>
      <c r="U58" s="227" t="str">
        <f t="shared" si="4"/>
        <v>93.6675747916399-4.19281437393381i</v>
      </c>
      <c r="V58" s="227">
        <f t="shared" si="16"/>
        <v>39.440478768003032</v>
      </c>
      <c r="W58" s="227">
        <f t="shared" si="17"/>
        <v>-2.5630033771941032</v>
      </c>
      <c r="X58" s="227" t="str">
        <f t="shared" si="5"/>
        <v>0.999999991965651-0.0000242183449050333i</v>
      </c>
      <c r="Y58" s="227" t="str">
        <f t="shared" si="6"/>
        <v>192.483028872203+20.16437743179i</v>
      </c>
      <c r="Z58" s="227" t="str">
        <f t="shared" si="7"/>
        <v>35.3159993473421+3.69881286834051i</v>
      </c>
      <c r="AA58" s="227" t="str">
        <f t="shared" si="8"/>
        <v>18.2122146368858-2.68238564025647i</v>
      </c>
      <c r="AB58" s="227">
        <f t="shared" si="18"/>
        <v>25.300458803767061</v>
      </c>
      <c r="AC58" s="227">
        <f t="shared" si="19"/>
        <v>-8.3785691376461084</v>
      </c>
      <c r="AD58" s="229">
        <f t="shared" si="20"/>
        <v>28.473056488065573</v>
      </c>
      <c r="AE58" s="229">
        <f t="shared" si="21"/>
        <v>95.394340191707116</v>
      </c>
      <c r="AF58" s="227">
        <f t="shared" si="9"/>
        <v>53.773515291832638</v>
      </c>
      <c r="AG58" s="227">
        <f t="shared" si="10"/>
        <v>87.015771054061005</v>
      </c>
      <c r="AH58" s="229" t="str">
        <f t="shared" si="22"/>
        <v>2.49359968113358-26.4073714062717i</v>
      </c>
    </row>
    <row r="59" spans="1:34" x14ac:dyDescent="0.2">
      <c r="A59" s="227"/>
      <c r="B59" s="240" t="s">
        <v>168</v>
      </c>
      <c r="C59" s="241">
        <v>70</v>
      </c>
      <c r="D59" s="227"/>
      <c r="E59" s="227"/>
      <c r="F59" s="235"/>
      <c r="I59" s="227">
        <v>55</v>
      </c>
      <c r="J59" s="227">
        <f t="shared" si="0"/>
        <v>1.536256738973087</v>
      </c>
      <c r="K59" s="227">
        <f t="shared" si="23"/>
        <v>34.376110680529727</v>
      </c>
      <c r="L59" s="227">
        <f t="shared" si="11"/>
        <v>215.99147354588362</v>
      </c>
      <c r="M59" s="227">
        <f t="shared" si="1"/>
        <v>6548.688909606487</v>
      </c>
      <c r="N59" s="227">
        <f>SQRT((ABS(AC59)-171.5+'Small Signal'!C$59)^2)</f>
        <v>92.933950468695627</v>
      </c>
      <c r="O59" s="227">
        <f t="shared" si="12"/>
        <v>86.829023613253682</v>
      </c>
      <c r="P59" s="227">
        <f t="shared" si="13"/>
        <v>53.575202393670892</v>
      </c>
      <c r="Q59" s="227">
        <f t="shared" si="14"/>
        <v>34.376110680529727</v>
      </c>
      <c r="R59" s="227" t="str">
        <f t="shared" si="2"/>
        <v>0.0355+0.000280788915609649i</v>
      </c>
      <c r="S59" s="227" t="str">
        <f t="shared" si="3"/>
        <v>0.018-21.0446017652125i</v>
      </c>
      <c r="T59" s="227" t="str">
        <f t="shared" si="24"/>
        <v>5.85693090030688-1.78072186569557i</v>
      </c>
      <c r="U59" s="227" t="str">
        <f t="shared" si="4"/>
        <v>93.6605118175745-4.28775571481656i</v>
      </c>
      <c r="V59" s="227">
        <f t="shared" si="16"/>
        <v>39.440222894136539</v>
      </c>
      <c r="W59" s="227">
        <f t="shared" si="17"/>
        <v>-2.6211569060083511</v>
      </c>
      <c r="X59" s="227" t="str">
        <f t="shared" si="5"/>
        <v>0.999999991596679-0.0000247682077867964i</v>
      </c>
      <c r="Y59" s="227" t="str">
        <f t="shared" si="6"/>
        <v>192.526653128506+20.6205407762945i</v>
      </c>
      <c r="Z59" s="227" t="str">
        <f t="shared" si="7"/>
        <v>35.3240074215102+3.7824880232953i</v>
      </c>
      <c r="AA59" s="227" t="str">
        <f t="shared" si="8"/>
        <v>18.1945605401624-2.74064182922835i</v>
      </c>
      <c r="AB59" s="227">
        <f t="shared" si="18"/>
        <v>25.296268600945329</v>
      </c>
      <c r="AC59" s="227">
        <f t="shared" si="19"/>
        <v>-8.5660495313043601</v>
      </c>
      <c r="AD59" s="229">
        <f t="shared" si="20"/>
        <v>28.27893379272556</v>
      </c>
      <c r="AE59" s="229">
        <f t="shared" si="21"/>
        <v>95.39507314455804</v>
      </c>
      <c r="AF59" s="227">
        <f t="shared" si="9"/>
        <v>53.575202393670892</v>
      </c>
      <c r="AG59" s="227">
        <f t="shared" si="10"/>
        <v>86.829023613253682</v>
      </c>
      <c r="AH59" s="229" t="str">
        <f t="shared" si="22"/>
        <v>2.43881821493251-25.823702761022i</v>
      </c>
    </row>
    <row r="60" spans="1:34" x14ac:dyDescent="0.2">
      <c r="A60" s="227"/>
      <c r="B60" s="240" t="s">
        <v>19</v>
      </c>
      <c r="C60" s="242">
        <f>VLOOKUP(MIN('Small Signal'!N4:N504),'Small Signal'!N4:'Small Signal'!Q504,4,FALSE)</f>
        <v>11783.887724211459</v>
      </c>
      <c r="D60" s="227"/>
      <c r="E60" s="227"/>
      <c r="F60" s="235"/>
      <c r="I60" s="227">
        <v>56</v>
      </c>
      <c r="J60" s="227">
        <f t="shared" si="0"/>
        <v>1.5460068614998703</v>
      </c>
      <c r="K60" s="227">
        <f t="shared" si="23"/>
        <v>35.156599494142888</v>
      </c>
      <c r="L60" s="227">
        <f t="shared" si="11"/>
        <v>220.89542939199586</v>
      </c>
      <c r="M60" s="227">
        <f t="shared" si="1"/>
        <v>6547.8907002661444</v>
      </c>
      <c r="N60" s="227">
        <f>SQRT((ABS(AC60)-171.5+'Small Signal'!C$59)^2)</f>
        <v>92.742401554029556</v>
      </c>
      <c r="O60" s="227">
        <f t="shared" si="12"/>
        <v>86.64091047498745</v>
      </c>
      <c r="P60" s="227">
        <f t="shared" si="13"/>
        <v>53.376703455956857</v>
      </c>
      <c r="Q60" s="227">
        <f t="shared" si="14"/>
        <v>35.156599494142888</v>
      </c>
      <c r="R60" s="227" t="str">
        <f t="shared" si="2"/>
        <v>0.0355+0.000287164058209595i</v>
      </c>
      <c r="S60" s="227" t="str">
        <f t="shared" si="3"/>
        <v>0.018-20.5774042403942i</v>
      </c>
      <c r="T60" s="227" t="str">
        <f t="shared" si="24"/>
        <v>5.83420189331042-1.81406300402014i</v>
      </c>
      <c r="U60" s="227" t="str">
        <f t="shared" si="4"/>
        <v>93.6531253287776-4.38483497738093i</v>
      </c>
      <c r="V60" s="227">
        <f t="shared" si="16"/>
        <v>39.439955283562952</v>
      </c>
      <c r="W60" s="227">
        <f t="shared" si="17"/>
        <v>-2.6806281367358924</v>
      </c>
      <c r="X60" s="227" t="str">
        <f t="shared" si="5"/>
        <v>0.999999991210763-0.0000253305549729134i</v>
      </c>
      <c r="Y60" s="227" t="str">
        <f t="shared" si="6"/>
        <v>192.572275192298+21.0869458162525i</v>
      </c>
      <c r="Z60" s="227" t="str">
        <f t="shared" si="7"/>
        <v>35.3323822316129+3.86804181859049i</v>
      </c>
      <c r="AA60" s="227" t="str">
        <f t="shared" si="8"/>
        <v>18.1761320917705-2.80004193536596i</v>
      </c>
      <c r="AB60" s="227">
        <f t="shared" si="18"/>
        <v>25.291890288623339</v>
      </c>
      <c r="AC60" s="227">
        <f t="shared" si="19"/>
        <v>-8.7575984459704443</v>
      </c>
      <c r="AD60" s="229">
        <f t="shared" si="20"/>
        <v>28.084813167333522</v>
      </c>
      <c r="AE60" s="229">
        <f t="shared" si="21"/>
        <v>95.398508920957894</v>
      </c>
      <c r="AF60" s="227">
        <f t="shared" si="9"/>
        <v>53.376703455956857</v>
      </c>
      <c r="AG60" s="227">
        <f t="shared" si="10"/>
        <v>86.64091047498745</v>
      </c>
      <c r="AH60" s="229" t="str">
        <f t="shared" si="22"/>
        <v>2.38643201630655-25.2528281122196i</v>
      </c>
    </row>
    <row r="61" spans="1:34" x14ac:dyDescent="0.2">
      <c r="A61" s="227"/>
      <c r="B61" s="235"/>
      <c r="C61" s="227"/>
      <c r="D61" s="227"/>
      <c r="E61" s="227"/>
      <c r="F61" s="235"/>
      <c r="I61" s="227">
        <v>57</v>
      </c>
      <c r="J61" s="227">
        <f t="shared" si="0"/>
        <v>1.5557569840266536</v>
      </c>
      <c r="K61" s="227">
        <f t="shared" si="23"/>
        <v>35.954808834485682</v>
      </c>
      <c r="L61" s="227">
        <f t="shared" si="11"/>
        <v>225.91072659129122</v>
      </c>
      <c r="M61" s="227">
        <f t="shared" si="1"/>
        <v>6547.074368065224</v>
      </c>
      <c r="N61" s="227">
        <f>SQRT((ABS(AC61)-171.5+'Small Signal'!C$59)^2)</f>
        <v>92.546704445207666</v>
      </c>
      <c r="O61" s="227">
        <f t="shared" si="12"/>
        <v>86.451353572989049</v>
      </c>
      <c r="P61" s="227">
        <f t="shared" si="13"/>
        <v>53.178012002520106</v>
      </c>
      <c r="Q61" s="227">
        <f t="shared" si="14"/>
        <v>35.954808834485682</v>
      </c>
      <c r="R61" s="227" t="str">
        <f t="shared" si="2"/>
        <v>0.0355+0.000293683944568679i</v>
      </c>
      <c r="S61" s="227" t="str">
        <f t="shared" si="3"/>
        <v>0.018-20.1205786641464i</v>
      </c>
      <c r="T61" s="227" t="str">
        <f t="shared" si="24"/>
        <v>5.810617632788-1.84772737344185i</v>
      </c>
      <c r="U61" s="227" t="str">
        <f t="shared" si="4"/>
        <v>93.6454005475164-4.48409947480905i</v>
      </c>
      <c r="V61" s="227">
        <f t="shared" si="16"/>
        <v>39.439675398607086</v>
      </c>
      <c r="W61" s="227">
        <f t="shared" si="17"/>
        <v>-2.7414468034716868</v>
      </c>
      <c r="X61" s="227" t="str">
        <f t="shared" si="5"/>
        <v>0.999999990807123-0.0000259056699119681i</v>
      </c>
      <c r="Y61" s="227" t="str">
        <f t="shared" si="6"/>
        <v>192.619986285878+21.563817079994i</v>
      </c>
      <c r="Z61" s="227" t="str">
        <f t="shared" si="7"/>
        <v>35.3411405232374+3.95551543826928i</v>
      </c>
      <c r="AA61" s="227" t="str">
        <f t="shared" si="8"/>
        <v>18.1568970298818-2.86060012045004i</v>
      </c>
      <c r="AB61" s="227">
        <f t="shared" si="18"/>
        <v>25.287315624611875</v>
      </c>
      <c r="AC61" s="227">
        <f t="shared" si="19"/>
        <v>-8.9532955547923212</v>
      </c>
      <c r="AD61" s="229">
        <f t="shared" si="20"/>
        <v>27.890696377908235</v>
      </c>
      <c r="AE61" s="229">
        <f t="shared" si="21"/>
        <v>95.404649127781369</v>
      </c>
      <c r="AF61" s="227">
        <f t="shared" si="9"/>
        <v>53.178012002520106</v>
      </c>
      <c r="AG61" s="227">
        <f t="shared" si="10"/>
        <v>86.451353572989049</v>
      </c>
      <c r="AH61" s="229" t="str">
        <f t="shared" si="22"/>
        <v>2.33633677588927-24.6944741352572i</v>
      </c>
    </row>
    <row r="62" spans="1:34" x14ac:dyDescent="0.2">
      <c r="A62" s="227"/>
      <c r="B62" s="235"/>
      <c r="C62" s="227"/>
      <c r="D62" s="227"/>
      <c r="E62" s="227"/>
      <c r="F62" s="235"/>
      <c r="I62" s="227">
        <v>58</v>
      </c>
      <c r="J62" s="227">
        <f t="shared" si="0"/>
        <v>1.5655071065534372</v>
      </c>
      <c r="K62" s="227">
        <f t="shared" si="23"/>
        <v>36.771141035405968</v>
      </c>
      <c r="L62" s="227">
        <f t="shared" si="11"/>
        <v>231.03989308189114</v>
      </c>
      <c r="M62" s="227">
        <f t="shared" si="1"/>
        <v>6546.2395015351312</v>
      </c>
      <c r="N62" s="227">
        <f>SQRT((ABS(AC62)-171.5+'Small Signal'!C$59)^2)</f>
        <v>92.346778498210142</v>
      </c>
      <c r="O62" s="227">
        <f t="shared" si="12"/>
        <v>86.260275158205729</v>
      </c>
      <c r="P62" s="227">
        <f t="shared" si="13"/>
        <v>52.97912122212135</v>
      </c>
      <c r="Q62" s="227">
        <f t="shared" si="14"/>
        <v>36.771141035405968</v>
      </c>
      <c r="R62" s="227" t="str">
        <f t="shared" si="2"/>
        <v>0.0355+0.000300351861006458i</v>
      </c>
      <c r="S62" s="227" t="str">
        <f t="shared" si="3"/>
        <v>0.018-19.6738947755807i</v>
      </c>
      <c r="T62" s="227" t="str">
        <f t="shared" si="24"/>
        <v>5.78615405809406-1.88169842154475i</v>
      </c>
      <c r="U62" s="227" t="str">
        <f t="shared" si="4"/>
        <v>93.6373220248416-4.58559750944245i</v>
      </c>
      <c r="V62" s="227">
        <f t="shared" si="16"/>
        <v>39.439382677025485</v>
      </c>
      <c r="W62" s="227">
        <f t="shared" si="17"/>
        <v>-2.8036433026562695</v>
      </c>
      <c r="X62" s="227" t="str">
        <f t="shared" si="5"/>
        <v>0.999999990384947-0.0000264938424880734i</v>
      </c>
      <c r="Y62" s="227" t="str">
        <f t="shared" si="6"/>
        <v>192.669881771628+22.0513836389043i</v>
      </c>
      <c r="Z62" s="227" t="str">
        <f t="shared" si="7"/>
        <v>35.3502998019607+4.04495089958854i</v>
      </c>
      <c r="AA62" s="227" t="str">
        <f t="shared" si="8"/>
        <v>18.1368219043139-2.9223301183381i</v>
      </c>
      <c r="AB62" s="227">
        <f t="shared" si="18"/>
        <v>25.282536024128252</v>
      </c>
      <c r="AC62" s="227">
        <f t="shared" si="19"/>
        <v>-9.1532215017898668</v>
      </c>
      <c r="AD62" s="229">
        <f t="shared" si="20"/>
        <v>27.696585197993102</v>
      </c>
      <c r="AE62" s="229">
        <f t="shared" si="21"/>
        <v>95.413496659995602</v>
      </c>
      <c r="AF62" s="227">
        <f t="shared" si="9"/>
        <v>52.97912122212135</v>
      </c>
      <c r="AG62" s="227">
        <f t="shared" si="10"/>
        <v>86.260275158205729</v>
      </c>
      <c r="AH62" s="229" t="str">
        <f t="shared" si="22"/>
        <v>2.28843269060996-24.1483728833526i</v>
      </c>
    </row>
    <row r="63" spans="1:34" x14ac:dyDescent="0.2">
      <c r="I63" s="227">
        <v>59</v>
      </c>
      <c r="J63" s="227">
        <f t="shared" si="0"/>
        <v>1.5752572290802207</v>
      </c>
      <c r="K63" s="227">
        <f t="shared" si="23"/>
        <v>37.606007565498388</v>
      </c>
      <c r="L63" s="227">
        <f t="shared" si="11"/>
        <v>236.28551419722382</v>
      </c>
      <c r="M63" s="227">
        <f t="shared" si="1"/>
        <v>6545.3856798651268</v>
      </c>
      <c r="N63" s="227">
        <f>SQRT((ABS(AC63)-171.5+'Small Signal'!C$59)^2)</f>
        <v>92.142542129166372</v>
      </c>
      <c r="O63" s="227">
        <f t="shared" si="12"/>
        <v>86.067597830396778</v>
      </c>
      <c r="P63" s="227">
        <f t="shared" si="13"/>
        <v>52.780023959384749</v>
      </c>
      <c r="Q63" s="227">
        <f t="shared" si="14"/>
        <v>37.606007565498388</v>
      </c>
      <c r="R63" s="227" t="str">
        <f t="shared" si="2"/>
        <v>0.0355+0.000307171168456391i</v>
      </c>
      <c r="S63" s="227" t="str">
        <f t="shared" si="3"/>
        <v>0.018-19.237127425681i</v>
      </c>
      <c r="T63" s="227" t="str">
        <f t="shared" si="24"/>
        <v>5.76078711986075-1.91595818438374i</v>
      </c>
      <c r="U63" s="227" t="str">
        <f t="shared" si="4"/>
        <v>93.6288736104594-4.68937838936544i</v>
      </c>
      <c r="V63" s="227">
        <f t="shared" si="16"/>
        <v>39.439076530889878</v>
      </c>
      <c r="W63" s="227">
        <f t="shared" si="17"/>
        <v>-2.8672487072301704</v>
      </c>
      <c r="X63" s="227" t="str">
        <f t="shared" si="5"/>
        <v>0.999999989943383-0.0000270953691669854i</v>
      </c>
      <c r="Y63" s="227" t="str">
        <f t="shared" si="6"/>
        <v>192.722061337552+22.5498791722611i</v>
      </c>
      <c r="Z63" s="227" t="str">
        <f t="shared" si="7"/>
        <v>35.3598783674077+4.13639106490276i</v>
      </c>
      <c r="AA63" s="227" t="str">
        <f t="shared" si="8"/>
        <v>18.1158720471962-2.98524518123786i</v>
      </c>
      <c r="AB63" s="227">
        <f t="shared" si="18"/>
        <v>25.277542547251251</v>
      </c>
      <c r="AC63" s="227">
        <f t="shared" si="19"/>
        <v>-9.357457870833624</v>
      </c>
      <c r="AD63" s="229">
        <f t="shared" si="20"/>
        <v>27.502481412133495</v>
      </c>
      <c r="AE63" s="229">
        <f t="shared" si="21"/>
        <v>95.425055701230406</v>
      </c>
      <c r="AF63" s="227">
        <f t="shared" si="9"/>
        <v>52.780023959384749</v>
      </c>
      <c r="AG63" s="227">
        <f t="shared" si="10"/>
        <v>86.067597830396778</v>
      </c>
      <c r="AH63" s="229" t="str">
        <f t="shared" si="22"/>
        <v>2.24262427212018-23.6142617126153i</v>
      </c>
    </row>
    <row r="64" spans="1:34" x14ac:dyDescent="0.2">
      <c r="I64" s="227">
        <v>60</v>
      </c>
      <c r="J64" s="227">
        <f t="shared" si="0"/>
        <v>1.585007351607004</v>
      </c>
      <c r="K64" s="227">
        <f t="shared" si="23"/>
        <v>38.459829235503271</v>
      </c>
      <c r="L64" s="227">
        <f t="shared" si="11"/>
        <v>241.65023396915007</v>
      </c>
      <c r="M64" s="227">
        <f t="shared" si="1"/>
        <v>6544.512472690215</v>
      </c>
      <c r="N64" s="227">
        <f>SQRT((ABS(AC64)-171.5+'Small Signal'!C$59)^2)</f>
        <v>91.933912849181098</v>
      </c>
      <c r="O64" s="227">
        <f t="shared" si="12"/>
        <v>85.873244573841475</v>
      </c>
      <c r="P64" s="227">
        <f t="shared" si="13"/>
        <v>52.580712705448441</v>
      </c>
      <c r="Q64" s="227">
        <f t="shared" si="14"/>
        <v>38.459829235503271</v>
      </c>
      <c r="R64" s="227" t="str">
        <f t="shared" si="2"/>
        <v>0.0355+0.000314145304159895i</v>
      </c>
      <c r="S64" s="227" t="str">
        <f t="shared" si="3"/>
        <v>0.018-18.810056463818i</v>
      </c>
      <c r="T64" s="227" t="str">
        <f t="shared" si="24"/>
        <v>5.73449284828474-1.95048723914593i</v>
      </c>
      <c r="U64" s="227" t="str">
        <f t="shared" si="4"/>
        <v>93.6200384212843-4.79549244496182i</v>
      </c>
      <c r="V64" s="227">
        <f t="shared" si="16"/>
        <v>39.438756345420444</v>
      </c>
      <c r="W64" s="227">
        <f t="shared" si="17"/>
        <v>-2.9322947810487063</v>
      </c>
      <c r="X64" s="227" t="str">
        <f t="shared" si="5"/>
        <v>0.99999998948154-0.0000277105531455362i</v>
      </c>
      <c r="Y64" s="227" t="str">
        <f t="shared" si="6"/>
        <v>192.776629190881+23.0595420309176i</v>
      </c>
      <c r="Z64" s="227" t="str">
        <f t="shared" si="7"/>
        <v>35.3698953487914+4.22987965333581i</v>
      </c>
      <c r="AA64" s="227" t="str">
        <f t="shared" si="8"/>
        <v>18.0940115443482-3.04935802258745i</v>
      </c>
      <c r="AB64" s="227">
        <f t="shared" si="18"/>
        <v>25.272325886074377</v>
      </c>
      <c r="AC64" s="227">
        <f t="shared" si="19"/>
        <v>-9.5660871508188929</v>
      </c>
      <c r="AD64" s="229">
        <f t="shared" si="20"/>
        <v>27.308386819374064</v>
      </c>
      <c r="AE64" s="229">
        <f t="shared" si="21"/>
        <v>95.439331724660363</v>
      </c>
      <c r="AF64" s="227">
        <f t="shared" si="9"/>
        <v>52.580712705448441</v>
      </c>
      <c r="AG64" s="227">
        <f t="shared" si="10"/>
        <v>85.873244573841475</v>
      </c>
      <c r="AH64" s="229" t="str">
        <f t="shared" si="22"/>
        <v>2.19882016309682-23.0918832059396i</v>
      </c>
    </row>
    <row r="65" spans="9:34" x14ac:dyDescent="0.2">
      <c r="I65" s="227">
        <v>61</v>
      </c>
      <c r="J65" s="227">
        <f t="shared" si="0"/>
        <v>1.5947574741337873</v>
      </c>
      <c r="K65" s="227">
        <f t="shared" si="23"/>
        <v>39.33303641041455</v>
      </c>
      <c r="L65" s="227">
        <f t="shared" si="11"/>
        <v>247.13675646067639</v>
      </c>
      <c r="M65" s="227">
        <f t="shared" si="1"/>
        <v>6543.6194398742264</v>
      </c>
      <c r="N65" s="227">
        <f>SQRT((ABS(AC65)-171.5+'Small Signal'!C$59)^2)</f>
        <v>91.72080730320701</v>
      </c>
      <c r="O65" s="227">
        <f t="shared" si="12"/>
        <v>85.677138797401071</v>
      </c>
      <c r="P65" s="227">
        <f t="shared" si="13"/>
        <v>52.381179588345574</v>
      </c>
      <c r="Q65" s="227">
        <f t="shared" si="14"/>
        <v>39.33303641041455</v>
      </c>
      <c r="R65" s="227" t="str">
        <f t="shared" si="2"/>
        <v>0.0355+0.000321277783398879i</v>
      </c>
      <c r="S65" s="227" t="str">
        <f t="shared" si="3"/>
        <v>0.018-18.3924666267836i</v>
      </c>
      <c r="T65" s="227" t="str">
        <f t="shared" si="24"/>
        <v>5.70724742689754-1.98526465899119i</v>
      </c>
      <c r="U65" s="227" t="str">
        <f t="shared" si="4"/>
        <v>93.6107988086174-4.90399104541658i</v>
      </c>
      <c r="V65" s="227">
        <f t="shared" si="16"/>
        <v>39.438421477766468</v>
      </c>
      <c r="W65" s="227">
        <f t="shared" si="17"/>
        <v>-2.9988139935587106</v>
      </c>
      <c r="X65" s="227" t="str">
        <f t="shared" si="5"/>
        <v>0.999999988998487-0.0000283397045044586i</v>
      </c>
      <c r="Y65" s="227" t="str">
        <f t="shared" si="6"/>
        <v>192.833694260133+23.5806152996207i</v>
      </c>
      <c r="Z65" s="227" t="str">
        <f t="shared" si="7"/>
        <v>35.3803707420042+4.32546125220155i</v>
      </c>
      <c r="AA65" s="227" t="str">
        <f t="shared" si="8"/>
        <v>18.0712032075511-3.11468075640468i</v>
      </c>
      <c r="AB65" s="227">
        <f t="shared" si="18"/>
        <v>25.266876351563845</v>
      </c>
      <c r="AC65" s="227">
        <f t="shared" si="19"/>
        <v>-9.7791926967929914</v>
      </c>
      <c r="AD65" s="229">
        <f t="shared" si="20"/>
        <v>27.11430323678173</v>
      </c>
      <c r="AE65" s="229">
        <f t="shared" si="21"/>
        <v>95.45633149419406</v>
      </c>
      <c r="AF65" s="227">
        <f t="shared" si="9"/>
        <v>52.381179588345574</v>
      </c>
      <c r="AG65" s="227">
        <f t="shared" si="10"/>
        <v>85.677138797401071</v>
      </c>
      <c r="AH65" s="229" t="str">
        <f t="shared" si="22"/>
        <v>2.15693296112117-22.5809850959279i</v>
      </c>
    </row>
    <row r="66" spans="9:34" x14ac:dyDescent="0.2">
      <c r="I66" s="227">
        <v>62</v>
      </c>
      <c r="J66" s="227">
        <f t="shared" si="0"/>
        <v>1.6045075966605709</v>
      </c>
      <c r="K66" s="227">
        <f t="shared" si="23"/>
        <v>40.226069226403119</v>
      </c>
      <c r="L66" s="227">
        <f t="shared" si="11"/>
        <v>252.74784712892497</v>
      </c>
      <c r="M66" s="227">
        <f t="shared" si="1"/>
        <v>6542.7061312879641</v>
      </c>
      <c r="N66" s="227">
        <f>SQRT((ABS(AC66)-171.5+'Small Signal'!C$59)^2)</f>
        <v>91.503141313207692</v>
      </c>
      <c r="O66" s="227">
        <f t="shared" si="12"/>
        <v>85.479204379172614</v>
      </c>
      <c r="P66" s="227">
        <f t="shared" si="13"/>
        <v>52.181416363136073</v>
      </c>
      <c r="Q66" s="227">
        <f t="shared" si="14"/>
        <v>40.226069226403119</v>
      </c>
      <c r="R66" s="227" t="str">
        <f t="shared" si="2"/>
        <v>0.0355+0.000328572201267602i</v>
      </c>
      <c r="S66" s="227" t="str">
        <f t="shared" si="3"/>
        <v>0.018-17.9841474302883i</v>
      </c>
      <c r="T66" s="227" t="str">
        <f t="shared" si="24"/>
        <v>5.67902727191873-2.02026797055633i</v>
      </c>
      <c r="U66" s="227" t="str">
        <f t="shared" si="4"/>
        <v>93.6011363238958-5.01492661513257i</v>
      </c>
      <c r="V66" s="227">
        <f t="shared" si="16"/>
        <v>39.438071255732552</v>
      </c>
      <c r="W66" s="227">
        <f t="shared" si="17"/>
        <v>-3.0668395347388446</v>
      </c>
      <c r="X66" s="227" t="str">
        <f t="shared" si="5"/>
        <v>0.999999988493251-0.0000289831403646812i</v>
      </c>
      <c r="Y66" s="227" t="str">
        <f t="shared" si="6"/>
        <v>192.893370405902+24.1133468577493i</v>
      </c>
      <c r="Z66" s="227" t="str">
        <f t="shared" si="7"/>
        <v>35.3913254483123+4.42318132813395i</v>
      </c>
      <c r="AA66" s="227" t="str">
        <f t="shared" si="8"/>
        <v>18.0474085479211-3.18122483297375i</v>
      </c>
      <c r="AB66" s="227">
        <f t="shared" si="18"/>
        <v>25.261183860134739</v>
      </c>
      <c r="AC66" s="227">
        <f t="shared" si="19"/>
        <v>-9.9968586867922955</v>
      </c>
      <c r="AD66" s="229">
        <f t="shared" si="20"/>
        <v>26.920232503001333</v>
      </c>
      <c r="AE66" s="229">
        <f t="shared" si="21"/>
        <v>95.476063065964908</v>
      </c>
      <c r="AF66" s="227">
        <f t="shared" si="9"/>
        <v>52.181416363136073</v>
      </c>
      <c r="AG66" s="227">
        <f t="shared" si="10"/>
        <v>85.479204379172614</v>
      </c>
      <c r="AH66" s="229" t="str">
        <f t="shared" si="22"/>
        <v>2.11687904984306-22.0813201870354i</v>
      </c>
    </row>
    <row r="67" spans="9:34" x14ac:dyDescent="0.2">
      <c r="I67" s="227">
        <v>63</v>
      </c>
      <c r="J67" s="227">
        <f t="shared" si="0"/>
        <v>1.6142577191873544</v>
      </c>
      <c r="K67" s="227">
        <f t="shared" si="23"/>
        <v>41.139377812665586</v>
      </c>
      <c r="L67" s="227">
        <f t="shared" si="11"/>
        <v>258.48633421905026</v>
      </c>
      <c r="M67" s="227">
        <f t="shared" si="1"/>
        <v>6541.7720865823203</v>
      </c>
      <c r="N67" s="227">
        <f>SQRT((ABS(AC67)-171.5+'Small Signal'!C$59)^2)</f>
        <v>91.280829925869568</v>
      </c>
      <c r="O67" s="227">
        <f t="shared" si="12"/>
        <v>85.279365715984781</v>
      </c>
      <c r="P67" s="227">
        <f t="shared" si="13"/>
        <v>51.981414401804685</v>
      </c>
      <c r="Q67" s="227">
        <f t="shared" si="14"/>
        <v>41.139377812665586</v>
      </c>
      <c r="R67" s="227" t="str">
        <f t="shared" si="2"/>
        <v>0.0355+0.000336032234484765i</v>
      </c>
      <c r="S67" s="227" t="str">
        <f t="shared" si="3"/>
        <v>0.018-17.5848930628672i</v>
      </c>
      <c r="T67" s="227" t="str">
        <f t="shared" si="24"/>
        <v>5.64980911725748-2.05547311464088i</v>
      </c>
      <c r="U67" s="227" t="str">
        <f t="shared" si="4"/>
        <v>93.5910316829502-5.12835265002831i</v>
      </c>
      <c r="V67" s="227">
        <f t="shared" si="16"/>
        <v>39.437704976447215</v>
      </c>
      <c r="W67" s="227">
        <f t="shared" si="17"/>
        <v>-3.1364053303044184</v>
      </c>
      <c r="X67" s="227" t="str">
        <f t="shared" si="5"/>
        <v>0.999999987964811-0.0000296411850471713i</v>
      </c>
      <c r="Y67" s="227" t="str">
        <f t="shared" si="6"/>
        <v>192.955776640786+24.6579894382306i</v>
      </c>
      <c r="Z67" s="227" t="str">
        <f t="shared" si="7"/>
        <v>35.4027813147268+4.52308623788223i</v>
      </c>
      <c r="AA67" s="227" t="str">
        <f t="shared" si="8"/>
        <v>18.0225877505995-3.24900097073679i</v>
      </c>
      <c r="AB67" s="227">
        <f t="shared" si="18"/>
        <v>25.255237919955253</v>
      </c>
      <c r="AC67" s="227">
        <f t="shared" si="19"/>
        <v>-10.219170074130417</v>
      </c>
      <c r="AD67" s="229">
        <f t="shared" si="20"/>
        <v>26.726176481849432</v>
      </c>
      <c r="AE67" s="229">
        <f t="shared" si="21"/>
        <v>95.498535790115199</v>
      </c>
      <c r="AF67" s="227">
        <f t="shared" si="9"/>
        <v>51.981414401804685</v>
      </c>
      <c r="AG67" s="227">
        <f t="shared" si="10"/>
        <v>85.279365715984781</v>
      </c>
      <c r="AH67" s="229" t="str">
        <f t="shared" si="22"/>
        <v>2.07857843714787-21.5926462771087i</v>
      </c>
    </row>
    <row r="68" spans="9:34" x14ac:dyDescent="0.2">
      <c r="I68" s="227">
        <v>64</v>
      </c>
      <c r="J68" s="227">
        <f t="shared" ref="J68:J131" si="25">1+I68*(LOG(fsw)-1)/500</f>
        <v>1.6240078417141377</v>
      </c>
      <c r="K68" s="227">
        <f t="shared" si="23"/>
        <v>42.073422518309876</v>
      </c>
      <c r="L68" s="227">
        <f t="shared" si="11"/>
        <v>264.35511018980338</v>
      </c>
      <c r="M68" s="227">
        <f t="shared" ref="M68:M131" si="26">SQRT((Fco_target-K69)^2)</f>
        <v>6540.8168349562375</v>
      </c>
      <c r="N68" s="227">
        <f>SQRT((ABS(AC68)-171.5+'Small Signal'!C$59)^2)</f>
        <v>91.053787465128892</v>
      </c>
      <c r="O68" s="227">
        <f t="shared" si="12"/>
        <v>85.077547777994155</v>
      </c>
      <c r="P68" s="227">
        <f t="shared" si="13"/>
        <v>51.781164682948258</v>
      </c>
      <c r="Q68" s="227">
        <f t="shared" si="14"/>
        <v>42.073422518309876</v>
      </c>
      <c r="R68" s="227" t="str">
        <f t="shared" ref="R68:R131" si="27">IMSUM(COMPLEX(DCRss,Lss*L68),COMPLEX(Rdsonss,0),COMPLEX(40/3*Risense,0))</f>
        <v>0.0355+0.000343661643246744i</v>
      </c>
      <c r="S68" s="227" t="str">
        <f t="shared" ref="S68:S131" si="28">IMSUM(COMPLEX(ESRss,0),IMDIV(COMPLEX(1,0),COMPLEX(0,L68*Cbulkss)))</f>
        <v>0.018-17.1945022821423i</v>
      </c>
      <c r="T68" s="227" t="str">
        <f t="shared" ref="T68:T131" si="29">IMDIV(IMPRODUCT(S68,COMPLEX(Ross,0)),IMSUM(S68,COMPLEX(Ross,0)))</f>
        <v>5.61957010518873-2.09085441062398i</v>
      </c>
      <c r="U68" s="227" t="str">
        <f t="shared" ref="U68:U131" si="30">IMPRODUCT(COMPLEX(Vinss,0),COMPLEX(M^2,0),IMDIV(IMSUB(COMPLEX(1,0),IMDIV(IMPRODUCT(R68,COMPLEX(M^2,0)),COMPLEX(Ross,0))),IMSUM(COMPLEX(1,0),IMDIV(IMPRODUCT(R68,COMPLEX(M^2,0)),T68))))</f>
        <v>93.5804647287231-5.24432373368297i</v>
      </c>
      <c r="V68" s="227">
        <f t="shared" si="16"/>
        <v>39.437321904972933</v>
      </c>
      <c r="W68" s="227">
        <f t="shared" si="17"/>
        <v>-3.2075460571783494</v>
      </c>
      <c r="X68" s="227" t="str">
        <f t="shared" ref="X68:X131" si="31">IMSUM(COMPLEX(1,L68/(wn*q0)),IMPOWER(COMPLEX(0,L68/wn),2))</f>
        <v>0.999999987412104-0.0000303141702364079i</v>
      </c>
      <c r="Y68" s="227" t="str">
        <f t="shared" ref="Y68:Y131" si="32">IMPRODUCT(COMPLEX(2*Ioutss*M^2,0),IMDIV(IMSUM(COMPLEX(1,0),IMDIV(COMPLEX(Ross,0),IMPRODUCT(COMPLEX(2,0),S68))),IMSUM(COMPLEX(1,0),IMDIV(IMPRODUCT(R68,COMPLEX(M^2,0)),T68))))</f>
        <v>193.021037358819+25.2148006843743i</v>
      </c>
      <c r="Z68" s="227" t="str">
        <f t="shared" ref="Z68:Z131" si="33">IMPRODUCT(COMPLEX(Fm*40/3*Risense,0),Y68,X68)</f>
        <v>35.4147611761208+4.62522323872322i</v>
      </c>
      <c r="AA68" s="227" t="str">
        <f t="shared" ref="AA68:AA131" si="34">IMDIV(IMPRODUCT(COMPLEX(Fm,0),U68),IMSUM(COMPLEX(1,0),Z68))</f>
        <v>17.996699651002-3.31801908426347i</v>
      </c>
      <c r="AB68" s="227">
        <f t="shared" si="18"/>
        <v>25.249027616994844</v>
      </c>
      <c r="AC68" s="227">
        <f t="shared" si="19"/>
        <v>-10.446212534871096</v>
      </c>
      <c r="AD68" s="229">
        <f t="shared" si="20"/>
        <v>26.53213706595341</v>
      </c>
      <c r="AE68" s="229">
        <f t="shared" si="21"/>
        <v>95.523760312865249</v>
      </c>
      <c r="AF68" s="227">
        <f t="shared" ref="AF68:AF131" si="35">AD68+AB68</f>
        <v>51.781164682948258</v>
      </c>
      <c r="AG68" s="227">
        <f t="shared" ref="AG68:AG131" si="36">AE68+AC68</f>
        <v>85.077547777994155</v>
      </c>
      <c r="AH68" s="229" t="str">
        <f t="shared" ref="AH68:AH131" si="37">IMDIV(IMPRODUCT(COMPLEX(gea*Rea*Rslss/(Rslss+Rshss),0),COMPLEX(1,L68*Ccompss*Rcompss),COMPLEX(1,k_3*L68*Cffss*Rshss)),IMPRODUCT(COMPLEX(1,L68*Rea*Ccompss),COMPLEX(1,L68*Rcompss*Chfss),COMPLEX(1,k_3*L68*Rffss*Cffss)))</f>
        <v>2.04195460005389-21.1147260784816i</v>
      </c>
    </row>
    <row r="69" spans="9:34" x14ac:dyDescent="0.2">
      <c r="I69" s="227">
        <v>65</v>
      </c>
      <c r="J69" s="227">
        <f t="shared" si="25"/>
        <v>1.633757964240921</v>
      </c>
      <c r="K69" s="227">
        <f t="shared" si="23"/>
        <v>43.02867414439217</v>
      </c>
      <c r="L69" s="227">
        <f t="shared" ref="L69:L132" si="38">2*PI()*K69</f>
        <v>270.35713317146303</v>
      </c>
      <c r="M69" s="227">
        <f t="shared" si="26"/>
        <v>6539.8398949194079</v>
      </c>
      <c r="N69" s="227">
        <f>SQRT((ABS(AC69)-171.5+'Small Signal'!C$59)^2)</f>
        <v>90.8219275897834</v>
      </c>
      <c r="O69" s="227">
        <f t="shared" ref="O69:O132" si="39">ABS(AG69)</f>
        <v>84.873676168640444</v>
      </c>
      <c r="P69" s="227">
        <f t="shared" ref="P69:P132" si="40">ABS(AF69)</f>
        <v>51.580657781277019</v>
      </c>
      <c r="Q69" s="227">
        <f t="shared" ref="Q69:Q132" si="41">K69</f>
        <v>43.02867414439217</v>
      </c>
      <c r="R69" s="227" t="str">
        <f t="shared" si="27"/>
        <v>0.0355+0.000351464273122902i</v>
      </c>
      <c r="S69" s="227" t="str">
        <f t="shared" si="28"/>
        <v>0.018-16.8127783133866i</v>
      </c>
      <c r="T69" s="227" t="str">
        <f t="shared" si="29"/>
        <v>5.58828788268619-2.12638452519266i</v>
      </c>
      <c r="U69" s="227" t="str">
        <f t="shared" si="30"/>
        <v>93.5694143923644-5.36289555328673i</v>
      </c>
      <c r="V69" s="227">
        <f t="shared" ref="V69:V132" si="42">20*LOG(IMABS(U69))</f>
        <v>39.436921272852935</v>
      </c>
      <c r="W69" s="227">
        <f t="shared" ref="W69:W132" si="43">IF(DEGREES(IMARGUMENT(U69))&gt;0,DEGREES(IMARGUMENT(U69))-360, DEGREES(IMARGUMENT(U69)))</f>
        <v>-3.280297159227791</v>
      </c>
      <c r="X69" s="227" t="str">
        <f t="shared" si="31"/>
        <v>0.999999986834014-0.0000310024351475656i</v>
      </c>
      <c r="Y69" s="227" t="str">
        <f t="shared" si="32"/>
        <v>193.089282574729+25.7840432043552i</v>
      </c>
      <c r="Z69" s="227" t="str">
        <f t="shared" si="33"/>
        <v>35.4272888991481+4.72964049844146i</v>
      </c>
      <c r="AA69" s="227" t="str">
        <f t="shared" si="34"/>
        <v>17.9697017128904-3.38828820817956i</v>
      </c>
      <c r="AB69" s="227">
        <f t="shared" ref="AB69:AB132" si="44">20*LOG(IMABS(AA69))</f>
        <v>25.242541600835274</v>
      </c>
      <c r="AC69" s="227">
        <f t="shared" ref="AC69:AC132" si="45">IF(DEGREES(IMARGUMENT(AA69))&gt;0,DEGREES(IMARGUMENT(AA69))-360, DEGREES(IMARGUMENT(AA69)))</f>
        <v>-10.678072410216606</v>
      </c>
      <c r="AD69" s="229">
        <f t="shared" ref="AD69:AD132" si="46">20*LOG(IMABS(AH69))</f>
        <v>26.338116180441745</v>
      </c>
      <c r="AE69" s="229">
        <f t="shared" ref="AE69:AE132" si="47">180+DEGREES(IMARGUMENT(AH69))</f>
        <v>95.551748578857044</v>
      </c>
      <c r="AF69" s="227">
        <f t="shared" si="35"/>
        <v>51.580657781277019</v>
      </c>
      <c r="AG69" s="227">
        <f t="shared" si="36"/>
        <v>84.873676168640444</v>
      </c>
      <c r="AH69" s="229" t="str">
        <f t="shared" si="37"/>
        <v>2.00693433607643-20.6473271387751i</v>
      </c>
    </row>
    <row r="70" spans="9:34" x14ac:dyDescent="0.2">
      <c r="I70" s="227">
        <v>66</v>
      </c>
      <c r="J70" s="227">
        <f t="shared" si="25"/>
        <v>1.6435080867677043</v>
      </c>
      <c r="K70" s="227">
        <f t="shared" si="23"/>
        <v>44.005614181222008</v>
      </c>
      <c r="L70" s="227">
        <f t="shared" si="38"/>
        <v>276.49542845686773</v>
      </c>
      <c r="M70" s="227">
        <f t="shared" si="26"/>
        <v>6538.8407740495741</v>
      </c>
      <c r="N70" s="227">
        <f>SQRT((ABS(AC70)-171.5+'Small Signal'!C$59)^2)</f>
        <v>90.585163356477153</v>
      </c>
      <c r="O70" s="227">
        <f t="shared" si="39"/>
        <v>84.667677190238464</v>
      </c>
      <c r="P70" s="227">
        <f t="shared" si="40"/>
        <v>51.379883856953725</v>
      </c>
      <c r="Q70" s="227">
        <f t="shared" si="41"/>
        <v>44.005614181222008</v>
      </c>
      <c r="R70" s="227" t="str">
        <f t="shared" si="27"/>
        <v>0.0355+0.000359444056993928i</v>
      </c>
      <c r="S70" s="227" t="str">
        <f t="shared" si="28"/>
        <v>0.018-16.4395287503411i</v>
      </c>
      <c r="T70" s="227" t="str">
        <f t="shared" si="29"/>
        <v>5.55594070334465-2.16203444598912i</v>
      </c>
      <c r="U70" s="227" t="str">
        <f t="shared" si="30"/>
        <v>93.5578586526571-5.48412491535655i</v>
      </c>
      <c r="V70" s="227">
        <f t="shared" si="42"/>
        <v>39.436502276593629</v>
      </c>
      <c r="W70" s="227">
        <f t="shared" si="43"/>
        <v>-3.3546948632673992</v>
      </c>
      <c r="X70" s="227" t="str">
        <f t="shared" si="31"/>
        <v>0.999999986229375-0.0000317063266974944i</v>
      </c>
      <c r="Y70" s="227" t="str">
        <f t="shared" si="32"/>
        <v>193.160648173497+26.365984623032i</v>
      </c>
      <c r="Z70" s="227" t="str">
        <f t="shared" si="33"/>
        <v>35.4403894280551+4.83638710481977i</v>
      </c>
      <c r="AA70" s="227" t="str">
        <f t="shared" si="34"/>
        <v>17.9415500085433-3.45981641693745i</v>
      </c>
      <c r="AB70" s="227">
        <f t="shared" si="44"/>
        <v>25.235768070262033</v>
      </c>
      <c r="AC70" s="227">
        <f t="shared" si="45"/>
        <v>-10.914836643522838</v>
      </c>
      <c r="AD70" s="229">
        <f t="shared" si="46"/>
        <v>26.144115786691696</v>
      </c>
      <c r="AE70" s="229">
        <f t="shared" si="47"/>
        <v>95.582513833761297</v>
      </c>
      <c r="AF70" s="227">
        <f t="shared" si="35"/>
        <v>51.379883856953725</v>
      </c>
      <c r="AG70" s="227">
        <f t="shared" si="36"/>
        <v>84.667677190238464</v>
      </c>
      <c r="AH70" s="229" t="str">
        <f t="shared" si="37"/>
        <v>1.97344762080382-20.1902217615376i</v>
      </c>
    </row>
    <row r="71" spans="9:34" x14ac:dyDescent="0.2">
      <c r="I71" s="227">
        <v>67</v>
      </c>
      <c r="J71" s="227">
        <f t="shared" si="25"/>
        <v>1.6532582092944879</v>
      </c>
      <c r="K71" s="227">
        <f t="shared" si="23"/>
        <v>45.004735051055434</v>
      </c>
      <c r="L71" s="227">
        <f t="shared" si="38"/>
        <v>282.77309002630165</v>
      </c>
      <c r="M71" s="227">
        <f t="shared" si="26"/>
        <v>6537.8189687443319</v>
      </c>
      <c r="N71" s="227">
        <f>SQRT((ABS(AC71)-171.5+'Small Signal'!C$59)^2)</f>
        <v>90.34340728834124</v>
      </c>
      <c r="O71" s="227">
        <f t="shared" si="39"/>
        <v>84.45947791547475</v>
      </c>
      <c r="P71" s="227">
        <f t="shared" si="40"/>
        <v>51.178832644805482</v>
      </c>
      <c r="Q71" s="227">
        <f t="shared" si="41"/>
        <v>45.004735051055434</v>
      </c>
      <c r="R71" s="227" t="str">
        <f t="shared" si="27"/>
        <v>0.0355+0.000367605017034192i</v>
      </c>
      <c r="S71" s="227" t="str">
        <f t="shared" si="28"/>
        <v>0.018-16.0745654582328i</v>
      </c>
      <c r="T71" s="227" t="str">
        <f t="shared" si="29"/>
        <v>5.52250753476831-2.19777346080912i</v>
      </c>
      <c r="U71" s="227" t="str">
        <f t="shared" si="30"/>
        <v>93.5457744937014-5.60806976117168i</v>
      </c>
      <c r="V71" s="227">
        <f t="shared" si="42"/>
        <v>39.436064076079532</v>
      </c>
      <c r="W71" s="227">
        <f t="shared" si="43"/>
        <v>-3.4307761953291833</v>
      </c>
      <c r="X71" s="227" t="str">
        <f t="shared" si="31"/>
        <v>0.999999985596969-0.0000324261996795818i</v>
      </c>
      <c r="Y71" s="227" t="str">
        <f t="shared" si="32"/>
        <v>193.235276170542+26.9608976307942i</v>
      </c>
      <c r="Z71" s="227" t="str">
        <f t="shared" si="33"/>
        <v>35.4540888324418+4.94551307458365i</v>
      </c>
      <c r="AA71" s="227" t="str">
        <f t="shared" si="34"/>
        <v>17.9121992013381-3.53261074032766i</v>
      </c>
      <c r="AB71" s="227">
        <f t="shared" si="44"/>
        <v>25.228694758663423</v>
      </c>
      <c r="AC71" s="227">
        <f t="shared" si="45"/>
        <v>-11.156592711658766</v>
      </c>
      <c r="AD71" s="229">
        <f t="shared" si="46"/>
        <v>25.950137886142059</v>
      </c>
      <c r="AE71" s="229">
        <f t="shared" si="47"/>
        <v>95.61607062713351</v>
      </c>
      <c r="AF71" s="227">
        <f t="shared" si="35"/>
        <v>51.178832644805482</v>
      </c>
      <c r="AG71" s="227">
        <f t="shared" si="36"/>
        <v>84.45947791547475</v>
      </c>
      <c r="AH71" s="229" t="str">
        <f t="shared" si="37"/>
        <v>1.94142747143927-19.7431869268535i</v>
      </c>
    </row>
    <row r="72" spans="9:34" x14ac:dyDescent="0.2">
      <c r="I72" s="227">
        <v>68</v>
      </c>
      <c r="J72" s="227">
        <f t="shared" si="25"/>
        <v>1.6630083318212712</v>
      </c>
      <c r="K72" s="227">
        <f t="shared" ref="K72:K135" si="48">10^(J72)</f>
        <v>46.026540356298057</v>
      </c>
      <c r="L72" s="227">
        <f t="shared" si="38"/>
        <v>289.19328210700024</v>
      </c>
      <c r="M72" s="227">
        <f t="shared" si="26"/>
        <v>6536.7739639672864</v>
      </c>
      <c r="N72" s="227">
        <f>SQRT((ABS(AC72)-171.5+'Small Signal'!C$59)^2)</f>
        <v>90.096571449591522</v>
      </c>
      <c r="O72" s="227">
        <f t="shared" si="39"/>
        <v>84.249006265097208</v>
      </c>
      <c r="P72" s="227">
        <f t="shared" si="40"/>
        <v>50.977493443436174</v>
      </c>
      <c r="Q72" s="227">
        <f t="shared" si="41"/>
        <v>46.026540356298057</v>
      </c>
      <c r="R72" s="227" t="str">
        <f t="shared" si="27"/>
        <v>0.0355+0.0003759512667391i</v>
      </c>
      <c r="S72" s="227" t="str">
        <f t="shared" si="28"/>
        <v>0.018-15.7177044789469i</v>
      </c>
      <c r="T72" s="227" t="str">
        <f t="shared" si="29"/>
        <v>5.48796817124266-2.23356914300424i</v>
      </c>
      <c r="U72" s="227" t="str">
        <f t="shared" si="30"/>
        <v>93.5331378607856-5.73478918187817i</v>
      </c>
      <c r="V72" s="227">
        <f t="shared" si="42"/>
        <v>39.435605792917428</v>
      </c>
      <c r="W72" s="227">
        <f t="shared" si="43"/>
        <v>-3.5085789971975383</v>
      </c>
      <c r="X72" s="227" t="str">
        <f t="shared" si="31"/>
        <v>0.999999984935521-0.0000331624169425846i</v>
      </c>
      <c r="Y72" s="227" t="str">
        <f t="shared" si="32"/>
        <v>193.313314983008+27.569060029078i</v>
      </c>
      <c r="Z72" s="227" t="str">
        <f t="shared" si="33"/>
        <v>35.468414357061+5.05706936173354i</v>
      </c>
      <c r="AA72" s="227" t="str">
        <f t="shared" si="34"/>
        <v>17.8816025310651-3.60667707463468i</v>
      </c>
      <c r="AB72" s="227">
        <f t="shared" si="44"/>
        <v>25.22130891926038</v>
      </c>
      <c r="AC72" s="227">
        <f t="shared" si="45"/>
        <v>-11.403428550408492</v>
      </c>
      <c r="AD72" s="229">
        <f t="shared" si="46"/>
        <v>25.756184524175794</v>
      </c>
      <c r="AE72" s="229">
        <f t="shared" si="47"/>
        <v>95.6524348155057</v>
      </c>
      <c r="AF72" s="227">
        <f t="shared" si="35"/>
        <v>50.977493443436174</v>
      </c>
      <c r="AG72" s="227">
        <f t="shared" si="36"/>
        <v>84.249006265097208</v>
      </c>
      <c r="AH72" s="229" t="str">
        <f t="shared" si="37"/>
        <v>1.91080981607109-19.3060042120309i</v>
      </c>
    </row>
    <row r="73" spans="9:34" x14ac:dyDescent="0.2">
      <c r="I73" s="227">
        <v>69</v>
      </c>
      <c r="J73" s="227">
        <f t="shared" si="25"/>
        <v>1.6727584543480547</v>
      </c>
      <c r="K73" s="227">
        <f t="shared" si="48"/>
        <v>47.071545133343776</v>
      </c>
      <c r="L73" s="227">
        <f t="shared" si="38"/>
        <v>295.75924076806638</v>
      </c>
      <c r="M73" s="227">
        <f t="shared" si="26"/>
        <v>6535.7052329884536</v>
      </c>
      <c r="N73" s="227">
        <f>SQRT((ABS(AC73)-171.5+'Small Signal'!C$59)^2)</f>
        <v>89.844567526383685</v>
      </c>
      <c r="O73" s="227">
        <f t="shared" si="39"/>
        <v>84.03619109208006</v>
      </c>
      <c r="P73" s="227">
        <f t="shared" si="40"/>
        <v>50.775855104281035</v>
      </c>
      <c r="Q73" s="227">
        <f t="shared" si="41"/>
        <v>47.071545133343776</v>
      </c>
      <c r="R73" s="227" t="str">
        <f t="shared" si="27"/>
        <v>0.0355+0.000384487012998486i</v>
      </c>
      <c r="S73" s="227" t="str">
        <f t="shared" si="28"/>
        <v>0.018-15.3687659383028i</v>
      </c>
      <c r="T73" s="227" t="str">
        <f t="shared" si="29"/>
        <v>5.45230335144015-2.26938734375667i</v>
      </c>
      <c r="U73" s="227" t="str">
        <f t="shared" si="30"/>
        <v>93.5199236143709-5.86434343321061i</v>
      </c>
      <c r="V73" s="227">
        <f t="shared" si="42"/>
        <v>39.435126508706553</v>
      </c>
      <c r="W73" s="227">
        <f t="shared" si="43"/>
        <v>-3.5881419432093633</v>
      </c>
      <c r="X73" s="227" t="str">
        <f t="shared" si="31"/>
        <v>0.999999984243695-0.0000339153495735213i</v>
      </c>
      <c r="Y73" s="227" t="str">
        <f t="shared" si="32"/>
        <v>193.394919712541+28.1907547721855i</v>
      </c>
      <c r="Z73" s="227" t="str">
        <f t="shared" si="33"/>
        <v>35.4833944737266+5.17110786519789i</v>
      </c>
      <c r="AA73" s="227" t="str">
        <f t="shared" si="34"/>
        <v>17.8497118023312-3.68202008935878i</v>
      </c>
      <c r="AB73" s="227">
        <f t="shared" si="44"/>
        <v>25.21359731020015</v>
      </c>
      <c r="AC73" s="227">
        <f t="shared" si="45"/>
        <v>-11.655432473616322</v>
      </c>
      <c r="AD73" s="229">
        <f t="shared" si="46"/>
        <v>25.562257794080882</v>
      </c>
      <c r="AE73" s="229">
        <f t="shared" si="47"/>
        <v>95.691623565696389</v>
      </c>
      <c r="AF73" s="227">
        <f t="shared" si="35"/>
        <v>50.775855104281035</v>
      </c>
      <c r="AG73" s="227">
        <f t="shared" si="36"/>
        <v>84.03619109208006</v>
      </c>
      <c r="AH73" s="229" t="str">
        <f t="shared" si="37"/>
        <v>1.88153336844223-18.8784597124776i</v>
      </c>
    </row>
    <row r="74" spans="9:34" x14ac:dyDescent="0.2">
      <c r="I74" s="227">
        <v>70</v>
      </c>
      <c r="J74" s="227">
        <f t="shared" si="25"/>
        <v>1.682508576874838</v>
      </c>
      <c r="K74" s="227">
        <f t="shared" si="48"/>
        <v>48.140276112176416</v>
      </c>
      <c r="L74" s="227">
        <f t="shared" si="38"/>
        <v>302.47427555159527</v>
      </c>
      <c r="M74" s="227">
        <f t="shared" si="26"/>
        <v>6534.6122371187639</v>
      </c>
      <c r="N74" s="227">
        <f>SQRT((ABS(AC74)-171.5+'Small Signal'!C$59)^2)</f>
        <v>89.587306914232613</v>
      </c>
      <c r="O74" s="227">
        <f t="shared" si="39"/>
        <v>83.820962272553572</v>
      </c>
      <c r="P74" s="227">
        <f t="shared" si="40"/>
        <v>50.573906020641104</v>
      </c>
      <c r="Q74" s="227">
        <f t="shared" si="41"/>
        <v>48.140276112176416</v>
      </c>
      <c r="R74" s="227" t="str">
        <f t="shared" si="27"/>
        <v>0.0355+0.000393216558217074i</v>
      </c>
      <c r="S74" s="227" t="str">
        <f t="shared" si="28"/>
        <v>0.018-15.0275739553898i</v>
      </c>
      <c r="T74" s="227" t="str">
        <f t="shared" si="29"/>
        <v>5.41549488083966-2.3051921919043i</v>
      </c>
      <c r="U74" s="227" t="str">
        <f t="shared" si="30"/>
        <v>93.5061054821282-5.99679394977335i</v>
      </c>
      <c r="V74" s="227">
        <f t="shared" si="42"/>
        <v>39.434625263232746</v>
      </c>
      <c r="W74" s="227">
        <f t="shared" si="43"/>
        <v>-3.6695045573170733</v>
      </c>
      <c r="X74" s="227" t="str">
        <f t="shared" si="31"/>
        <v>0.999999983520098-0.0000346853770847169i</v>
      </c>
      <c r="Y74" s="227" t="str">
        <f t="shared" si="32"/>
        <v>193.48025244002+28.8262700050048i</v>
      </c>
      <c r="Z74" s="227" t="str">
        <f t="shared" si="33"/>
        <v>35.4990589354173+5.2876814357331i</v>
      </c>
      <c r="AA74" s="227" t="str">
        <f t="shared" si="34"/>
        <v>17.8164773764271-3.7586431294386i</v>
      </c>
      <c r="AB74" s="227">
        <f t="shared" si="44"/>
        <v>25.205546179546264</v>
      </c>
      <c r="AC74" s="227">
        <f t="shared" si="45"/>
        <v>-11.912693085767387</v>
      </c>
      <c r="AD74" s="229">
        <f t="shared" si="46"/>
        <v>25.36835984109484</v>
      </c>
      <c r="AE74" s="229">
        <f t="shared" si="47"/>
        <v>95.733655358320959</v>
      </c>
      <c r="AF74" s="227">
        <f t="shared" si="35"/>
        <v>50.573906020641104</v>
      </c>
      <c r="AG74" s="227">
        <f t="shared" si="36"/>
        <v>83.820962272553572</v>
      </c>
      <c r="AH74" s="229" t="str">
        <f t="shared" si="37"/>
        <v>1.85353950799796-18.460343962859i</v>
      </c>
    </row>
    <row r="75" spans="9:34" x14ac:dyDescent="0.2">
      <c r="I75" s="227">
        <v>71</v>
      </c>
      <c r="J75" s="227">
        <f t="shared" si="25"/>
        <v>1.6922586994016213</v>
      </c>
      <c r="K75" s="227">
        <f t="shared" si="48"/>
        <v>49.233271981865734</v>
      </c>
      <c r="L75" s="227">
        <f t="shared" si="38"/>
        <v>309.34177114083519</v>
      </c>
      <c r="M75" s="227">
        <f t="shared" si="26"/>
        <v>6533.4944254385391</v>
      </c>
      <c r="N75" s="227">
        <f>SQRT((ABS(AC75)-171.5+'Small Signal'!C$59)^2)</f>
        <v>89.324700812307498</v>
      </c>
      <c r="O75" s="227">
        <f t="shared" si="39"/>
        <v>83.603250803790203</v>
      </c>
      <c r="P75" s="227">
        <f t="shared" si="40"/>
        <v>50.371634116745355</v>
      </c>
      <c r="Q75" s="227">
        <f t="shared" si="41"/>
        <v>49.233271981865734</v>
      </c>
      <c r="R75" s="227" t="str">
        <f t="shared" si="27"/>
        <v>0.0355+0.000402144302483086i</v>
      </c>
      <c r="S75" s="227" t="str">
        <f t="shared" si="28"/>
        <v>0.018-14.693956553915i</v>
      </c>
      <c r="T75" s="227" t="str">
        <f t="shared" si="29"/>
        <v>5.37752575846406-2.34094610199848i</v>
      </c>
      <c r="U75" s="227" t="str">
        <f t="shared" si="30"/>
        <v>93.4916560089385-6.13220335881928i</v>
      </c>
      <c r="V75" s="227">
        <f t="shared" si="42"/>
        <v>39.434101052581994</v>
      </c>
      <c r="W75" s="227">
        <f t="shared" si="43"/>
        <v>-3.7527072304128506</v>
      </c>
      <c r="X75" s="227" t="str">
        <f t="shared" si="31"/>
        <v>0.999999982763271-0.0000354728876050943i</v>
      </c>
      <c r="Y75" s="227" t="str">
        <f t="shared" si="32"/>
        <v>193.569482532675+29.4758990961998i</v>
      </c>
      <c r="Z75" s="227" t="str">
        <f t="shared" si="33"/>
        <v>35.5154388326521+5.40684388199107i</v>
      </c>
      <c r="AA75" s="227" t="str">
        <f t="shared" si="34"/>
        <v>17.7818481670635-3.83654811292893i</v>
      </c>
      <c r="AB75" s="227">
        <f t="shared" si="44"/>
        <v>25.19714125020468</v>
      </c>
      <c r="AC75" s="227">
        <f t="shared" si="45"/>
        <v>-12.175299187692508</v>
      </c>
      <c r="AD75" s="229">
        <f t="shared" si="46"/>
        <v>25.174492866540675</v>
      </c>
      <c r="AE75" s="229">
        <f t="shared" si="47"/>
        <v>95.778549991482706</v>
      </c>
      <c r="AF75" s="227">
        <f t="shared" si="35"/>
        <v>50.371634116745355</v>
      </c>
      <c r="AG75" s="227">
        <f t="shared" si="36"/>
        <v>83.603250803790203</v>
      </c>
      <c r="AH75" s="229" t="str">
        <f t="shared" si="37"/>
        <v>1.82677216499898-18.0514518586275i</v>
      </c>
    </row>
    <row r="76" spans="9:34" x14ac:dyDescent="0.2">
      <c r="I76" s="227">
        <v>72</v>
      </c>
      <c r="J76" s="227">
        <f t="shared" si="25"/>
        <v>1.7020088219284049</v>
      </c>
      <c r="K76" s="227">
        <f t="shared" si="48"/>
        <v>50.351083662091241</v>
      </c>
      <c r="L76" s="227">
        <f t="shared" si="38"/>
        <v>316.36518906622183</v>
      </c>
      <c r="M76" s="227">
        <f t="shared" si="26"/>
        <v>6532.3512345197996</v>
      </c>
      <c r="N76" s="227">
        <f>SQRT((ABS(AC76)-171.5+'Small Signal'!C$59)^2)</f>
        <v>89.056660324917402</v>
      </c>
      <c r="O76" s="227">
        <f t="shared" si="39"/>
        <v>83.382988909539847</v>
      </c>
      <c r="P76" s="227">
        <f t="shared" si="40"/>
        <v>50.169026836886111</v>
      </c>
      <c r="Q76" s="227">
        <f t="shared" si="41"/>
        <v>50.351083662091241</v>
      </c>
      <c r="R76" s="227" t="str">
        <f t="shared" si="27"/>
        <v>0.0355+0.000411274745786088i</v>
      </c>
      <c r="S76" s="227" t="str">
        <f t="shared" si="28"/>
        <v>0.018-14.3677455755193i</v>
      </c>
      <c r="T76" s="227" t="str">
        <f t="shared" si="29"/>
        <v>5.33838030745969-2.37660979127145i</v>
      </c>
      <c r="U76" s="227" t="str">
        <f t="shared" si="30"/>
        <v>93.4765465047855-6.2706354934595i</v>
      </c>
      <c r="V76" s="227">
        <f t="shared" si="42"/>
        <v>39.433552827170587</v>
      </c>
      <c r="W76" s="227">
        <f t="shared" si="43"/>
        <v>-3.8377912379111976</v>
      </c>
      <c r="X76" s="227" t="str">
        <f t="shared" si="31"/>
        <v>0.999999981971686-0.000036278278075809i</v>
      </c>
      <c r="Y76" s="227" t="str">
        <f t="shared" si="32"/>
        <v>193.662786964082+30.1399406664047i</v>
      </c>
      <c r="Z76" s="227" t="str">
        <f t="shared" si="33"/>
        <v>35.5325666522311+5.5286499756691i</v>
      </c>
      <c r="AA76" s="227" t="str">
        <f t="shared" si="34"/>
        <v>17.7457716403997-3.91573542410737i</v>
      </c>
      <c r="AB76" s="227">
        <f t="shared" si="44"/>
        <v>25.188367704826227</v>
      </c>
      <c r="AC76" s="227">
        <f t="shared" si="45"/>
        <v>-12.443339675082585</v>
      </c>
      <c r="AD76" s="229">
        <f t="shared" si="46"/>
        <v>24.980659132059884</v>
      </c>
      <c r="AE76" s="229">
        <f t="shared" si="47"/>
        <v>95.826328584622431</v>
      </c>
      <c r="AF76" s="227">
        <f t="shared" si="35"/>
        <v>50.169026836886111</v>
      </c>
      <c r="AG76" s="227">
        <f t="shared" si="36"/>
        <v>83.382988909539847</v>
      </c>
      <c r="AH76" s="229" t="str">
        <f t="shared" si="37"/>
        <v>1.80117771049435-17.651582578001i</v>
      </c>
    </row>
    <row r="77" spans="9:34" x14ac:dyDescent="0.2">
      <c r="I77" s="227">
        <v>73</v>
      </c>
      <c r="J77" s="227">
        <f t="shared" si="25"/>
        <v>1.7117589444551882</v>
      </c>
      <c r="K77" s="227">
        <f t="shared" si="48"/>
        <v>51.494274580830655</v>
      </c>
      <c r="L77" s="227">
        <f t="shared" si="38"/>
        <v>323.54806945014644</v>
      </c>
      <c r="M77" s="227">
        <f t="shared" si="26"/>
        <v>6531.1820881422764</v>
      </c>
      <c r="N77" s="227">
        <f>SQRT((ABS(AC77)-171.5+'Small Signal'!C$59)^2)</f>
        <v>88.783096570499708</v>
      </c>
      <c r="O77" s="227">
        <f t="shared" si="39"/>
        <v>83.16011015300262</v>
      </c>
      <c r="P77" s="227">
        <f t="shared" si="40"/>
        <v>49.966071134686629</v>
      </c>
      <c r="Q77" s="227">
        <f t="shared" si="41"/>
        <v>51.494274580830655</v>
      </c>
      <c r="R77" s="227" t="str">
        <f t="shared" si="27"/>
        <v>0.0355+0.00042061249028519i</v>
      </c>
      <c r="S77" s="227" t="str">
        <f t="shared" si="28"/>
        <v>0.018-14.0487765950182i</v>
      </c>
      <c r="T77" s="227" t="str">
        <f t="shared" si="29"/>
        <v>5.29804430895829-2.41214230617854i</v>
      </c>
      <c r="U77" s="227" t="str">
        <f t="shared" si="30"/>
        <v>93.4607469904621-6.41215540523225i</v>
      </c>
      <c r="V77" s="227">
        <f t="shared" si="42"/>
        <v>39.432979489688435</v>
      </c>
      <c r="W77" s="227">
        <f t="shared" si="43"/>
        <v>-3.9247987575864669</v>
      </c>
      <c r="X77" s="227" t="str">
        <f t="shared" si="31"/>
        <v>0.999999981143749-0.0000371019544503255i</v>
      </c>
      <c r="Y77" s="227" t="str">
        <f t="shared" si="32"/>
        <v>193.760350647478+30.8186986109352i</v>
      </c>
      <c r="Z77" s="227" t="str">
        <f t="shared" si="33"/>
        <v>35.550476338421+5.65315545565251i</v>
      </c>
      <c r="AA77" s="227" t="str">
        <f t="shared" si="34"/>
        <v>17.7081938198252-3.99620380201134i</v>
      </c>
      <c r="AB77" s="227">
        <f t="shared" si="44"/>
        <v>25.179210170735612</v>
      </c>
      <c r="AC77" s="227">
        <f t="shared" si="45"/>
        <v>-12.716903429500286</v>
      </c>
      <c r="AD77" s="229">
        <f t="shared" si="46"/>
        <v>24.786860963951018</v>
      </c>
      <c r="AE77" s="229">
        <f t="shared" si="47"/>
        <v>95.877013582502912</v>
      </c>
      <c r="AF77" s="227">
        <f t="shared" si="35"/>
        <v>49.966071134686629</v>
      </c>
      <c r="AG77" s="227">
        <f t="shared" si="36"/>
        <v>83.16011015300262</v>
      </c>
      <c r="AH77" s="229" t="str">
        <f t="shared" si="37"/>
        <v>1.77670485095691-17.2605395044661i</v>
      </c>
    </row>
    <row r="78" spans="9:34" x14ac:dyDescent="0.2">
      <c r="I78" s="227">
        <v>74</v>
      </c>
      <c r="J78" s="227">
        <f t="shared" si="25"/>
        <v>1.7215090669819717</v>
      </c>
      <c r="K78" s="227">
        <f t="shared" si="48"/>
        <v>52.663420958353441</v>
      </c>
      <c r="L78" s="227">
        <f t="shared" si="38"/>
        <v>330.89403279133984</v>
      </c>
      <c r="M78" s="227">
        <f t="shared" si="26"/>
        <v>6529.9863970029683</v>
      </c>
      <c r="N78" s="227">
        <f>SQRT((ABS(AC78)-171.5+'Small Signal'!C$59)^2)</f>
        <v>88.503920798425639</v>
      </c>
      <c r="O78" s="227">
        <f t="shared" si="39"/>
        <v>82.934549557728104</v>
      </c>
      <c r="P78" s="227">
        <f t="shared" si="40"/>
        <v>49.762753462555068</v>
      </c>
      <c r="Q78" s="227">
        <f t="shared" si="41"/>
        <v>52.663420958353441</v>
      </c>
      <c r="R78" s="227" t="str">
        <f t="shared" si="27"/>
        <v>0.0355+0.000430162242628742i</v>
      </c>
      <c r="S78" s="227" t="str">
        <f t="shared" si="28"/>
        <v>0.018-13.7368888375237i</v>
      </c>
      <c r="T78" s="227" t="str">
        <f t="shared" si="29"/>
        <v>5.25650513857494-2.44750105915793i</v>
      </c>
      <c r="U78" s="227" t="str">
        <f t="shared" si="30"/>
        <v>93.4442261410058-6.55682937595435i</v>
      </c>
      <c r="V78" s="227">
        <f t="shared" si="42"/>
        <v>39.432379892951502</v>
      </c>
      <c r="W78" s="227">
        <f t="shared" si="43"/>
        <v>-4.0137728876617258</v>
      </c>
      <c r="X78" s="227" t="str">
        <f t="shared" si="31"/>
        <v>0.999999980277789-0.0000379443318990363i</v>
      </c>
      <c r="Y78" s="227" t="str">
        <f t="shared" si="32"/>
        <v>193.862366782919+31.5124821164782i</v>
      </c>
      <c r="Z78" s="227" t="str">
        <f t="shared" si="33"/>
        <v>35.5692033566814+5.78041703105102i</v>
      </c>
      <c r="AA78" s="227" t="str">
        <f t="shared" si="34"/>
        <v>17.6690592959676-4.07795022443065i</v>
      </c>
      <c r="AB78" s="227">
        <f t="shared" si="44"/>
        <v>25.169652704935732</v>
      </c>
      <c r="AC78" s="227">
        <f t="shared" si="45"/>
        <v>-12.996079201574355</v>
      </c>
      <c r="AD78" s="229">
        <f t="shared" si="46"/>
        <v>24.593100757619339</v>
      </c>
      <c r="AE78" s="229">
        <f t="shared" si="47"/>
        <v>95.930628759302465</v>
      </c>
      <c r="AF78" s="227">
        <f t="shared" si="35"/>
        <v>49.762753462555068</v>
      </c>
      <c r="AG78" s="227">
        <f t="shared" si="36"/>
        <v>82.934549557728104</v>
      </c>
      <c r="AH78" s="229" t="str">
        <f t="shared" si="37"/>
        <v>1.7533045273906-16.8781301498689i</v>
      </c>
    </row>
    <row r="79" spans="9:34" x14ac:dyDescent="0.2">
      <c r="I79" s="227">
        <v>75</v>
      </c>
      <c r="J79" s="227">
        <f t="shared" si="25"/>
        <v>1.731259189508755</v>
      </c>
      <c r="K79" s="227">
        <f t="shared" si="48"/>
        <v>53.859112097661878</v>
      </c>
      <c r="L79" s="227">
        <f t="shared" si="38"/>
        <v>338.40678178976742</v>
      </c>
      <c r="M79" s="227">
        <f t="shared" si="26"/>
        <v>6528.763558419103</v>
      </c>
      <c r="N79" s="227">
        <f>SQRT((ABS(AC79)-171.5+'Small Signal'!C$59)^2)</f>
        <v>88.219044513935017</v>
      </c>
      <c r="O79" s="227">
        <f t="shared" si="39"/>
        <v>82.706243736724502</v>
      </c>
      <c r="P79" s="227">
        <f t="shared" si="40"/>
        <v>49.559059761393016</v>
      </c>
      <c r="Q79" s="227">
        <f t="shared" si="41"/>
        <v>53.859112097661878</v>
      </c>
      <c r="R79" s="227" t="str">
        <f t="shared" si="27"/>
        <v>0.0355+0.000439928816326698i</v>
      </c>
      <c r="S79" s="227" t="str">
        <f t="shared" si="28"/>
        <v>0.018-13.4319250974065i</v>
      </c>
      <c r="T79" s="227" t="str">
        <f t="shared" si="29"/>
        <v>5.2137519048072-2.48264187621857i</v>
      </c>
      <c r="U79" s="227" t="str">
        <f t="shared" si="30"/>
        <v>93.4269512267849-6.7047249287724i</v>
      </c>
      <c r="V79" s="227">
        <f t="shared" si="42"/>
        <v>39.431752837660163</v>
      </c>
      <c r="W79" s="227">
        <f t="shared" si="43"/>
        <v>-4.1047576651440165</v>
      </c>
      <c r="X79" s="227" t="str">
        <f t="shared" si="31"/>
        <v>0.999999979372061-0.0000388058350185267i</v>
      </c>
      <c r="Y79" s="227" t="str">
        <f t="shared" si="32"/>
        <v>193.969037218756+32.2216056711906i</v>
      </c>
      <c r="Z79" s="227" t="str">
        <f t="shared" si="33"/>
        <v>35.5887847600195+5.91049238302458i</v>
      </c>
      <c r="AA79" s="227" t="str">
        <f t="shared" si="34"/>
        <v>17.6283112424389-4.16096978741497i</v>
      </c>
      <c r="AB79" s="227">
        <f t="shared" si="44"/>
        <v>25.159678779247368</v>
      </c>
      <c r="AC79" s="227">
        <f t="shared" si="45"/>
        <v>-13.280955486064975</v>
      </c>
      <c r="AD79" s="229">
        <f t="shared" si="46"/>
        <v>24.399380982145651</v>
      </c>
      <c r="AE79" s="229">
        <f t="shared" si="47"/>
        <v>95.987199222789485</v>
      </c>
      <c r="AF79" s="227">
        <f t="shared" si="35"/>
        <v>49.559059761393016</v>
      </c>
      <c r="AG79" s="227">
        <f t="shared" si="36"/>
        <v>82.706243736724502</v>
      </c>
      <c r="AH79" s="229" t="str">
        <f t="shared" si="37"/>
        <v>1.73092981872667-16.5041660781547i</v>
      </c>
    </row>
    <row r="80" spans="9:34" x14ac:dyDescent="0.2">
      <c r="I80" s="227">
        <v>76</v>
      </c>
      <c r="J80" s="227">
        <f t="shared" si="25"/>
        <v>1.7410093120355383</v>
      </c>
      <c r="K80" s="227">
        <f t="shared" si="48"/>
        <v>55.081950681526784</v>
      </c>
      <c r="L80" s="227">
        <f t="shared" si="38"/>
        <v>346.09010321295966</v>
      </c>
      <c r="M80" s="227">
        <f t="shared" si="26"/>
        <v>6527.5129560243631</v>
      </c>
      <c r="N80" s="227">
        <f>SQRT((ABS(AC80)-171.5+'Small Signal'!C$59)^2)</f>
        <v>87.928379611502834</v>
      </c>
      <c r="O80" s="227">
        <f t="shared" si="39"/>
        <v>82.475131030050022</v>
      </c>
      <c r="P80" s="227">
        <f t="shared" si="40"/>
        <v>49.354975450625886</v>
      </c>
      <c r="Q80" s="227">
        <f t="shared" si="41"/>
        <v>55.081950681526784</v>
      </c>
      <c r="R80" s="227" t="str">
        <f t="shared" si="27"/>
        <v>0.0355+0.000449917134176848i</v>
      </c>
      <c r="S80" s="227" t="str">
        <f t="shared" si="28"/>
        <v>0.018-13.1337316590576i</v>
      </c>
      <c r="T80" s="227" t="str">
        <f t="shared" si="29"/>
        <v>5.16977558851108-2.51751905592357i</v>
      </c>
      <c r="U80" s="227" t="str">
        <f t="shared" si="30"/>
        <v>93.4088880521398-6.85591083832357i</v>
      </c>
      <c r="V80" s="227">
        <f t="shared" si="42"/>
        <v>39.43109707005847</v>
      </c>
      <c r="W80" s="227">
        <f t="shared" si="43"/>
        <v>-4.1977980844001896</v>
      </c>
      <c r="X80" s="227" t="str">
        <f t="shared" si="31"/>
        <v>0.999999978424738-0.0000396868980455908i</v>
      </c>
      <c r="Y80" s="227" t="str">
        <f t="shared" si="32"/>
        <v>194.080572827935+32.9463890676013i</v>
      </c>
      <c r="Z80" s="227" t="str">
        <f t="shared" si="33"/>
        <v>35.6092592580658+6.04344016528713i</v>
      </c>
      <c r="AA80" s="227" t="str">
        <f t="shared" si="34"/>
        <v>17.5858914378474-4.24525558038949i</v>
      </c>
      <c r="AB80" s="227">
        <f t="shared" si="44"/>
        <v>25.14927126564492</v>
      </c>
      <c r="AC80" s="227">
        <f t="shared" si="45"/>
        <v>-13.57162038849717</v>
      </c>
      <c r="AD80" s="229">
        <f t="shared" si="46"/>
        <v>24.205704184980966</v>
      </c>
      <c r="AE80" s="229">
        <f t="shared" si="47"/>
        <v>96.046751418547188</v>
      </c>
      <c r="AF80" s="227">
        <f t="shared" si="35"/>
        <v>49.354975450625886</v>
      </c>
      <c r="AG80" s="227">
        <f t="shared" si="36"/>
        <v>82.475131030050022</v>
      </c>
      <c r="AH80" s="229" t="str">
        <f t="shared" si="37"/>
        <v>1.70953584933223-16.1384628298091i</v>
      </c>
    </row>
    <row r="81" spans="9:34" x14ac:dyDescent="0.2">
      <c r="I81" s="227">
        <v>77</v>
      </c>
      <c r="J81" s="227">
        <f t="shared" si="25"/>
        <v>1.7507594345623216</v>
      </c>
      <c r="K81" s="227">
        <f t="shared" si="48"/>
        <v>56.332553076266926</v>
      </c>
      <c r="L81" s="227">
        <f t="shared" si="38"/>
        <v>353.94786980471457</v>
      </c>
      <c r="M81" s="227">
        <f t="shared" si="26"/>
        <v>6526.2339594582045</v>
      </c>
      <c r="N81" s="227">
        <f>SQRT((ABS(AC81)-171.5+'Small Signal'!C$59)^2)</f>
        <v>87.631838516938444</v>
      </c>
      <c r="O81" s="227">
        <f t="shared" si="39"/>
        <v>82.241151651154922</v>
      </c>
      <c r="P81" s="227">
        <f t="shared" si="40"/>
        <v>49.150485418631547</v>
      </c>
      <c r="Q81" s="227">
        <f t="shared" si="41"/>
        <v>56.332553076266926</v>
      </c>
      <c r="R81" s="227" t="str">
        <f t="shared" si="27"/>
        <v>0.0355+0.000460132230746129i</v>
      </c>
      <c r="S81" s="227" t="str">
        <f t="shared" si="28"/>
        <v>0.018-12.8421582194079i</v>
      </c>
      <c r="T81" s="227" t="str">
        <f t="shared" si="29"/>
        <v>5.12456918254023-2.55208544028157i</v>
      </c>
      <c r="U81" s="227" t="str">
        <f t="shared" si="30"/>
        <v>93.3900008915043-7.01045713991256i</v>
      </c>
      <c r="V81" s="227">
        <f t="shared" si="42"/>
        <v>39.430411279491466</v>
      </c>
      <c r="W81" s="227">
        <f t="shared" si="43"/>
        <v>-4.2929401159676459</v>
      </c>
      <c r="X81" s="227" t="str">
        <f t="shared" si="31"/>
        <v>0.999999977433909-0.0000405879650761066i</v>
      </c>
      <c r="Y81" s="227" t="str">
        <f t="shared" si="32"/>
        <v>194.197193899676+33.6871573976602i</v>
      </c>
      <c r="Z81" s="227" t="str">
        <f t="shared" si="33"/>
        <v>35.630667288973+6.17932000316803i</v>
      </c>
      <c r="AA81" s="227" t="str">
        <f t="shared" si="34"/>
        <v>17.5417402946318-4.33079855701049i</v>
      </c>
      <c r="AB81" s="227">
        <f t="shared" si="44"/>
        <v>25.138412421856962</v>
      </c>
      <c r="AC81" s="227">
        <f t="shared" si="45"/>
        <v>-13.868161483061556</v>
      </c>
      <c r="AD81" s="229">
        <f t="shared" si="46"/>
        <v>24.012072996774585</v>
      </c>
      <c r="AE81" s="229">
        <f t="shared" si="47"/>
        <v>96.109313134216478</v>
      </c>
      <c r="AF81" s="227">
        <f t="shared" si="35"/>
        <v>49.150485418631547</v>
      </c>
      <c r="AG81" s="227">
        <f t="shared" si="36"/>
        <v>82.241151651154922</v>
      </c>
      <c r="AH81" s="229" t="str">
        <f t="shared" si="37"/>
        <v>1.68907970046197-15.7808398470491i</v>
      </c>
    </row>
    <row r="82" spans="9:34" x14ac:dyDescent="0.2">
      <c r="I82" s="227">
        <v>78</v>
      </c>
      <c r="J82" s="227">
        <f t="shared" si="25"/>
        <v>1.7605095570891052</v>
      </c>
      <c r="K82" s="227">
        <f t="shared" si="48"/>
        <v>57.611549642425857</v>
      </c>
      <c r="L82" s="227">
        <f t="shared" si="38"/>
        <v>361.98404223713749</v>
      </c>
      <c r="M82" s="227">
        <f t="shared" si="26"/>
        <v>6524.9259240481279</v>
      </c>
      <c r="N82" s="227">
        <f>SQRT((ABS(AC82)-171.5+'Small Signal'!C$59)^2)</f>
        <v>87.329334338501155</v>
      </c>
      <c r="O82" s="227">
        <f t="shared" si="39"/>
        <v>82.004247842221716</v>
      </c>
      <c r="P82" s="227">
        <f t="shared" si="40"/>
        <v>48.945574013649534</v>
      </c>
      <c r="Q82" s="227">
        <f t="shared" si="41"/>
        <v>57.611549642425857</v>
      </c>
      <c r="R82" s="227" t="str">
        <f t="shared" si="27"/>
        <v>0.0355+0.000470579254908279i</v>
      </c>
      <c r="S82" s="227" t="str">
        <f t="shared" si="28"/>
        <v>0.018-12.5570578121695i</v>
      </c>
      <c r="T82" s="227" t="str">
        <f t="shared" si="29"/>
        <v>5.07812783054791-2.58629249799125i</v>
      </c>
      <c r="U82" s="227" t="str">
        <f t="shared" si="30"/>
        <v>93.3702524229056-7.16843513760008i</v>
      </c>
      <c r="V82" s="227">
        <f t="shared" si="42"/>
        <v>39.42969409585514</v>
      </c>
      <c r="W82" s="227">
        <f t="shared" si="43"/>
        <v>-4.3902307255917963</v>
      </c>
      <c r="X82" s="227" t="str">
        <f t="shared" si="31"/>
        <v>0.999999976397578-0.0000415094902888808i</v>
      </c>
      <c r="Y82" s="227" t="str">
        <f t="shared" si="32"/>
        <v>194.319130546989+34.4442410392335i</v>
      </c>
      <c r="Z82" s="227" t="str">
        <f t="shared" si="33"/>
        <v>35.6530510942219+6.31819249110233i</v>
      </c>
      <c r="AA82" s="227" t="str">
        <f t="shared" si="34"/>
        <v>17.4957968952976-4.41758740193819i</v>
      </c>
      <c r="AB82" s="227">
        <f t="shared" si="44"/>
        <v>25.127083877306625</v>
      </c>
      <c r="AC82" s="227">
        <f t="shared" si="45"/>
        <v>-14.170665661498846</v>
      </c>
      <c r="AD82" s="229">
        <f t="shared" si="46"/>
        <v>23.818490136342913</v>
      </c>
      <c r="AE82" s="229">
        <f t="shared" si="47"/>
        <v>96.17491350372056</v>
      </c>
      <c r="AF82" s="227">
        <f t="shared" si="35"/>
        <v>48.945574013649534</v>
      </c>
      <c r="AG82" s="227">
        <f t="shared" si="36"/>
        <v>82.004247842221716</v>
      </c>
      <c r="AH82" s="229" t="str">
        <f t="shared" si="37"/>
        <v>1.66952032548961-15.431120399807i</v>
      </c>
    </row>
    <row r="83" spans="9:34" x14ac:dyDescent="0.2">
      <c r="I83" s="227">
        <v>79</v>
      </c>
      <c r="J83" s="227">
        <f t="shared" si="25"/>
        <v>1.7702596796158887</v>
      </c>
      <c r="K83" s="227">
        <f t="shared" si="48"/>
        <v>58.919585052502107</v>
      </c>
      <c r="L83" s="227">
        <f t="shared" si="38"/>
        <v>370.20267110699922</v>
      </c>
      <c r="M83" s="227">
        <f t="shared" si="26"/>
        <v>6523.5881904847365</v>
      </c>
      <c r="N83" s="227">
        <f>SQRT((ABS(AC83)-171.5+'Small Signal'!C$59)^2)</f>
        <v>87.020781027308914</v>
      </c>
      <c r="O83" s="227">
        <f t="shared" si="39"/>
        <v>81.764364038743196</v>
      </c>
      <c r="P83" s="227">
        <f t="shared" si="40"/>
        <v>48.740225035256174</v>
      </c>
      <c r="Q83" s="227">
        <f t="shared" si="41"/>
        <v>58.919585052502107</v>
      </c>
      <c r="R83" s="227" t="str">
        <f t="shared" si="27"/>
        <v>0.0355+0.000481263472439099i</v>
      </c>
      <c r="S83" s="227" t="str">
        <f t="shared" si="28"/>
        <v>0.018-12.2782867337572i</v>
      </c>
      <c r="T83" s="227" t="str">
        <f t="shared" si="29"/>
        <v>5.0304489638669-2.62009042040457i</v>
      </c>
      <c r="U83" s="227" t="str">
        <f t="shared" si="30"/>
        <v>93.3496036587659-7.32991741109587i</v>
      </c>
      <c r="V83" s="227">
        <f t="shared" si="42"/>
        <v>39.428944086935843</v>
      </c>
      <c r="W83" s="227">
        <f t="shared" si="43"/>
        <v>-4.4897178934830047</v>
      </c>
      <c r="X83" s="227" t="str">
        <f t="shared" si="31"/>
        <v>0.999999975313653-0.000042451938174575i</v>
      </c>
      <c r="Y83" s="227" t="str">
        <f t="shared" si="32"/>
        <v>194.446623130663+35.2179756333047i</v>
      </c>
      <c r="Z83" s="227" t="str">
        <f t="shared" si="33"/>
        <v>35.6764547964509+6.46011918841398i</v>
      </c>
      <c r="AA83" s="227" t="str">
        <f t="shared" si="34"/>
        <v>17.4479990366526-4.50560839374859i</v>
      </c>
      <c r="AB83" s="227">
        <f t="shared" si="44"/>
        <v>25.115266619470468</v>
      </c>
      <c r="AC83" s="227">
        <f t="shared" si="45"/>
        <v>-14.479218972691083</v>
      </c>
      <c r="AD83" s="229">
        <f t="shared" si="46"/>
        <v>23.624958415785709</v>
      </c>
      <c r="AE83" s="229">
        <f t="shared" si="47"/>
        <v>96.243583011434282</v>
      </c>
      <c r="AF83" s="227">
        <f t="shared" si="35"/>
        <v>48.740225035256174</v>
      </c>
      <c r="AG83" s="227">
        <f t="shared" si="36"/>
        <v>81.764364038743196</v>
      </c>
      <c r="AH83" s="229" t="str">
        <f t="shared" si="37"/>
        <v>1.65081846876258-15.0891315125441i</v>
      </c>
    </row>
    <row r="84" spans="9:34" x14ac:dyDescent="0.2">
      <c r="I84" s="227">
        <v>80</v>
      </c>
      <c r="J84" s="227">
        <f t="shared" si="25"/>
        <v>1.780009802142672</v>
      </c>
      <c r="K84" s="227">
        <f t="shared" si="48"/>
        <v>60.257318615893624</v>
      </c>
      <c r="L84" s="227">
        <f t="shared" si="38"/>
        <v>378.60789897742177</v>
      </c>
      <c r="M84" s="227">
        <f t="shared" si="26"/>
        <v>6522.2200844894105</v>
      </c>
      <c r="N84" s="227">
        <f>SQRT((ABS(AC84)-171.5+'Small Signal'!C$59)^2)</f>
        <v>86.706093547293023</v>
      </c>
      <c r="O84" s="227">
        <f t="shared" si="39"/>
        <v>81.521447043549017</v>
      </c>
      <c r="P84" s="227">
        <f t="shared" si="40"/>
        <v>48.534421726503041</v>
      </c>
      <c r="Q84" s="227">
        <f t="shared" si="41"/>
        <v>60.257318615893624</v>
      </c>
      <c r="R84" s="227" t="str">
        <f t="shared" si="27"/>
        <v>0.0355+0.000492190268670648i</v>
      </c>
      <c r="S84" s="227" t="str">
        <f t="shared" si="28"/>
        <v>0.018-12.0057044708558i</v>
      </c>
      <c r="T84" s="227" t="str">
        <f t="shared" si="29"/>
        <v>4.98153243530448-2.65342823048129i</v>
      </c>
      <c r="U84" s="227" t="str">
        <f t="shared" si="30"/>
        <v>93.3280138738966-7.4949778213354i</v>
      </c>
      <c r="V84" s="227">
        <f t="shared" si="42"/>
        <v>39.428159755633203</v>
      </c>
      <c r="W84" s="227">
        <f t="shared" si="43"/>
        <v>-4.5914506337823555</v>
      </c>
      <c r="X84" s="227" t="str">
        <f t="shared" si="31"/>
        <v>0.999999974179951-0.0000434157837698308i</v>
      </c>
      <c r="Y84" s="227" t="str">
        <f t="shared" si="32"/>
        <v>194.579922700167+36.0087020510738i</v>
      </c>
      <c r="Z84" s="227" t="str">
        <f t="shared" si="33"/>
        <v>35.70092448039+6.60516261324373i</v>
      </c>
      <c r="AA84" s="227" t="str">
        <f t="shared" si="34"/>
        <v>17.3982832826632-4.5948452642622i</v>
      </c>
      <c r="AB84" s="227">
        <f t="shared" si="44"/>
        <v>25.102940980744041</v>
      </c>
      <c r="AC84" s="227">
        <f t="shared" si="45"/>
        <v>-14.793906452706969</v>
      </c>
      <c r="AD84" s="229">
        <f t="shared" si="46"/>
        <v>23.431480745758996</v>
      </c>
      <c r="AE84" s="229">
        <f t="shared" si="47"/>
        <v>96.31535349625598</v>
      </c>
      <c r="AF84" s="227">
        <f t="shared" si="35"/>
        <v>48.534421726503041</v>
      </c>
      <c r="AG84" s="227">
        <f t="shared" si="36"/>
        <v>81.521447043549017</v>
      </c>
      <c r="AH84" s="229" t="str">
        <f t="shared" si="37"/>
        <v>1.63293658792925-14.7547038919309i</v>
      </c>
    </row>
    <row r="85" spans="9:34" x14ac:dyDescent="0.2">
      <c r="I85" s="227">
        <v>81</v>
      </c>
      <c r="J85" s="227">
        <f t="shared" si="25"/>
        <v>1.7897599246694553</v>
      </c>
      <c r="K85" s="227">
        <f t="shared" si="48"/>
        <v>61.625424611219827</v>
      </c>
      <c r="L85" s="227">
        <f t="shared" si="38"/>
        <v>387.20396246591969</v>
      </c>
      <c r="M85" s="227">
        <f t="shared" si="26"/>
        <v>6520.8209164744412</v>
      </c>
      <c r="N85" s="227">
        <f>SQRT((ABS(AC85)-171.5+'Small Signal'!C$59)^2)</f>
        <v>86.385188054937061</v>
      </c>
      <c r="O85" s="227">
        <f t="shared" si="39"/>
        <v>81.275446210475636</v>
      </c>
      <c r="P85" s="227">
        <f t="shared" si="40"/>
        <v>48.32814676681658</v>
      </c>
      <c r="Q85" s="227">
        <f t="shared" si="41"/>
        <v>61.625424611219827</v>
      </c>
      <c r="R85" s="227" t="str">
        <f t="shared" si="27"/>
        <v>0.0355+0.000503365151205696i</v>
      </c>
      <c r="S85" s="227" t="str">
        <f t="shared" si="28"/>
        <v>0.018-11.7391736295948i</v>
      </c>
      <c r="T85" s="227" t="str">
        <f t="shared" si="29"/>
        <v>4.93138064861737-2.6862539049024i</v>
      </c>
      <c r="U85" s="227" t="str">
        <f t="shared" si="30"/>
        <v>93.3054405306076-7.66369151461778i</v>
      </c>
      <c r="V85" s="227">
        <f t="shared" si="42"/>
        <v>39.427339537063183</v>
      </c>
      <c r="W85" s="227">
        <f t="shared" si="43"/>
        <v>-4.6954790142270069</v>
      </c>
      <c r="X85" s="227" t="str">
        <f t="shared" si="31"/>
        <v>0.999999972994183-0.0000444015128967094i</v>
      </c>
      <c r="Y85" s="227" t="str">
        <f t="shared" si="32"/>
        <v>194.719291452092+36.8167663501075i</v>
      </c>
      <c r="Z85" s="227" t="str">
        <f t="shared" si="33"/>
        <v>35.7265082770145+6.75338623446604i</v>
      </c>
      <c r="AA85" s="227" t="str">
        <f t="shared" si="34"/>
        <v>17.3465850265657-4.6852790546217i</v>
      </c>
      <c r="AB85" s="227">
        <f t="shared" si="44"/>
        <v>25.090086625906668</v>
      </c>
      <c r="AC85" s="227">
        <f t="shared" si="45"/>
        <v>-15.114811945062948</v>
      </c>
      <c r="AD85" s="229">
        <f t="shared" si="46"/>
        <v>23.238060140909912</v>
      </c>
      <c r="AE85" s="229">
        <f t="shared" si="47"/>
        <v>96.390258155538589</v>
      </c>
      <c r="AF85" s="227">
        <f t="shared" si="35"/>
        <v>48.32814676681658</v>
      </c>
      <c r="AG85" s="227">
        <f t="shared" si="36"/>
        <v>81.275446210475636</v>
      </c>
      <c r="AH85" s="229" t="str">
        <f t="shared" si="37"/>
        <v>1.61583877959377-14.4276718554196i</v>
      </c>
    </row>
    <row r="86" spans="9:34" x14ac:dyDescent="0.2">
      <c r="I86" s="227">
        <v>82</v>
      </c>
      <c r="J86" s="227">
        <f t="shared" si="25"/>
        <v>1.7995100471962389</v>
      </c>
      <c r="K86" s="227">
        <f t="shared" si="48"/>
        <v>63.024592626188472</v>
      </c>
      <c r="L86" s="227">
        <f t="shared" si="38"/>
        <v>395.99519437984628</v>
      </c>
      <c r="M86" s="227">
        <f t="shared" si="26"/>
        <v>6519.3899811954507</v>
      </c>
      <c r="N86" s="227">
        <f>SQRT((ABS(AC86)-171.5+'Small Signal'!C$59)^2)</f>
        <v>86.057982089008334</v>
      </c>
      <c r="O86" s="227">
        <f t="shared" si="39"/>
        <v>81.026313637840815</v>
      </c>
      <c r="P86" s="227">
        <f t="shared" si="40"/>
        <v>48.121382265768531</v>
      </c>
      <c r="Q86" s="227">
        <f t="shared" si="41"/>
        <v>63.024592626188472</v>
      </c>
      <c r="R86" s="227" t="str">
        <f t="shared" si="27"/>
        <v>0.0355+0.0005147937526938i</v>
      </c>
      <c r="S86" s="227" t="str">
        <f t="shared" si="28"/>
        <v>0.018-11.4785598662959i</v>
      </c>
      <c r="T86" s="227" t="str">
        <f t="shared" si="29"/>
        <v>4.8799986823691-2.71851450939155i</v>
      </c>
      <c r="U86" s="227" t="str">
        <f t="shared" si="30"/>
        <v>93.2818392008228-7.83613492516739i</v>
      </c>
      <c r="V86" s="227">
        <f t="shared" si="42"/>
        <v>39.426481795535238</v>
      </c>
      <c r="W86" s="227">
        <f t="shared" si="43"/>
        <v>-4.8018541760022577</v>
      </c>
      <c r="X86" s="227" t="str">
        <f t="shared" si="31"/>
        <v>0.999999971753961-0.0000454096224075684i</v>
      </c>
      <c r="Y86" s="227" t="str">
        <f t="shared" si="32"/>
        <v>194.865003206648+37.6425197186265i</v>
      </c>
      <c r="Z86" s="227" t="str">
        <f t="shared" si="33"/>
        <v>35.7532564510133+6.90485446142746i</v>
      </c>
      <c r="AA86" s="227" t="str">
        <f t="shared" si="34"/>
        <v>17.2928385628802-4.77688796851423i</v>
      </c>
      <c r="AB86" s="227">
        <f t="shared" si="44"/>
        <v>25.076682540285145</v>
      </c>
      <c r="AC86" s="227">
        <f t="shared" si="45"/>
        <v>-15.442017910991659</v>
      </c>
      <c r="AD86" s="229">
        <f t="shared" si="46"/>
        <v>23.044699725483383</v>
      </c>
      <c r="AE86" s="229">
        <f t="shared" si="47"/>
        <v>96.468331548832467</v>
      </c>
      <c r="AF86" s="227">
        <f t="shared" si="35"/>
        <v>48.121382265768531</v>
      </c>
      <c r="AG86" s="227">
        <f t="shared" si="36"/>
        <v>81.026313637840815</v>
      </c>
      <c r="AH86" s="229" t="str">
        <f t="shared" si="37"/>
        <v>1.59949070815977-14.1078732607386i</v>
      </c>
    </row>
    <row r="87" spans="9:34" x14ac:dyDescent="0.2">
      <c r="I87" s="227">
        <v>83</v>
      </c>
      <c r="J87" s="227">
        <f t="shared" si="25"/>
        <v>1.8092601697230224</v>
      </c>
      <c r="K87" s="227">
        <f t="shared" si="48"/>
        <v>64.455527905179423</v>
      </c>
      <c r="L87" s="227">
        <f t="shared" si="38"/>
        <v>404.98602590032715</v>
      </c>
      <c r="M87" s="227">
        <f t="shared" si="26"/>
        <v>6517.9265573959101</v>
      </c>
      <c r="N87" s="227">
        <f>SQRT((ABS(AC87)-171.5+'Small Signal'!C$59)^2)</f>
        <v>85.724394770463249</v>
      </c>
      <c r="O87" s="227">
        <f t="shared" si="39"/>
        <v>80.774004371852683</v>
      </c>
      <c r="P87" s="227">
        <f t="shared" si="40"/>
        <v>47.91410975782982</v>
      </c>
      <c r="Q87" s="227">
        <f t="shared" si="41"/>
        <v>64.455527905179423</v>
      </c>
      <c r="R87" s="227" t="str">
        <f t="shared" si="27"/>
        <v>0.0355+0.000526481833670425i</v>
      </c>
      <c r="S87" s="227" t="str">
        <f t="shared" si="28"/>
        <v>0.018-11.2237318197573i</v>
      </c>
      <c r="T87" s="227" t="str">
        <f t="shared" si="29"/>
        <v>4.82739440682033-2.75015634716407i</v>
      </c>
      <c r="U87" s="227" t="str">
        <f t="shared" si="30"/>
        <v>93.2571634851125-8.01238577597698i</v>
      </c>
      <c r="V87" s="227">
        <f t="shared" si="42"/>
        <v>39.425584821399042</v>
      </c>
      <c r="W87" s="227">
        <f t="shared" si="43"/>
        <v>-4.9106283537679438</v>
      </c>
      <c r="X87" s="227" t="str">
        <f t="shared" si="31"/>
        <v>0.999999970456782-0.0000464406204354977i</v>
      </c>
      <c r="Y87" s="227" t="str">
        <f t="shared" si="32"/>
        <v>195.017343902781+38.4863184069571i</v>
      </c>
      <c r="Z87" s="227" t="str">
        <f t="shared" si="33"/>
        <v>35.7812214916742+7.05963263132741i</v>
      </c>
      <c r="AA87" s="227" t="str">
        <f t="shared" si="34"/>
        <v>17.2369771699855-4.86964722300084i</v>
      </c>
      <c r="AB87" s="227">
        <f t="shared" si="44"/>
        <v>25.062707018723529</v>
      </c>
      <c r="AC87" s="227">
        <f t="shared" si="45"/>
        <v>-15.77560522953674</v>
      </c>
      <c r="AD87" s="229">
        <f t="shared" si="46"/>
        <v>22.851402739106291</v>
      </c>
      <c r="AE87" s="229">
        <f t="shared" si="47"/>
        <v>96.54960960138942</v>
      </c>
      <c r="AF87" s="227">
        <f t="shared" si="35"/>
        <v>47.91410975782982</v>
      </c>
      <c r="AG87" s="227">
        <f t="shared" si="36"/>
        <v>80.774004371852683</v>
      </c>
      <c r="AH87" s="229" t="str">
        <f t="shared" si="37"/>
        <v>1.58385953772906-13.7951494363281i</v>
      </c>
    </row>
    <row r="88" spans="9:34" x14ac:dyDescent="0.2">
      <c r="I88" s="227">
        <v>84</v>
      </c>
      <c r="J88" s="227">
        <f t="shared" si="25"/>
        <v>1.8190102922498057</v>
      </c>
      <c r="K88" s="227">
        <f t="shared" si="48"/>
        <v>65.918951704719817</v>
      </c>
      <c r="L88" s="227">
        <f t="shared" si="38"/>
        <v>414.18098881577629</v>
      </c>
      <c r="M88" s="227">
        <f t="shared" si="26"/>
        <v>6516.4299074435994</v>
      </c>
      <c r="N88" s="227">
        <f>SQRT((ABS(AC88)-171.5+'Small Signal'!C$59)^2)</f>
        <v>85.38434701267218</v>
      </c>
      <c r="O88" s="227">
        <f t="shared" si="39"/>
        <v>80.518476620045618</v>
      </c>
      <c r="P88" s="227">
        <f t="shared" si="40"/>
        <v>47.706310198231535</v>
      </c>
      <c r="Q88" s="227">
        <f t="shared" si="41"/>
        <v>65.918951704719817</v>
      </c>
      <c r="R88" s="227" t="str">
        <f t="shared" si="27"/>
        <v>0.0355+0.000538435285460509i</v>
      </c>
      <c r="S88" s="227" t="str">
        <f t="shared" si="28"/>
        <v>0.018-10.9745610450419i</v>
      </c>
      <c r="T88" s="227" t="str">
        <f t="shared" si="29"/>
        <v>4.77357859246381-2.78112512028185i</v>
      </c>
      <c r="U88" s="227" t="str">
        <f t="shared" si="30"/>
        <v>93.2313649285538-8.1925230777792i</v>
      </c>
      <c r="V88" s="227">
        <f t="shared" si="42"/>
        <v>39.424646827756376</v>
      </c>
      <c r="W88" s="227">
        <f t="shared" si="43"/>
        <v>-5.0218548958447089</v>
      </c>
      <c r="X88" s="227" t="str">
        <f t="shared" si="31"/>
        <v>0.999999969100031-0.0000474950266504419i</v>
      </c>
      <c r="Y88" s="227" t="str">
        <f t="shared" si="32"/>
        <v>195.176612112482+39.3485236451135i</v>
      </c>
      <c r="Z88" s="227" t="str">
        <f t="shared" si="33"/>
        <v>35.8104582072928+7.21778699405214i</v>
      </c>
      <c r="AA88" s="227" t="str">
        <f t="shared" si="34"/>
        <v>17.1789332039167-4.96352889748738i</v>
      </c>
      <c r="AB88" s="227">
        <f t="shared" si="44"/>
        <v>25.048137655472825</v>
      </c>
      <c r="AC88" s="227">
        <f t="shared" si="45"/>
        <v>-16.115652987327831</v>
      </c>
      <c r="AD88" s="229">
        <f t="shared" si="46"/>
        <v>22.658172542758713</v>
      </c>
      <c r="AE88" s="229">
        <f t="shared" si="47"/>
        <v>96.634129607373453</v>
      </c>
      <c r="AF88" s="227">
        <f t="shared" si="35"/>
        <v>47.706310198231535</v>
      </c>
      <c r="AG88" s="227">
        <f t="shared" si="36"/>
        <v>80.518476620045618</v>
      </c>
      <c r="AH88" s="229" t="str">
        <f t="shared" si="37"/>
        <v>1.56891386692738-13.4893451127391i</v>
      </c>
    </row>
    <row r="89" spans="9:34" x14ac:dyDescent="0.2">
      <c r="I89" s="227">
        <v>85</v>
      </c>
      <c r="J89" s="227">
        <f t="shared" si="25"/>
        <v>1.828760414776589</v>
      </c>
      <c r="K89" s="227">
        <f t="shared" si="48"/>
        <v>67.415601657030422</v>
      </c>
      <c r="L89" s="227">
        <f t="shared" si="38"/>
        <v>423.5847178061253</v>
      </c>
      <c r="M89" s="227">
        <f t="shared" si="26"/>
        <v>6514.899276958804</v>
      </c>
      <c r="N89" s="227">
        <f>SQRT((ABS(AC89)-171.5+'Small Signal'!C$59)^2)</f>
        <v>85.0377617420734</v>
      </c>
      <c r="O89" s="227">
        <f t="shared" si="39"/>
        <v>80.259691974793384</v>
      </c>
      <c r="P89" s="227">
        <f t="shared" si="40"/>
        <v>47.497963960058613</v>
      </c>
      <c r="Q89" s="227">
        <f t="shared" si="41"/>
        <v>67.415601657030422</v>
      </c>
      <c r="R89" s="227" t="str">
        <f t="shared" si="27"/>
        <v>0.0355+0.000550660133147963i</v>
      </c>
      <c r="S89" s="227" t="str">
        <f t="shared" si="28"/>
        <v>0.018-10.7309219487352i</v>
      </c>
      <c r="T89" s="227" t="str">
        <f t="shared" si="29"/>
        <v>4.71856500879158-2.81136610354157i</v>
      </c>
      <c r="U89" s="227" t="str">
        <f t="shared" si="30"/>
        <v>93.2043929332986-8.37662712597888i</v>
      </c>
      <c r="V89" s="227">
        <f t="shared" si="42"/>
        <v>39.423665947030621</v>
      </c>
      <c r="W89" s="227">
        <f t="shared" si="43"/>
        <v>-5.1355882845431831</v>
      </c>
      <c r="X89" s="227" t="str">
        <f t="shared" si="31"/>
        <v>0.999999967680972-0.0000485733725211376i</v>
      </c>
      <c r="Y89" s="227" t="str">
        <f t="shared" si="32"/>
        <v>195.343119574817+40.2295015453952i</v>
      </c>
      <c r="Z89" s="227" t="str">
        <f t="shared" si="33"/>
        <v>35.8410238232012+7.37938469425656i</v>
      </c>
      <c r="AA89" s="227" t="str">
        <f t="shared" si="34"/>
        <v>17.1186382040443-5.05850178144667i</v>
      </c>
      <c r="AB89" s="227">
        <f t="shared" si="44"/>
        <v>25.032951335120245</v>
      </c>
      <c r="AC89" s="227">
        <f t="shared" si="45"/>
        <v>-16.462238257926607</v>
      </c>
      <c r="AD89" s="229">
        <f t="shared" si="46"/>
        <v>22.465012624938371</v>
      </c>
      <c r="AE89" s="229">
        <f t="shared" si="47"/>
        <v>96.721930232719984</v>
      </c>
      <c r="AF89" s="227">
        <f t="shared" si="35"/>
        <v>47.497963960058613</v>
      </c>
      <c r="AG89" s="227">
        <f t="shared" si="36"/>
        <v>80.259691974793384</v>
      </c>
      <c r="AH89" s="229" t="str">
        <f t="shared" si="37"/>
        <v>1.55462366653373-13.1903083550092i</v>
      </c>
    </row>
    <row r="90" spans="9:34" x14ac:dyDescent="0.2">
      <c r="I90" s="227">
        <v>86</v>
      </c>
      <c r="J90" s="227">
        <f t="shared" si="25"/>
        <v>1.8385105373033723</v>
      </c>
      <c r="K90" s="227">
        <f t="shared" si="48"/>
        <v>68.946232141825661</v>
      </c>
      <c r="L90" s="227">
        <f t="shared" si="38"/>
        <v>433.2019527789119</v>
      </c>
      <c r="M90" s="227">
        <f t="shared" si="26"/>
        <v>6513.3338944340749</v>
      </c>
      <c r="N90" s="227">
        <f>SQRT((ABS(AC90)-171.5+'Small Signal'!C$59)^2)</f>
        <v>84.68456412931522</v>
      </c>
      <c r="O90" s="227">
        <f t="shared" si="39"/>
        <v>79.997615646897842</v>
      </c>
      <c r="P90" s="227">
        <f t="shared" si="40"/>
        <v>47.289050832713073</v>
      </c>
      <c r="Q90" s="227">
        <f t="shared" si="41"/>
        <v>68.946232141825661</v>
      </c>
      <c r="R90" s="227" t="str">
        <f t="shared" si="27"/>
        <v>0.0355+0.000563162538612585i</v>
      </c>
      <c r="S90" s="227" t="str">
        <f t="shared" si="28"/>
        <v>0.018-10.4926917256404i</v>
      </c>
      <c r="T90" s="227" t="str">
        <f t="shared" si="29"/>
        <v>4.6623705118749-2.84082433036446i</v>
      </c>
      <c r="U90" s="227" t="str">
        <f t="shared" si="30"/>
        <v>93.1761946677795-8.56477949537511i</v>
      </c>
      <c r="V90" s="227">
        <f t="shared" si="42"/>
        <v>39.422640227390737</v>
      </c>
      <c r="W90" s="227">
        <f t="shared" si="43"/>
        <v>-5.2518841566196466</v>
      </c>
      <c r="X90" s="227" t="str">
        <f t="shared" si="31"/>
        <v>0.999999966196744-0.0000496762015829978i</v>
      </c>
      <c r="Y90" s="227" t="str">
        <f t="shared" si="32"/>
        <v>195.517191750281+41.1296229888342i</v>
      </c>
      <c r="Z90" s="227" t="str">
        <f t="shared" si="33"/>
        <v>35.8729780835266+7.54449375048025i</v>
      </c>
      <c r="AA90" s="227" t="str">
        <f t="shared" si="34"/>
        <v>17.0560230112879-5.15453122158514i</v>
      </c>
      <c r="AB90" s="227">
        <f t="shared" si="44"/>
        <v>25.017124224685602</v>
      </c>
      <c r="AC90" s="227">
        <f t="shared" si="45"/>
        <v>-16.815435870684791</v>
      </c>
      <c r="AD90" s="229">
        <f t="shared" si="46"/>
        <v>22.271926608027471</v>
      </c>
      <c r="AE90" s="229">
        <f t="shared" si="47"/>
        <v>96.813051517582636</v>
      </c>
      <c r="AF90" s="227">
        <f t="shared" si="35"/>
        <v>47.289050832713073</v>
      </c>
      <c r="AG90" s="227">
        <f t="shared" si="36"/>
        <v>79.997615646897842</v>
      </c>
      <c r="AH90" s="229" t="str">
        <f t="shared" si="37"/>
        <v>1.54096021979559-12.897890496031i</v>
      </c>
    </row>
    <row r="91" spans="9:34" x14ac:dyDescent="0.2">
      <c r="I91" s="227">
        <v>87</v>
      </c>
      <c r="J91" s="227">
        <f t="shared" si="25"/>
        <v>1.8482606598301559</v>
      </c>
      <c r="K91" s="227">
        <f t="shared" si="48"/>
        <v>70.511614666555275</v>
      </c>
      <c r="L91" s="227">
        <f t="shared" si="38"/>
        <v>443.03754125840874</v>
      </c>
      <c r="M91" s="227">
        <f t="shared" si="26"/>
        <v>6511.7329708453508</v>
      </c>
      <c r="N91" s="227">
        <f>SQRT((ABS(AC91)-171.5+'Small Signal'!C$59)^2)</f>
        <v>84.32468183089992</v>
      </c>
      <c r="O91" s="227">
        <f t="shared" si="39"/>
        <v>79.732216709199662</v>
      </c>
      <c r="P91" s="227">
        <f t="shared" si="40"/>
        <v>47.079550021889389</v>
      </c>
      <c r="Q91" s="227">
        <f t="shared" si="41"/>
        <v>70.511614666555275</v>
      </c>
      <c r="R91" s="227" t="str">
        <f t="shared" si="27"/>
        <v>0.0355+0.000575948803635931i</v>
      </c>
      <c r="S91" s="227" t="str">
        <f t="shared" si="28"/>
        <v>0.018-10.2597502968791i</v>
      </c>
      <c r="T91" s="227" t="str">
        <f t="shared" si="29"/>
        <v>4.6050151193486-2.86944478999012i</v>
      </c>
      <c r="U91" s="227" t="str">
        <f t="shared" si="30"/>
        <v>93.1467149724373-8.75706303248321i</v>
      </c>
      <c r="V91" s="227">
        <f t="shared" si="42"/>
        <v>39.421567629022441</v>
      </c>
      <c r="W91" s="227">
        <f t="shared" si="43"/>
        <v>-5.3707993238379403</v>
      </c>
      <c r="X91" s="227" t="str">
        <f t="shared" si="31"/>
        <v>0.999999964644353-0.0000508040697120786i</v>
      </c>
      <c r="Y91" s="227" t="str">
        <f t="shared" si="32"/>
        <v>195.699168395956+42.0492634942265i</v>
      </c>
      <c r="Z91" s="227" t="str">
        <f t="shared" si="33"/>
        <v>35.9063833567697+7.7131830310652i</v>
      </c>
      <c r="AA91" s="227" t="str">
        <f t="shared" si="34"/>
        <v>16.9910178995061-5.25157896923226i</v>
      </c>
      <c r="AB91" s="227">
        <f t="shared" si="44"/>
        <v>25.000631767020671</v>
      </c>
      <c r="AC91" s="227">
        <f t="shared" si="45"/>
        <v>-17.175318169100073</v>
      </c>
      <c r="AD91" s="229">
        <f t="shared" si="46"/>
        <v>22.078918254868722</v>
      </c>
      <c r="AE91" s="229">
        <f t="shared" si="47"/>
        <v>96.907534878299728</v>
      </c>
      <c r="AF91" s="227">
        <f t="shared" si="35"/>
        <v>47.079550021889389</v>
      </c>
      <c r="AG91" s="227">
        <f t="shared" si="36"/>
        <v>79.732216709199662</v>
      </c>
      <c r="AH91" s="229" t="str">
        <f t="shared" si="37"/>
        <v>1.52789606531612-12.6119460709224i</v>
      </c>
    </row>
    <row r="92" spans="9:34" x14ac:dyDescent="0.2">
      <c r="I92" s="227">
        <v>88</v>
      </c>
      <c r="J92" s="227">
        <f t="shared" si="25"/>
        <v>1.8580107823569392</v>
      </c>
      <c r="K92" s="227">
        <f t="shared" si="48"/>
        <v>72.112538255279276</v>
      </c>
      <c r="L92" s="227">
        <f t="shared" si="38"/>
        <v>453.09644082899661</v>
      </c>
      <c r="M92" s="227">
        <f t="shared" si="26"/>
        <v>6510.0956992542579</v>
      </c>
      <c r="N92" s="227">
        <f>SQRT((ABS(AC92)-171.5+'Small Signal'!C$59)^2)</f>
        <v>83.958045241285419</v>
      </c>
      <c r="O92" s="227">
        <f t="shared" si="39"/>
        <v>79.463468350096917</v>
      </c>
      <c r="P92" s="227">
        <f t="shared" si="40"/>
        <v>46.869440151207073</v>
      </c>
      <c r="Q92" s="227">
        <f t="shared" si="41"/>
        <v>72.112538255279276</v>
      </c>
      <c r="R92" s="227" t="str">
        <f t="shared" si="27"/>
        <v>0.0355+0.000589025373077696i</v>
      </c>
      <c r="S92" s="227" t="str">
        <f t="shared" si="28"/>
        <v>0.018-10.031980249366i</v>
      </c>
      <c r="T92" s="227" t="str">
        <f t="shared" si="29"/>
        <v>4.54652207142344-2.89717263510686i</v>
      </c>
      <c r="U92" s="227" t="str">
        <f t="shared" si="30"/>
        <v>93.1158962618796-8.95356184525786i</v>
      </c>
      <c r="V92" s="227">
        <f t="shared" si="42"/>
        <v>39.420446020241016</v>
      </c>
      <c r="W92" s="227">
        <f t="shared" si="43"/>
        <v>-5.4923917936164193</v>
      </c>
      <c r="X92" s="227" t="str">
        <f t="shared" si="31"/>
        <v>0.999999963020671-0.0000519575454052657i</v>
      </c>
      <c r="Y92" s="227" t="str">
        <f t="shared" si="32"/>
        <v>195.889404162094+42.9888030684148i</v>
      </c>
      <c r="Z92" s="227" t="str">
        <f t="shared" si="33"/>
        <v>35.9413047453148+7.88552222663054i</v>
      </c>
      <c r="AA92" s="227" t="str">
        <f t="shared" si="34"/>
        <v>16.9235527206706-5.34960302881815i</v>
      </c>
      <c r="AB92" s="227">
        <f t="shared" si="44"/>
        <v>24.983448675648404</v>
      </c>
      <c r="AC92" s="227">
        <f t="shared" si="45"/>
        <v>-17.541954758714585</v>
      </c>
      <c r="AD92" s="229">
        <f t="shared" si="46"/>
        <v>21.885991475558665</v>
      </c>
      <c r="AE92" s="229">
        <f t="shared" si="47"/>
        <v>97.005423108811499</v>
      </c>
      <c r="AF92" s="227">
        <f t="shared" si="35"/>
        <v>46.869440151207073</v>
      </c>
      <c r="AG92" s="227">
        <f t="shared" si="36"/>
        <v>79.463468350096917</v>
      </c>
      <c r="AH92" s="229" t="str">
        <f t="shared" si="37"/>
        <v>1.51540494240495-12.3323327524079i</v>
      </c>
    </row>
    <row r="93" spans="9:34" x14ac:dyDescent="0.2">
      <c r="I93" s="227">
        <v>89</v>
      </c>
      <c r="J93" s="227">
        <f t="shared" si="25"/>
        <v>1.8677609048837227</v>
      </c>
      <c r="K93" s="227">
        <f t="shared" si="48"/>
        <v>73.749809846372202</v>
      </c>
      <c r="L93" s="227">
        <f t="shared" si="38"/>
        <v>463.38372163401419</v>
      </c>
      <c r="M93" s="227">
        <f t="shared" si="26"/>
        <v>6508.4212544013735</v>
      </c>
      <c r="N93" s="227">
        <f>SQRT((ABS(AC93)-171.5+'Small Signal'!C$59)^2)</f>
        <v>83.58458775533353</v>
      </c>
      <c r="O93" s="227">
        <f t="shared" si="39"/>
        <v>79.191348136785052</v>
      </c>
      <c r="P93" s="227">
        <f t="shared" si="40"/>
        <v>46.658699265659727</v>
      </c>
      <c r="Q93" s="227">
        <f t="shared" si="41"/>
        <v>73.749809846372202</v>
      </c>
      <c r="R93" s="227" t="str">
        <f t="shared" si="27"/>
        <v>0.0355+0.000602398838124218i</v>
      </c>
      <c r="S93" s="227" t="str">
        <f t="shared" si="28"/>
        <v>0.018-9.80926677662752i</v>
      </c>
      <c r="T93" s="227" t="str">
        <f t="shared" si="29"/>
        <v>4.48691787660215-2.92395339887917i</v>
      </c>
      <c r="U93" s="227" t="str">
        <f t="shared" si="30"/>
        <v>93.0836784233796-9.15436129000661i</v>
      </c>
      <c r="V93" s="227">
        <f t="shared" si="42"/>
        <v>39.419273173440153</v>
      </c>
      <c r="W93" s="227">
        <f t="shared" si="43"/>
        <v>-5.6167207897373501</v>
      </c>
      <c r="X93" s="227" t="str">
        <f t="shared" si="31"/>
        <v>0.999999961322422-0.0000531372100668232i</v>
      </c>
      <c r="Y93" s="227" t="str">
        <f t="shared" si="32"/>
        <v>196.088269210571+43.9486260364029i</v>
      </c>
      <c r="Z93" s="227" t="str">
        <f t="shared" si="33"/>
        <v>35.9778101989546+8.06158181884353i</v>
      </c>
      <c r="AA93" s="227" t="str">
        <f t="shared" si="34"/>
        <v>16.8535570644173-5.44855750840407i</v>
      </c>
      <c r="AB93" s="227">
        <f t="shared" si="44"/>
        <v>24.965548931193638</v>
      </c>
      <c r="AC93" s="227">
        <f t="shared" si="45"/>
        <v>-17.915412244666463</v>
      </c>
      <c r="AD93" s="229">
        <f t="shared" si="46"/>
        <v>21.69315033446609</v>
      </c>
      <c r="AE93" s="229">
        <f t="shared" si="47"/>
        <v>97.106760381451508</v>
      </c>
      <c r="AF93" s="227">
        <f t="shared" si="35"/>
        <v>46.658699265659727</v>
      </c>
      <c r="AG93" s="227">
        <f t="shared" si="36"/>
        <v>79.191348136785052</v>
      </c>
      <c r="AH93" s="229" t="str">
        <f t="shared" si="37"/>
        <v>1.50346173878789-12.0589112872174i</v>
      </c>
    </row>
    <row r="94" spans="9:34" x14ac:dyDescent="0.2">
      <c r="I94" s="227">
        <v>90</v>
      </c>
      <c r="J94" s="227">
        <f t="shared" si="25"/>
        <v>1.877511027410506</v>
      </c>
      <c r="K94" s="227">
        <f t="shared" si="48"/>
        <v>75.42425469925638</v>
      </c>
      <c r="L94" s="227">
        <f t="shared" si="38"/>
        <v>473.90456893133853</v>
      </c>
      <c r="M94" s="227">
        <f t="shared" si="26"/>
        <v>6506.7087922902592</v>
      </c>
      <c r="N94" s="227">
        <f>SQRT((ABS(AC94)-171.5+'Small Signal'!C$59)^2)</f>
        <v>83.204246040932958</v>
      </c>
      <c r="O94" s="227">
        <f t="shared" si="39"/>
        <v>78.915838287965485</v>
      </c>
      <c r="P94" s="227">
        <f t="shared" si="40"/>
        <v>46.447304837037194</v>
      </c>
      <c r="Q94" s="227">
        <f t="shared" si="41"/>
        <v>75.42425469925638</v>
      </c>
      <c r="R94" s="227" t="str">
        <f t="shared" si="27"/>
        <v>0.0355+0.00061607593961074i</v>
      </c>
      <c r="S94" s="227" t="str">
        <f t="shared" si="28"/>
        <v>0.018-9.59149762093375i</v>
      </c>
      <c r="T94" s="227" t="str">
        <f t="shared" si="29"/>
        <v>4.42623234085086-2.94973322016281i</v>
      </c>
      <c r="U94" s="227" t="str">
        <f t="shared" si="30"/>
        <v>93.0499987116135-9.35954795526544i</v>
      </c>
      <c r="V94" s="227">
        <f t="shared" si="42"/>
        <v>39.418046760869842</v>
      </c>
      <c r="W94" s="227">
        <f t="shared" si="43"/>
        <v>-5.7438467730924012</v>
      </c>
      <c r="X94" s="227" t="str">
        <f t="shared" si="31"/>
        <v>0.999999959546182-0.0000543436583014472i</v>
      </c>
      <c r="Y94" s="227" t="str">
        <f t="shared" si="32"/>
        <v>196.296149855803+44.9291208497916i</v>
      </c>
      <c r="Z94" s="227" t="str">
        <f t="shared" si="33"/>
        <v>36.0159706325384+8.24143304520973i</v>
      </c>
      <c r="AA94" s="227" t="str">
        <f t="shared" si="34"/>
        <v>16.7809604325084-5.54839247331918i</v>
      </c>
      <c r="AB94" s="227">
        <f t="shared" si="44"/>
        <v>24.946905779553759</v>
      </c>
      <c r="AC94" s="227">
        <f t="shared" si="45"/>
        <v>-18.295753959067028</v>
      </c>
      <c r="AD94" s="229">
        <f t="shared" si="46"/>
        <v>21.500399057483435</v>
      </c>
      <c r="AE94" s="229">
        <f t="shared" si="47"/>
        <v>97.211592247032513</v>
      </c>
      <c r="AF94" s="227">
        <f t="shared" si="35"/>
        <v>46.447304837037194</v>
      </c>
      <c r="AG94" s="227">
        <f t="shared" si="36"/>
        <v>78.915838287965485</v>
      </c>
      <c r="AH94" s="229" t="str">
        <f t="shared" si="37"/>
        <v>1.4920424405756-11.7915454335071i</v>
      </c>
    </row>
    <row r="95" spans="9:34" x14ac:dyDescent="0.2">
      <c r="I95" s="227">
        <v>91</v>
      </c>
      <c r="J95" s="227">
        <f t="shared" si="25"/>
        <v>1.8872611499372893</v>
      </c>
      <c r="K95" s="227">
        <f t="shared" si="48"/>
        <v>77.136716810370729</v>
      </c>
      <c r="L95" s="227">
        <f t="shared" si="38"/>
        <v>484.66428570699395</v>
      </c>
      <c r="M95" s="227">
        <f t="shared" si="26"/>
        <v>6504.957449762047</v>
      </c>
      <c r="N95" s="227">
        <f>SQRT((ABS(AC95)-171.5+'Small Signal'!C$59)^2)</f>
        <v>82.816960321537124</v>
      </c>
      <c r="O95" s="227">
        <f t="shared" si="39"/>
        <v>78.636925955679288</v>
      </c>
      <c r="P95" s="227">
        <f t="shared" si="40"/>
        <v>46.235233771488225</v>
      </c>
      <c r="Q95" s="227">
        <f t="shared" si="41"/>
        <v>77.136716810370729</v>
      </c>
      <c r="R95" s="227" t="str">
        <f t="shared" si="27"/>
        <v>0.0355+0.000630063571419092i</v>
      </c>
      <c r="S95" s="227" t="str">
        <f t="shared" si="28"/>
        <v>0.018-9.37856301671567i</v>
      </c>
      <c r="T95" s="227" t="str">
        <f t="shared" si="29"/>
        <v>4.3644985790754-2.97445907553064i</v>
      </c>
      <c r="U95" s="227" t="str">
        <f t="shared" si="30"/>
        <v>93.0147916395518-9.56920964239781i</v>
      </c>
      <c r="V95" s="227">
        <f t="shared" si="42"/>
        <v>39.416764350237472</v>
      </c>
      <c r="W95" s="227">
        <f t="shared" si="43"/>
        <v>-5.8738314624373631</v>
      </c>
      <c r="X95" s="227" t="str">
        <f t="shared" si="31"/>
        <v>0.999999957688369-0.0000555774982139746i</v>
      </c>
      <c r="Y95" s="227" t="str">
        <f t="shared" si="32"/>
        <v>196.513449228546+45.930679871928i</v>
      </c>
      <c r="Z95" s="227" t="str">
        <f t="shared" si="33"/>
        <v>36.0558600478202+8.42514785958693i</v>
      </c>
      <c r="AA95" s="227" t="str">
        <f t="shared" si="34"/>
        <v>16.7056924287004-5.64905380406293i</v>
      </c>
      <c r="AB95" s="227">
        <f t="shared" si="44"/>
        <v>24.927491731970434</v>
      </c>
      <c r="AC95" s="227">
        <f t="shared" si="45"/>
        <v>-18.683039678462876</v>
      </c>
      <c r="AD95" s="229">
        <f t="shared" si="46"/>
        <v>21.307742039517791</v>
      </c>
      <c r="AE95" s="229">
        <f t="shared" si="47"/>
        <v>97.319965634142164</v>
      </c>
      <c r="AF95" s="227">
        <f t="shared" si="35"/>
        <v>46.235233771488225</v>
      </c>
      <c r="AG95" s="227">
        <f t="shared" si="36"/>
        <v>78.636925955679288</v>
      </c>
      <c r="AH95" s="229" t="str">
        <f t="shared" si="37"/>
        <v>1.48112408439517-11.5301018993039i</v>
      </c>
    </row>
    <row r="96" spans="9:34" x14ac:dyDescent="0.2">
      <c r="I96" s="227">
        <v>92</v>
      </c>
      <c r="J96" s="227">
        <f t="shared" si="25"/>
        <v>1.8970112724640729</v>
      </c>
      <c r="K96" s="227">
        <f t="shared" si="48"/>
        <v>78.888059338582948</v>
      </c>
      <c r="L96" s="227">
        <f t="shared" si="38"/>
        <v>495.66829534809574</v>
      </c>
      <c r="M96" s="227">
        <f t="shared" si="26"/>
        <v>6503.1663440603688</v>
      </c>
      <c r="N96" s="227">
        <f>SQRT((ABS(AC96)-171.5+'Small Signal'!C$59)^2)</f>
        <v>82.422674668288749</v>
      </c>
      <c r="O96" s="227">
        <f t="shared" si="39"/>
        <v>78.354603515844829</v>
      </c>
      <c r="P96" s="227">
        <f t="shared" si="40"/>
        <v>46.022462419394806</v>
      </c>
      <c r="Q96" s="227">
        <f t="shared" si="41"/>
        <v>78.888059338582948</v>
      </c>
      <c r="R96" s="227" t="str">
        <f t="shared" si="27"/>
        <v>0.0355+0.000644368783952525i</v>
      </c>
      <c r="S96" s="227" t="str">
        <f t="shared" si="28"/>
        <v>0.018-9.17035563523866i</v>
      </c>
      <c r="T96" s="227" t="str">
        <f t="shared" si="29"/>
        <v>4.30175300787324-2.99807901657403i</v>
      </c>
      <c r="U96" s="227" t="str">
        <f t="shared" si="30"/>
        <v>92.9779888654124-9.78343534266002i</v>
      </c>
      <c r="V96" s="227">
        <f t="shared" si="42"/>
        <v>39.415423400125235</v>
      </c>
      <c r="W96" s="227">
        <f t="shared" si="43"/>
        <v>-6.0067378551253299</v>
      </c>
      <c r="X96" s="227" t="str">
        <f t="shared" si="31"/>
        <v>0.999999955745238-0.0000568393517158945i</v>
      </c>
      <c r="Y96" s="227" t="str">
        <f t="shared" si="32"/>
        <v>196.740587963101+46.9536991380597i</v>
      </c>
      <c r="Z96" s="227" t="str">
        <f t="shared" si="33"/>
        <v>36.0975556596027+8.61279888810912i</v>
      </c>
      <c r="AA96" s="227" t="str">
        <f t="shared" si="34"/>
        <v>16.6276829644414-5.75048305972549i</v>
      </c>
      <c r="AB96" s="227">
        <f t="shared" si="44"/>
        <v>24.907278567164106</v>
      </c>
      <c r="AC96" s="227">
        <f t="shared" si="45"/>
        <v>-19.077325331711247</v>
      </c>
      <c r="AD96" s="229">
        <f t="shared" si="46"/>
        <v>21.1151838522307</v>
      </c>
      <c r="AE96" s="229">
        <f t="shared" si="47"/>
        <v>97.43192884755608</v>
      </c>
      <c r="AF96" s="227">
        <f t="shared" si="35"/>
        <v>46.022462419394806</v>
      </c>
      <c r="AG96" s="227">
        <f t="shared" si="36"/>
        <v>78.354603515844829</v>
      </c>
      <c r="AH96" s="229" t="str">
        <f t="shared" si="37"/>
        <v>1.47068471159247-11.2744502819764i</v>
      </c>
    </row>
    <row r="97" spans="9:34" x14ac:dyDescent="0.2">
      <c r="I97" s="227">
        <v>93</v>
      </c>
      <c r="J97" s="227">
        <f t="shared" si="25"/>
        <v>1.9067613949908562</v>
      </c>
      <c r="K97" s="227">
        <f t="shared" si="48"/>
        <v>80.67916504026104</v>
      </c>
      <c r="L97" s="227">
        <f t="shared" si="38"/>
        <v>506.92214437648511</v>
      </c>
      <c r="M97" s="227">
        <f t="shared" si="26"/>
        <v>6501.3345723864068</v>
      </c>
      <c r="N97" s="227">
        <f>SQRT((ABS(AC97)-171.5+'Small Signal'!C$59)^2)</f>
        <v>82.021337301296029</v>
      </c>
      <c r="O97" s="227">
        <f t="shared" si="39"/>
        <v>78.068868866969879</v>
      </c>
      <c r="P97" s="227">
        <f t="shared" si="40"/>
        <v>45.80896658773009</v>
      </c>
      <c r="Q97" s="227">
        <f t="shared" si="41"/>
        <v>80.67916504026104</v>
      </c>
      <c r="R97" s="227" t="str">
        <f t="shared" si="27"/>
        <v>0.0355+0.000658998787689431i</v>
      </c>
      <c r="S97" s="227" t="str">
        <f t="shared" si="28"/>
        <v>0.018-8.96677053050316i</v>
      </c>
      <c r="T97" s="227" t="str">
        <f t="shared" si="29"/>
        <v>4.23803531867559-3.02054241079594i</v>
      </c>
      <c r="U97" s="227" t="str">
        <f t="shared" si="30"/>
        <v>92.9395190755925-10.0023152104634i</v>
      </c>
      <c r="V97" s="227">
        <f t="shared" si="42"/>
        <v>39.4140212552172</v>
      </c>
      <c r="W97" s="227">
        <f t="shared" si="43"/>
        <v>-6.1426302477868964</v>
      </c>
      <c r="X97" s="227" t="str">
        <f t="shared" si="31"/>
        <v>0.99999995371287-0.0000581298548388207i</v>
      </c>
      <c r="Y97" s="227" t="str">
        <f t="shared" si="32"/>
        <v>196.978004908338+47.998578088701i</v>
      </c>
      <c r="Z97" s="227" t="str">
        <f t="shared" si="33"/>
        <v>36.1411380262537+8.80445938019151i</v>
      </c>
      <c r="AA97" s="227" t="str">
        <f t="shared" si="34"/>
        <v>16.5468624807454-5.85261734828441i</v>
      </c>
      <c r="AB97" s="227">
        <f t="shared" si="44"/>
        <v>24.886237335698276</v>
      </c>
      <c r="AC97" s="227">
        <f t="shared" si="45"/>
        <v>-19.478662698703975</v>
      </c>
      <c r="AD97" s="229">
        <f t="shared" si="46"/>
        <v>20.922729252031814</v>
      </c>
      <c r="AE97" s="229">
        <f t="shared" si="47"/>
        <v>97.54753156567385</v>
      </c>
      <c r="AF97" s="227">
        <f t="shared" si="35"/>
        <v>45.80896658773009</v>
      </c>
      <c r="AG97" s="227">
        <f t="shared" si="36"/>
        <v>78.068868866969879</v>
      </c>
      <c r="AH97" s="229" t="str">
        <f t="shared" si="37"/>
        <v>1.46070332441702-11.024463008729i</v>
      </c>
    </row>
    <row r="98" spans="9:34" x14ac:dyDescent="0.2">
      <c r="I98" s="227">
        <v>94</v>
      </c>
      <c r="J98" s="227">
        <f t="shared" si="25"/>
        <v>1.9165115175176397</v>
      </c>
      <c r="K98" s="227">
        <f t="shared" si="48"/>
        <v>82.510936714222979</v>
      </c>
      <c r="L98" s="227">
        <f t="shared" si="38"/>
        <v>518.43150524443047</v>
      </c>
      <c r="M98" s="227">
        <f t="shared" si="26"/>
        <v>6499.4612114438423</v>
      </c>
      <c r="N98" s="227">
        <f>SQRT((ABS(AC98)-171.5+'Small Signal'!C$59)^2)</f>
        <v>81.612900899545025</v>
      </c>
      <c r="O98" s="227">
        <f t="shared" si="39"/>
        <v>77.779725736419337</v>
      </c>
      <c r="P98" s="227">
        <f t="shared" si="40"/>
        <v>45.594721555079474</v>
      </c>
      <c r="Q98" s="227">
        <f t="shared" si="41"/>
        <v>82.510936714222979</v>
      </c>
      <c r="R98" s="227" t="str">
        <f t="shared" si="27"/>
        <v>0.0355+0.00067396095681776i</v>
      </c>
      <c r="S98" s="227" t="str">
        <f t="shared" si="28"/>
        <v>0.018-8.76770508634779i</v>
      </c>
      <c r="T98" s="227" t="str">
        <f t="shared" si="29"/>
        <v>4.17338843056103-3.04180018427718i</v>
      </c>
      <c r="U98" s="227" t="str">
        <f t="shared" si="30"/>
        <v>92.8993078634981-10.2259405325422i</v>
      </c>
      <c r="V98" s="227">
        <f t="shared" si="42"/>
        <v>39.412555141329086</v>
      </c>
      <c r="W98" s="227">
        <f t="shared" si="43"/>
        <v>-6.2815742569204076</v>
      </c>
      <c r="X98" s="227" t="str">
        <f t="shared" si="31"/>
        <v>0.999999951587167-0.0000594496580550802i</v>
      </c>
      <c r="Y98" s="227" t="str">
        <f t="shared" si="32"/>
        <v>197.226157862939+49.0657192742708i</v>
      </c>
      <c r="Z98" s="227" t="str">
        <f t="shared" si="33"/>
        <v>36.1866911846676+9.00020315426012i</v>
      </c>
      <c r="AA98" s="227" t="str">
        <f t="shared" si="34"/>
        <v>16.4631621865026-5.95538920522969i</v>
      </c>
      <c r="AB98" s="227">
        <f t="shared" si="44"/>
        <v>24.864338366744061</v>
      </c>
      <c r="AC98" s="227">
        <f t="shared" si="45"/>
        <v>-19.887099100454964</v>
      </c>
      <c r="AD98" s="229">
        <f t="shared" si="46"/>
        <v>20.730383188335416</v>
      </c>
      <c r="AE98" s="229">
        <f t="shared" si="47"/>
        <v>97.666824836874298</v>
      </c>
      <c r="AF98" s="227">
        <f t="shared" si="35"/>
        <v>45.594721555079474</v>
      </c>
      <c r="AG98" s="227">
        <f t="shared" si="36"/>
        <v>77.779725736419337</v>
      </c>
      <c r="AH98" s="229" t="str">
        <f t="shared" si="37"/>
        <v>1.4511598441048-10.7800152781195i</v>
      </c>
    </row>
    <row r="99" spans="9:34" x14ac:dyDescent="0.2">
      <c r="I99" s="227">
        <v>95</v>
      </c>
      <c r="J99" s="227">
        <f t="shared" si="25"/>
        <v>1.926261640044423</v>
      </c>
      <c r="K99" s="227">
        <f t="shared" si="48"/>
        <v>84.384297656787894</v>
      </c>
      <c r="L99" s="227">
        <f t="shared" si="38"/>
        <v>530.20217919379843</v>
      </c>
      <c r="M99" s="227">
        <f t="shared" si="26"/>
        <v>6497.5453169734701</v>
      </c>
      <c r="N99" s="227">
        <f>SQRT((ABS(AC99)-171.5+'Small Signal'!C$59)^2)</f>
        <v>81.197322918819424</v>
      </c>
      <c r="O99" s="227">
        <f t="shared" si="39"/>
        <v>77.487183993501347</v>
      </c>
      <c r="P99" s="227">
        <f t="shared" si="40"/>
        <v>45.37970208950351</v>
      </c>
      <c r="Q99" s="227">
        <f t="shared" si="41"/>
        <v>84.384297656787894</v>
      </c>
      <c r="R99" s="227" t="str">
        <f t="shared" si="27"/>
        <v>0.0355+0.000689262832951938i</v>
      </c>
      <c r="S99" s="227" t="str">
        <f t="shared" si="28"/>
        <v>0.018-8.57305896472577i</v>
      </c>
      <c r="T99" s="227" t="str">
        <f t="shared" si="29"/>
        <v>4.10785842220712-3.06180506418166i</v>
      </c>
      <c r="U99" s="227" t="str">
        <f t="shared" si="30"/>
        <v>92.8572776041981-10.4544036927239i</v>
      </c>
      <c r="V99" s="227">
        <f t="shared" si="42"/>
        <v>39.41102216023382</v>
      </c>
      <c r="W99" s="227">
        <f t="shared" si="43"/>
        <v>-6.4236368393555097</v>
      </c>
      <c r="X99" s="227" t="str">
        <f t="shared" si="31"/>
        <v>0.999999949363842-0.0000607994266055811i</v>
      </c>
      <c r="Y99" s="227" t="str">
        <f t="shared" si="32"/>
        <v>197.485524335246+50.1555280289881i</v>
      </c>
      <c r="Z99" s="227" t="str">
        <f t="shared" si="33"/>
        <v>36.2343027897425+9.20010453783631i</v>
      </c>
      <c r="AA99" s="227" t="str">
        <f t="shared" si="34"/>
        <v>16.3765143133791-6.05872648206903i</v>
      </c>
      <c r="AB99" s="227">
        <f t="shared" si="44"/>
        <v>24.841551277417679</v>
      </c>
      <c r="AC99" s="227">
        <f t="shared" si="45"/>
        <v>-20.302677081180573</v>
      </c>
      <c r="AD99" s="229">
        <f t="shared" si="46"/>
        <v>20.538150812085828</v>
      </c>
      <c r="AE99" s="229">
        <f t="shared" si="47"/>
        <v>97.789861074681923</v>
      </c>
      <c r="AF99" s="227">
        <f t="shared" si="35"/>
        <v>45.37970208950351</v>
      </c>
      <c r="AG99" s="227">
        <f t="shared" si="36"/>
        <v>77.487183993501347</v>
      </c>
      <c r="AH99" s="229" t="str">
        <f t="shared" si="37"/>
        <v>1.44203507077782-10.5409850025958i</v>
      </c>
    </row>
    <row r="100" spans="9:34" x14ac:dyDescent="0.2">
      <c r="I100" s="227">
        <v>96</v>
      </c>
      <c r="J100" s="227">
        <f t="shared" si="25"/>
        <v>1.9360117625712063</v>
      </c>
      <c r="K100" s="227">
        <f t="shared" si="48"/>
        <v>86.300192127160031</v>
      </c>
      <c r="L100" s="227">
        <f t="shared" si="38"/>
        <v>542.24009918014735</v>
      </c>
      <c r="M100" s="227">
        <f t="shared" si="26"/>
        <v>6495.5859232772518</v>
      </c>
      <c r="N100" s="227">
        <f>SQRT((ABS(AC100)-171.5+'Small Signal'!C$59)^2)</f>
        <v>80.774565916890282</v>
      </c>
      <c r="O100" s="227">
        <f t="shared" si="39"/>
        <v>77.191259968519802</v>
      </c>
      <c r="P100" s="227">
        <f t="shared" si="40"/>
        <v>45.163882469421196</v>
      </c>
      <c r="Q100" s="227">
        <f t="shared" si="41"/>
        <v>86.300192127160031</v>
      </c>
      <c r="R100" s="227" t="str">
        <f t="shared" si="27"/>
        <v>0.0355+0.000704912128934192i</v>
      </c>
      <c r="S100" s="227" t="str">
        <f t="shared" si="28"/>
        <v>0.018-8.38273405513013i</v>
      </c>
      <c r="T100" s="227" t="str">
        <f t="shared" si="29"/>
        <v>4.04149444265274-3.08051181906957i</v>
      </c>
      <c r="U100" s="227" t="str">
        <f t="shared" si="30"/>
        <v>92.8133473248282-10.6877981319751i</v>
      </c>
      <c r="V100" s="227">
        <f t="shared" si="42"/>
        <v>39.409419284275074</v>
      </c>
      <c r="W100" s="227">
        <f t="shared" si="43"/>
        <v>-6.5688863125475496</v>
      </c>
      <c r="X100" s="227" t="str">
        <f t="shared" si="31"/>
        <v>0.999999947038413-0.0000621798408351242i</v>
      </c>
      <c r="Y100" s="227" t="str">
        <f t="shared" si="32"/>
        <v>197.756602327992+51.2684121118571i</v>
      </c>
      <c r="Z100" s="227" t="str">
        <f t="shared" si="33"/>
        <v>36.2840642584254+9.40423830157815i</v>
      </c>
      <c r="AA100" s="227" t="str">
        <f t="shared" si="34"/>
        <v>16.2868523873366-6.16255224635534i</v>
      </c>
      <c r="AB100" s="227">
        <f t="shared" si="44"/>
        <v>24.817844984863008</v>
      </c>
      <c r="AC100" s="227">
        <f t="shared" si="45"/>
        <v>-20.725434083109707</v>
      </c>
      <c r="AD100" s="229">
        <f t="shared" si="46"/>
        <v>20.346037484558185</v>
      </c>
      <c r="AE100" s="229">
        <f t="shared" si="47"/>
        <v>97.916694051629506</v>
      </c>
      <c r="AF100" s="227">
        <f t="shared" si="35"/>
        <v>45.163882469421196</v>
      </c>
      <c r="AG100" s="227">
        <f t="shared" si="36"/>
        <v>77.191259968519802</v>
      </c>
      <c r="AH100" s="229" t="str">
        <f t="shared" si="37"/>
        <v>1.43331064508271-10.3072527520471i</v>
      </c>
    </row>
    <row r="101" spans="9:34" x14ac:dyDescent="0.2">
      <c r="I101" s="227">
        <v>97</v>
      </c>
      <c r="J101" s="227">
        <f t="shared" si="25"/>
        <v>1.9457618850979896</v>
      </c>
      <c r="K101" s="227">
        <f t="shared" si="48"/>
        <v>88.259585823377776</v>
      </c>
      <c r="L101" s="227">
        <f t="shared" si="38"/>
        <v>554.5513328632029</v>
      </c>
      <c r="M101" s="227">
        <f t="shared" si="26"/>
        <v>6493.5820427315603</v>
      </c>
      <c r="N101" s="227">
        <f>SQRT((ABS(AC101)-171.5+'Small Signal'!C$59)^2)</f>
        <v>80.344597885125808</v>
      </c>
      <c r="O101" s="227">
        <f t="shared" si="39"/>
        <v>76.891976776820783</v>
      </c>
      <c r="P101" s="227">
        <f t="shared" si="40"/>
        <v>44.947236507694683</v>
      </c>
      <c r="Q101" s="227">
        <f t="shared" si="41"/>
        <v>88.259585823377776</v>
      </c>
      <c r="R101" s="227" t="str">
        <f t="shared" si="27"/>
        <v>0.0355+0.000720916732722164i</v>
      </c>
      <c r="S101" s="227" t="str">
        <f t="shared" si="28"/>
        <v>0.018-8.19663442514132i</v>
      </c>
      <c r="T101" s="227" t="str">
        <f t="shared" si="29"/>
        <v>3.97434860076368-3.09787749491628i</v>
      </c>
      <c r="U101" s="227" t="str">
        <f t="shared" si="30"/>
        <v>92.7674325706965-10.926218303382i</v>
      </c>
      <c r="V101" s="227">
        <f t="shared" si="42"/>
        <v>39.407743350762701</v>
      </c>
      <c r="W101" s="227">
        <f t="shared" si="43"/>
        <v>-6.717392374658937</v>
      </c>
      <c r="X101" s="227" t="str">
        <f t="shared" si="31"/>
        <v>0.99999994460619-0.0000635915965353276i</v>
      </c>
      <c r="Y101" s="227" t="str">
        <f t="shared" si="32"/>
        <v>198.03991114822+52.4047813124828i</v>
      </c>
      <c r="Z101" s="227" t="str">
        <f t="shared" si="33"/>
        <v>36.3360709183794+9.61267958686377i</v>
      </c>
      <c r="AA101" s="227" t="str">
        <f t="shared" si="34"/>
        <v>16.1941115166732-6.26678469496604i</v>
      </c>
      <c r="AB101" s="227">
        <f t="shared" si="44"/>
        <v>24.79318772125383</v>
      </c>
      <c r="AC101" s="227">
        <f t="shared" si="45"/>
        <v>-21.155402114874196</v>
      </c>
      <c r="AD101" s="229">
        <f t="shared" si="46"/>
        <v>20.154048786440853</v>
      </c>
      <c r="AE101" s="229">
        <f t="shared" si="47"/>
        <v>98.047378891694976</v>
      </c>
      <c r="AF101" s="227">
        <f t="shared" si="35"/>
        <v>44.947236507694683</v>
      </c>
      <c r="AG101" s="227">
        <f t="shared" si="36"/>
        <v>76.891976776820783</v>
      </c>
      <c r="AH101" s="229" t="str">
        <f t="shared" si="37"/>
        <v>1.42496901149379-10.0787016983641i</v>
      </c>
    </row>
    <row r="102" spans="9:34" x14ac:dyDescent="0.2">
      <c r="I102" s="227">
        <v>98</v>
      </c>
      <c r="J102" s="227">
        <f t="shared" si="25"/>
        <v>1.9555120076247732</v>
      </c>
      <c r="K102" s="227">
        <f t="shared" si="48"/>
        <v>90.263466369070059</v>
      </c>
      <c r="L102" s="227">
        <f t="shared" si="38"/>
        <v>567.14208566523973</v>
      </c>
      <c r="M102" s="227">
        <f t="shared" si="26"/>
        <v>6491.5326652893664</v>
      </c>
      <c r="N102" s="227">
        <f>SQRT((ABS(AC102)-171.5+'Small Signal'!C$59)^2)</f>
        <v>79.907392585547569</v>
      </c>
      <c r="O102" s="227">
        <f t="shared" si="39"/>
        <v>76.589364646731426</v>
      </c>
      <c r="P102" s="227">
        <f t="shared" si="40"/>
        <v>44.729737579091108</v>
      </c>
      <c r="Q102" s="227">
        <f t="shared" si="41"/>
        <v>90.263466369070059</v>
      </c>
      <c r="R102" s="227" t="str">
        <f t="shared" si="27"/>
        <v>0.0355+0.000737284711364812i</v>
      </c>
      <c r="S102" s="227" t="str">
        <f t="shared" si="28"/>
        <v>0.018-8.01466627207336i</v>
      </c>
      <c r="T102" s="227" t="str">
        <f t="shared" si="29"/>
        <v>3.90647583352924-3.11386164468885i</v>
      </c>
      <c r="U102" s="227" t="str">
        <f t="shared" si="30"/>
        <v>92.7194452670225-11.1697596216996i</v>
      </c>
      <c r="V102" s="227">
        <f t="shared" si="42"/>
        <v>39.405991056141005</v>
      </c>
      <c r="W102" s="227">
        <f t="shared" si="43"/>
        <v>-6.8692261243791304</v>
      </c>
      <c r="X102" s="227" t="str">
        <f t="shared" si="31"/>
        <v>0.999999942062269-0.0000650354052953377i</v>
      </c>
      <c r="Y102" s="227" t="str">
        <f t="shared" si="32"/>
        <v>198.335992242535+53.5650470192814i</v>
      </c>
      <c r="Z102" s="227" t="str">
        <f t="shared" si="33"/>
        <v>36.3904221613016+9.82550382646964i</v>
      </c>
      <c r="AA102" s="227" t="str">
        <f t="shared" si="34"/>
        <v>16.0982286963293-6.3713370824399i</v>
      </c>
      <c r="AB102" s="227">
        <f t="shared" si="44"/>
        <v>24.767547051885444</v>
      </c>
      <c r="AC102" s="227">
        <f t="shared" si="45"/>
        <v>-21.592607414452431</v>
      </c>
      <c r="AD102" s="229">
        <f t="shared" si="46"/>
        <v>19.962190527205664</v>
      </c>
      <c r="AE102" s="229">
        <f t="shared" si="47"/>
        <v>98.181972061183856</v>
      </c>
      <c r="AF102" s="227">
        <f t="shared" si="35"/>
        <v>44.729737579091108</v>
      </c>
      <c r="AG102" s="227">
        <f t="shared" si="36"/>
        <v>76.589364646731426</v>
      </c>
      <c r="AH102" s="229" t="str">
        <f t="shared" si="37"/>
        <v>1.41699338320933-9.85521756100213i</v>
      </c>
    </row>
    <row r="103" spans="9:34" x14ac:dyDescent="0.2">
      <c r="I103" s="227">
        <v>99</v>
      </c>
      <c r="J103" s="227">
        <f t="shared" si="25"/>
        <v>1.9652621301515567</v>
      </c>
      <c r="K103" s="227">
        <f t="shared" si="48"/>
        <v>92.312843811263079</v>
      </c>
      <c r="L103" s="227">
        <f t="shared" si="38"/>
        <v>580.01870389889223</v>
      </c>
      <c r="M103" s="227">
        <f t="shared" si="26"/>
        <v>6489.4367579711397</v>
      </c>
      <c r="N103" s="227">
        <f>SQRT((ABS(AC103)-171.5+'Small Signal'!C$59)^2)</f>
        <v>79.462929892230136</v>
      </c>
      <c r="O103" s="227">
        <f t="shared" si="39"/>
        <v>76.28346125015139</v>
      </c>
      <c r="P103" s="227">
        <f t="shared" si="40"/>
        <v>44.511358651294834</v>
      </c>
      <c r="Q103" s="227">
        <f t="shared" si="41"/>
        <v>92.312843811263079</v>
      </c>
      <c r="R103" s="227" t="str">
        <f t="shared" si="27"/>
        <v>0.0355+0.00075402431506856i</v>
      </c>
      <c r="S103" s="227" t="str">
        <f t="shared" si="28"/>
        <v>0.018-7.83673787569256i</v>
      </c>
      <c r="T103" s="227" t="str">
        <f t="shared" si="29"/>
        <v>3.83793375355991-3.12842654931608i</v>
      </c>
      <c r="U103" s="227" t="str">
        <f t="shared" si="30"/>
        <v>92.6692935762787-11.4185184070863i</v>
      </c>
      <c r="V103" s="227">
        <f t="shared" si="42"/>
        <v>39.404158949923421</v>
      </c>
      <c r="W103" s="227">
        <f t="shared" si="43"/>
        <v>-7.0244600804314699</v>
      </c>
      <c r="X103" s="227" t="str">
        <f t="shared" si="31"/>
        <v>0.999999939401521-0.0000665119948605022i</v>
      </c>
      <c r="Y103" s="227" t="str">
        <f t="shared" si="32"/>
        <v>198.645410057862+54.7496217475708i</v>
      </c>
      <c r="Z103" s="227" t="str">
        <f t="shared" si="33"/>
        <v>36.4472216009206+10.0427866578819i</v>
      </c>
      <c r="AA103" s="227" t="str">
        <f t="shared" si="34"/>
        <v>15.999143128039-6.4761176662476i</v>
      </c>
      <c r="AB103" s="227">
        <f t="shared" si="44"/>
        <v>24.740889896523989</v>
      </c>
      <c r="AC103" s="227">
        <f t="shared" si="45"/>
        <v>-22.037070107769853</v>
      </c>
      <c r="AD103" s="229">
        <f t="shared" si="46"/>
        <v>19.770468754770846</v>
      </c>
      <c r="AE103" s="229">
        <f t="shared" si="47"/>
        <v>98.32053135792124</v>
      </c>
      <c r="AF103" s="227">
        <f t="shared" si="35"/>
        <v>44.511358651294834</v>
      </c>
      <c r="AG103" s="227">
        <f t="shared" si="36"/>
        <v>76.28346125015139</v>
      </c>
      <c r="AH103" s="229" t="str">
        <f t="shared" si="37"/>
        <v>1.40936770857252-9.63668855353923i</v>
      </c>
    </row>
    <row r="104" spans="9:34" x14ac:dyDescent="0.2">
      <c r="I104" s="227">
        <v>100</v>
      </c>
      <c r="J104" s="227">
        <f t="shared" si="25"/>
        <v>1.97501225267834</v>
      </c>
      <c r="K104" s="227">
        <f t="shared" si="48"/>
        <v>94.408751129490213</v>
      </c>
      <c r="L104" s="227">
        <f t="shared" si="38"/>
        <v>593.18767796598706</v>
      </c>
      <c r="M104" s="227">
        <f t="shared" si="26"/>
        <v>6487.2932643441691</v>
      </c>
      <c r="N104" s="227">
        <f>SQRT((ABS(AC104)-171.5+'Small Signal'!C$59)^2)</f>
        <v>79.011196135817187</v>
      </c>
      <c r="O104" s="227">
        <f t="shared" si="39"/>
        <v>75.974312034425793</v>
      </c>
      <c r="P104" s="227">
        <f t="shared" si="40"/>
        <v>44.292072319637285</v>
      </c>
      <c r="Q104" s="227">
        <f t="shared" si="41"/>
        <v>94.408751129490213</v>
      </c>
      <c r="R104" s="227" t="str">
        <f t="shared" si="27"/>
        <v>0.0355+0.000771143981355783i</v>
      </c>
      <c r="S104" s="227" t="str">
        <f t="shared" si="28"/>
        <v>0.018-7.66275955198649i</v>
      </c>
      <c r="T104" s="227" t="str">
        <f t="shared" si="29"/>
        <v>3.76878247640628-3.14153742790153i</v>
      </c>
      <c r="U104" s="227" t="str">
        <f t="shared" si="30"/>
        <v>92.6168817510942-11.6725918226156i</v>
      </c>
      <c r="V104" s="227">
        <f t="shared" si="42"/>
        <v>39.402243428384942</v>
      </c>
      <c r="W104" s="227">
        <f t="shared" si="43"/>
        <v>-7.1831682007107958</v>
      </c>
      <c r="X104" s="227" t="str">
        <f t="shared" si="31"/>
        <v>0.999999936618579-0.000068022109499187i</v>
      </c>
      <c r="Y104" s="227" t="str">
        <f t="shared" si="32"/>
        <v>198.968752927702+55.9589186248299i</v>
      </c>
      <c r="Z104" s="227" t="str">
        <f t="shared" si="33"/>
        <v>36.5065772356757+10.2646038287433i</v>
      </c>
      <c r="AA104" s="227" t="str">
        <f t="shared" si="34"/>
        <v>15.8967965557241-6.58102967092484i</v>
      </c>
      <c r="AB104" s="227">
        <f t="shared" si="44"/>
        <v>24.713182554175795</v>
      </c>
      <c r="AC104" s="227">
        <f t="shared" si="45"/>
        <v>-22.488803864182824</v>
      </c>
      <c r="AD104" s="229">
        <f t="shared" si="46"/>
        <v>19.57888976546149</v>
      </c>
      <c r="AE104" s="229">
        <f t="shared" si="47"/>
        <v>98.463115898608621</v>
      </c>
      <c r="AF104" s="227">
        <f t="shared" si="35"/>
        <v>44.292072319637285</v>
      </c>
      <c r="AG104" s="227">
        <f t="shared" si="36"/>
        <v>75.974312034425793</v>
      </c>
      <c r="AH104" s="229" t="str">
        <f t="shared" si="37"/>
        <v>1.40207663895148-9.42300533122108i</v>
      </c>
    </row>
    <row r="105" spans="9:34" x14ac:dyDescent="0.2">
      <c r="I105" s="227">
        <v>101</v>
      </c>
      <c r="J105" s="227">
        <f t="shared" si="25"/>
        <v>1.9847623752051233</v>
      </c>
      <c r="K105" s="227">
        <f t="shared" si="48"/>
        <v>96.552244756460979</v>
      </c>
      <c r="L105" s="227">
        <f t="shared" si="38"/>
        <v>606.65564562900283</v>
      </c>
      <c r="M105" s="227">
        <f t="shared" si="26"/>
        <v>6485.1011039900795</v>
      </c>
      <c r="N105" s="227">
        <f>SQRT((ABS(AC105)-171.5+'Small Signal'!C$59)^2)</f>
        <v>78.552184449782118</v>
      </c>
      <c r="O105" s="227">
        <f t="shared" si="39"/>
        <v>75.661970553978051</v>
      </c>
      <c r="P105" s="227">
        <f t="shared" si="40"/>
        <v>44.071850845703992</v>
      </c>
      <c r="Q105" s="227">
        <f t="shared" si="41"/>
        <v>96.552244756460979</v>
      </c>
      <c r="R105" s="227" t="str">
        <f t="shared" si="27"/>
        <v>0.0355+0.000788652339317704i</v>
      </c>
      <c r="S105" s="227" t="str">
        <f t="shared" si="28"/>
        <v>0.018-7.49264360795924i</v>
      </c>
      <c r="T105" s="227" t="str">
        <f t="shared" si="29"/>
        <v>3.69908442856932-3.15316263507597i</v>
      </c>
      <c r="U105" s="227" t="str">
        <f t="shared" si="30"/>
        <v>92.5621099827186-11.9320778051398i</v>
      </c>
      <c r="V105" s="227">
        <f t="shared" si="42"/>
        <v>39.400240728006153</v>
      </c>
      <c r="W105" s="227">
        <f t="shared" si="43"/>
        <v>-7.3454259009932148</v>
      </c>
      <c r="X105" s="227" t="str">
        <f t="shared" si="31"/>
        <v>0.999999933707833-0.0000695665103779215i</v>
      </c>
      <c r="Y105" s="227" t="str">
        <f t="shared" si="32"/>
        <v>199.306633983869+57.193350830311i</v>
      </c>
      <c r="Z105" s="227" t="str">
        <f t="shared" si="33"/>
        <v>36.5686016160712+10.4910310939179i</v>
      </c>
      <c r="AA105" s="227" t="str">
        <f t="shared" si="34"/>
        <v>15.7911336153285-6.68597127304042i</v>
      </c>
      <c r="AB105" s="227">
        <f t="shared" si="44"/>
        <v>24.684390731431975</v>
      </c>
      <c r="AC105" s="227">
        <f t="shared" si="45"/>
        <v>-22.947815550217889</v>
      </c>
      <c r="AD105" s="229">
        <f t="shared" si="46"/>
        <v>19.38746011427202</v>
      </c>
      <c r="AE105" s="229">
        <f t="shared" si="47"/>
        <v>98.609786104195948</v>
      </c>
      <c r="AF105" s="227">
        <f t="shared" si="35"/>
        <v>44.071850845703992</v>
      </c>
      <c r="AG105" s="227">
        <f t="shared" si="36"/>
        <v>75.661970553978051</v>
      </c>
      <c r="AH105" s="229" t="str">
        <f t="shared" si="37"/>
        <v>1.3951054980159-9.21406093948412i</v>
      </c>
    </row>
    <row r="106" spans="9:34" x14ac:dyDescent="0.2">
      <c r="I106" s="227">
        <v>102</v>
      </c>
      <c r="J106" s="227">
        <f t="shared" si="25"/>
        <v>1.9945124977319069</v>
      </c>
      <c r="K106" s="227">
        <f t="shared" si="48"/>
        <v>98.744405110550744</v>
      </c>
      <c r="L106" s="227">
        <f t="shared" si="38"/>
        <v>620.42939535680125</v>
      </c>
      <c r="M106" s="227">
        <f t="shared" si="26"/>
        <v>6482.8591719602491</v>
      </c>
      <c r="N106" s="227">
        <f>SQRT((ABS(AC106)-171.5+'Small Signal'!C$59)^2)</f>
        <v>78.085895116939497</v>
      </c>
      <c r="O106" s="227">
        <f t="shared" si="39"/>
        <v>75.346498800046064</v>
      </c>
      <c r="P106" s="227">
        <f t="shared" si="40"/>
        <v>43.850666199966639</v>
      </c>
      <c r="Q106" s="227">
        <f t="shared" si="41"/>
        <v>98.744405110550744</v>
      </c>
      <c r="R106" s="227" t="str">
        <f t="shared" si="27"/>
        <v>0.0355+0.000806558213963842i</v>
      </c>
      <c r="S106" s="227" t="str">
        <f t="shared" si="28"/>
        <v>0.018-7.3263042974302i</v>
      </c>
      <c r="T106" s="227" t="str">
        <f t="shared" si="29"/>
        <v>3.62890413731929-3.1632738434635i</v>
      </c>
      <c r="U106" s="227" t="str">
        <f t="shared" si="30"/>
        <v>92.5048742450172-12.1970749890474i</v>
      </c>
      <c r="V106" s="227">
        <f t="shared" si="42"/>
        <v>39.398146918658455</v>
      </c>
      <c r="W106" s="227">
        <f t="shared" si="43"/>
        <v>-7.5113100731523943</v>
      </c>
      <c r="X106" s="227" t="str">
        <f t="shared" si="31"/>
        <v>0.999999930663413-0.000071145975945061i</v>
      </c>
      <c r="Y106" s="227" t="str">
        <f t="shared" si="32"/>
        <v>199.659692093535+58.4533309860046i</v>
      </c>
      <c r="Z106" s="227" t="str">
        <f t="shared" si="33"/>
        <v>36.6334120166758+10.722144103624i</v>
      </c>
      <c r="AA106" s="227" t="str">
        <f t="shared" si="34"/>
        <v>15.6821021980774-6.79083560898946i</v>
      </c>
      <c r="AB106" s="227">
        <f t="shared" si="44"/>
        <v>24.6544795745328</v>
      </c>
      <c r="AC106" s="227">
        <f t="shared" si="45"/>
        <v>-23.414104883060499</v>
      </c>
      <c r="AD106" s="229">
        <f t="shared" si="46"/>
        <v>19.196186625433842</v>
      </c>
      <c r="AE106" s="229">
        <f t="shared" si="47"/>
        <v>98.760603683106567</v>
      </c>
      <c r="AF106" s="227">
        <f t="shared" si="35"/>
        <v>43.850666199966639</v>
      </c>
      <c r="AG106" s="227">
        <f t="shared" si="36"/>
        <v>75.346498800046064</v>
      </c>
      <c r="AH106" s="229" t="str">
        <f t="shared" si="37"/>
        <v>1.38844025234971-9.00975076344706i</v>
      </c>
    </row>
    <row r="107" spans="9:34" x14ac:dyDescent="0.2">
      <c r="I107" s="227">
        <v>103</v>
      </c>
      <c r="J107" s="227">
        <f t="shared" si="25"/>
        <v>2.0042626202586904</v>
      </c>
      <c r="K107" s="227">
        <f t="shared" si="48"/>
        <v>100.98633714038108</v>
      </c>
      <c r="L107" s="227">
        <f t="shared" si="38"/>
        <v>634.51586974632653</v>
      </c>
      <c r="M107" s="227">
        <f t="shared" si="26"/>
        <v>6480.5663382188659</v>
      </c>
      <c r="N107" s="227">
        <f>SQRT((ABS(AC107)-171.5+'Small Signal'!C$59)^2)</f>
        <v>77.612335914557747</v>
      </c>
      <c r="O107" s="227">
        <f t="shared" si="39"/>
        <v>75.027967526707243</v>
      </c>
      <c r="P107" s="227">
        <f t="shared" si="40"/>
        <v>43.62849010857758</v>
      </c>
      <c r="Q107" s="227">
        <f t="shared" si="41"/>
        <v>100.98633714038108</v>
      </c>
      <c r="R107" s="227" t="str">
        <f t="shared" si="27"/>
        <v>0.0355+0.000824870630670224i</v>
      </c>
      <c r="S107" s="227" t="str">
        <f t="shared" si="28"/>
        <v>0.018-7.16365777781377i</v>
      </c>
      <c r="T107" s="227" t="str">
        <f t="shared" si="29"/>
        <v>3.55830800367995-3.17184620934703i</v>
      </c>
      <c r="U107" s="227" t="str">
        <f t="shared" si="30"/>
        <v>92.4450661340362-12.4676826224435i</v>
      </c>
      <c r="V107" s="227">
        <f t="shared" si="42"/>
        <v>39.395957896525097</v>
      </c>
      <c r="W107" s="227">
        <f t="shared" si="43"/>
        <v>-7.6808991028153848</v>
      </c>
      <c r="X107" s="227" t="str">
        <f t="shared" si="31"/>
        <v>0.99999992747918-0.0000727613023231601i</v>
      </c>
      <c r="Y107" s="227" t="str">
        <f t="shared" si="32"/>
        <v>200.028592821308+59.7392704958323i</v>
      </c>
      <c r="Z107" s="227" t="str">
        <f t="shared" si="33"/>
        <v>36.7011306127161+10.9580182820604i</v>
      </c>
      <c r="AA107" s="227" t="str">
        <f t="shared" si="34"/>
        <v>15.5696538259206-6.8955108076106i</v>
      </c>
      <c r="AB107" s="227">
        <f t="shared" si="44"/>
        <v>24.623413705286726</v>
      </c>
      <c r="AC107" s="227">
        <f t="shared" si="45"/>
        <v>-23.88766408544226</v>
      </c>
      <c r="AD107" s="229">
        <f t="shared" si="46"/>
        <v>19.005076403290857</v>
      </c>
      <c r="AE107" s="229">
        <f t="shared" si="47"/>
        <v>98.915631612149497</v>
      </c>
      <c r="AF107" s="227">
        <f t="shared" si="35"/>
        <v>43.62849010857758</v>
      </c>
      <c r="AG107" s="227">
        <f t="shared" si="36"/>
        <v>75.027967526707243</v>
      </c>
      <c r="AH107" s="229" t="str">
        <f t="shared" si="37"/>
        <v>1.38206748334259-8.80997247836069i</v>
      </c>
    </row>
    <row r="108" spans="9:34" x14ac:dyDescent="0.2">
      <c r="I108" s="227">
        <v>104</v>
      </c>
      <c r="J108" s="227">
        <f t="shared" si="25"/>
        <v>2.0140127427854737</v>
      </c>
      <c r="K108" s="227">
        <f t="shared" si="48"/>
        <v>103.27917088176403</v>
      </c>
      <c r="L108" s="227">
        <f t="shared" si="38"/>
        <v>648.92216902198948</v>
      </c>
      <c r="M108" s="227">
        <f t="shared" si="26"/>
        <v>6478.2214470733379</v>
      </c>
      <c r="N108" s="227">
        <f>SQRT((ABS(AC108)-171.5+'Small Signal'!C$59)^2)</f>
        <v>77.131522456307096</v>
      </c>
      <c r="O108" s="227">
        <f t="shared" si="39"/>
        <v>74.706456571247415</v>
      </c>
      <c r="P108" s="227">
        <f t="shared" si="40"/>
        <v>43.405294104448309</v>
      </c>
      <c r="Q108" s="227">
        <f t="shared" si="41"/>
        <v>103.27917088176403</v>
      </c>
      <c r="R108" s="227" t="str">
        <f t="shared" si="27"/>
        <v>0.0355+0.000843598819728586i</v>
      </c>
      <c r="S108" s="227" t="str">
        <f t="shared" si="28"/>
        <v>0.018-7.00462206785928i</v>
      </c>
      <c r="T108" s="227" t="str">
        <f t="shared" si="29"/>
        <v>3.4873640601623-3.17885851976118i</v>
      </c>
      <c r="U108" s="227" t="str">
        <f t="shared" si="30"/>
        <v>92.3825727031525-12.7440004752452i</v>
      </c>
      <c r="V108" s="227">
        <f t="shared" si="42"/>
        <v>39.393669376748456</v>
      </c>
      <c r="W108" s="227">
        <f t="shared" si="43"/>
        <v>-7.8542728863820361</v>
      </c>
      <c r="X108" s="227" t="str">
        <f t="shared" si="31"/>
        <v>0.999999924148714-0.0000744133037102546i</v>
      </c>
      <c r="Y108" s="227" t="str">
        <f t="shared" si="32"/>
        <v>200.414029415929+61.0515788297449i</v>
      </c>
      <c r="Z108" s="227" t="str">
        <f t="shared" si="33"/>
        <v>36.7718846611883+11.1987286959165i</v>
      </c>
      <c r="AA108" s="227" t="str">
        <f t="shared" si="34"/>
        <v>15.453744037681-6.99988004959907i</v>
      </c>
      <c r="AB108" s="227">
        <f t="shared" si="44"/>
        <v>24.591157260963556</v>
      </c>
      <c r="AC108" s="227">
        <f t="shared" si="45"/>
        <v>-24.368477543692915</v>
      </c>
      <c r="AD108" s="229">
        <f t="shared" si="46"/>
        <v>18.814136843484754</v>
      </c>
      <c r="AE108" s="229">
        <f t="shared" si="47"/>
        <v>99.074934114940334</v>
      </c>
      <c r="AF108" s="227">
        <f t="shared" si="35"/>
        <v>43.405294104448309</v>
      </c>
      <c r="AG108" s="227">
        <f t="shared" si="36"/>
        <v>74.706456571247415</v>
      </c>
      <c r="AH108" s="229" t="str">
        <f t="shared" si="37"/>
        <v>1.37597436030488-8.61462600100541i</v>
      </c>
    </row>
    <row r="109" spans="9:34" x14ac:dyDescent="0.2">
      <c r="I109" s="227">
        <v>105</v>
      </c>
      <c r="J109" s="227">
        <f t="shared" si="25"/>
        <v>2.023762865312257</v>
      </c>
      <c r="K109" s="227">
        <f t="shared" si="48"/>
        <v>105.6240620272918</v>
      </c>
      <c r="L109" s="227">
        <f t="shared" si="38"/>
        <v>663.65555461450515</v>
      </c>
      <c r="M109" s="227">
        <f t="shared" si="26"/>
        <v>6475.8233165917718</v>
      </c>
      <c r="N109" s="227">
        <f>SQRT((ABS(AC109)-171.5+'Small Signal'!C$59)^2)</f>
        <v>76.643478529122547</v>
      </c>
      <c r="O109" s="227">
        <f t="shared" si="39"/>
        <v>74.382055166769376</v>
      </c>
      <c r="P109" s="227">
        <f t="shared" si="40"/>
        <v>43.181049582714415</v>
      </c>
      <c r="Q109" s="227">
        <f t="shared" si="41"/>
        <v>105.6240620272918</v>
      </c>
      <c r="R109" s="227" t="str">
        <f t="shared" si="27"/>
        <v>0.0355+0.000862752220998857i</v>
      </c>
      <c r="S109" s="227" t="str">
        <f t="shared" si="28"/>
        <v>0.018-6.84911700632845i</v>
      </c>
      <c r="T109" s="227" t="str">
        <f t="shared" si="29"/>
        <v>3.41614171504029-3.18429331941284i</v>
      </c>
      <c r="U109" s="227" t="str">
        <f t="shared" si="30"/>
        <v>92.3172762938682-13.0261287386702i</v>
      </c>
      <c r="V109" s="227">
        <f t="shared" si="42"/>
        <v>39.391276885796252</v>
      </c>
      <c r="W109" s="227">
        <f t="shared" si="43"/>
        <v>-8.0315128473323352</v>
      </c>
      <c r="X109" s="227" t="str">
        <f t="shared" si="31"/>
        <v>0.999999920665298-0.0000761028127902549i</v>
      </c>
      <c r="Y109" s="227" t="str">
        <f t="shared" si="32"/>
        <v>200.81672382105+62.3906627492739i</v>
      </c>
      <c r="Z109" s="227" t="str">
        <f t="shared" si="33"/>
        <v>36.8458066863884+11.4443499121324i</v>
      </c>
      <c r="AA109" s="227" t="str">
        <f t="shared" si="34"/>
        <v>15.3343327841773-7.10382165564596i</v>
      </c>
      <c r="AB109" s="227">
        <f t="shared" si="44"/>
        <v>24.557673938263878</v>
      </c>
      <c r="AC109" s="227">
        <f t="shared" si="45"/>
        <v>-24.856521470877453</v>
      </c>
      <c r="AD109" s="229">
        <f t="shared" si="46"/>
        <v>18.623375644450537</v>
      </c>
      <c r="AE109" s="229">
        <f t="shared" si="47"/>
        <v>99.23857663764683</v>
      </c>
      <c r="AF109" s="227">
        <f t="shared" si="35"/>
        <v>43.181049582714415</v>
      </c>
      <c r="AG109" s="227">
        <f t="shared" si="36"/>
        <v>74.382055166769376</v>
      </c>
      <c r="AH109" s="229" t="str">
        <f t="shared" si="37"/>
        <v>1.37014861475324-8.42361344202525i</v>
      </c>
    </row>
    <row r="110" spans="9:34" x14ac:dyDescent="0.2">
      <c r="I110" s="227">
        <v>106</v>
      </c>
      <c r="J110" s="227">
        <f t="shared" si="25"/>
        <v>2.0335129878390403</v>
      </c>
      <c r="K110" s="227">
        <f t="shared" si="48"/>
        <v>108.0221925088584</v>
      </c>
      <c r="L110" s="227">
        <f t="shared" si="38"/>
        <v>678.72345282098388</v>
      </c>
      <c r="M110" s="227">
        <f t="shared" si="26"/>
        <v>6473.3707380072228</v>
      </c>
      <c r="N110" s="227">
        <f>SQRT((ABS(AC110)-171.5+'Small Signal'!C$59)^2)</f>
        <v>76.148236422951101</v>
      </c>
      <c r="O110" s="227">
        <f t="shared" si="39"/>
        <v>74.054862244814572</v>
      </c>
      <c r="P110" s="227">
        <f t="shared" si="40"/>
        <v>42.955727860671047</v>
      </c>
      <c r="Q110" s="227">
        <f t="shared" si="41"/>
        <v>108.0221925088584</v>
      </c>
      <c r="R110" s="227" t="str">
        <f t="shared" si="27"/>
        <v>0.0355+0.000882340488667279i</v>
      </c>
      <c r="S110" s="227" t="str">
        <f t="shared" si="28"/>
        <v>0.018-6.69706421159052i</v>
      </c>
      <c r="T110" s="227" t="str">
        <f t="shared" si="29"/>
        <v>3.34471148515104-3.18813701602968i</v>
      </c>
      <c r="U110" s="227" t="str">
        <f t="shared" si="30"/>
        <v>92.2490543623253-13.3141679155601i</v>
      </c>
      <c r="V110" s="227">
        <f t="shared" si="42"/>
        <v>39.388775753538951</v>
      </c>
      <c r="W110" s="227">
        <f t="shared" si="43"/>
        <v>-8.2127019517349087</v>
      </c>
      <c r="X110" s="227" t="str">
        <f t="shared" si="31"/>
        <v>0.999999917021909-0.0000778306811526562i</v>
      </c>
      <c r="Y110" s="227" t="str">
        <f t="shared" si="32"/>
        <v>201.237427709375+63.7569254708771i</v>
      </c>
      <c r="Z110" s="227" t="str">
        <f t="shared" si="33"/>
        <v>36.9230346697305+11.6949558442374i</v>
      </c>
      <c r="AA110" s="227" t="str">
        <f t="shared" si="34"/>
        <v>15.2113848303382-7.20720920515457i</v>
      </c>
      <c r="AB110" s="227">
        <f t="shared" si="44"/>
        <v>24.522927041448806</v>
      </c>
      <c r="AC110" s="227">
        <f t="shared" si="45"/>
        <v>-25.351763577048899</v>
      </c>
      <c r="AD110" s="229">
        <f t="shared" si="46"/>
        <v>18.432800819222244</v>
      </c>
      <c r="AE110" s="229">
        <f t="shared" si="47"/>
        <v>99.406625821863472</v>
      </c>
      <c r="AF110" s="227">
        <f t="shared" si="35"/>
        <v>42.955727860671047</v>
      </c>
      <c r="AG110" s="227">
        <f t="shared" si="36"/>
        <v>74.054862244814572</v>
      </c>
      <c r="AH110" s="229" t="str">
        <f t="shared" si="37"/>
        <v>1.3645785158164-8.2368390591871i</v>
      </c>
    </row>
    <row r="111" spans="9:34" x14ac:dyDescent="0.2">
      <c r="I111" s="227">
        <v>107</v>
      </c>
      <c r="J111" s="227">
        <f t="shared" si="25"/>
        <v>2.0432631103658236</v>
      </c>
      <c r="K111" s="227">
        <f t="shared" si="48"/>
        <v>110.4747710934067</v>
      </c>
      <c r="L111" s="227">
        <f t="shared" si="38"/>
        <v>694.1334585481211</v>
      </c>
      <c r="M111" s="227">
        <f t="shared" si="26"/>
        <v>6470.8624751084271</v>
      </c>
      <c r="N111" s="227">
        <f>SQRT((ABS(AC111)-171.5+'Small Signal'!C$59)^2)</f>
        <v>75.645837251208434</v>
      </c>
      <c r="O111" s="227">
        <f t="shared" si="39"/>
        <v>73.724986725620496</v>
      </c>
      <c r="P111" s="227">
        <f t="shared" si="40"/>
        <v>42.729300242238892</v>
      </c>
      <c r="Q111" s="227">
        <f t="shared" si="41"/>
        <v>110.4747710934067</v>
      </c>
      <c r="R111" s="227" t="str">
        <f t="shared" si="27"/>
        <v>0.0355+0.000902373496112557i</v>
      </c>
      <c r="S111" s="227" t="str">
        <f t="shared" si="28"/>
        <v>0.018-6.54838704211435i</v>
      </c>
      <c r="T111" s="227" t="str">
        <f t="shared" si="29"/>
        <v>3.27314471936376-3.19037996296123i</v>
      </c>
      <c r="U111" s="227" t="str">
        <f t="shared" si="30"/>
        <v>92.1777793016365-13.608218700959i</v>
      </c>
      <c r="V111" s="227">
        <f t="shared" si="42"/>
        <v>39.386161105029757</v>
      </c>
      <c r="W111" s="227">
        <f t="shared" si="43"/>
        <v>-8.3979247228686251</v>
      </c>
      <c r="X111" s="227" t="str">
        <f t="shared" si="31"/>
        <v>0.9999999132112-0.0000795977797217781i</v>
      </c>
      <c r="Y111" s="227" t="str">
        <f t="shared" si="32"/>
        <v>201.676923539238+65.1507657632808i</v>
      </c>
      <c r="Z111" s="227" t="str">
        <f t="shared" si="33"/>
        <v>37.0037122436809+11.9506195865685i</v>
      </c>
      <c r="AA111" s="227" t="str">
        <f t="shared" si="34"/>
        <v>15.0848701620622-7.30991168728477i</v>
      </c>
      <c r="AB111" s="227">
        <f t="shared" si="44"/>
        <v>24.486879534691898</v>
      </c>
      <c r="AC111" s="227">
        <f t="shared" si="45"/>
        <v>-25.85416274879158</v>
      </c>
      <c r="AD111" s="229">
        <f t="shared" si="46"/>
        <v>18.242420707546991</v>
      </c>
      <c r="AE111" s="229">
        <f t="shared" si="47"/>
        <v>99.579149474412077</v>
      </c>
      <c r="AF111" s="227">
        <f t="shared" si="35"/>
        <v>42.729300242238892</v>
      </c>
      <c r="AG111" s="227">
        <f t="shared" si="36"/>
        <v>73.724986725620496</v>
      </c>
      <c r="AH111" s="229" t="str">
        <f t="shared" si="37"/>
        <v>1.35925284671256-8.05420921155321i</v>
      </c>
    </row>
    <row r="112" spans="9:34" x14ac:dyDescent="0.2">
      <c r="I112" s="227">
        <v>108</v>
      </c>
      <c r="J112" s="227">
        <f t="shared" si="25"/>
        <v>2.0530132328926074</v>
      </c>
      <c r="K112" s="227">
        <f t="shared" si="48"/>
        <v>112.98303399220288</v>
      </c>
      <c r="L112" s="227">
        <f t="shared" si="38"/>
        <v>709.89333914038082</v>
      </c>
      <c r="M112" s="227">
        <f t="shared" si="26"/>
        <v>6468.2972636166878</v>
      </c>
      <c r="N112" s="227">
        <f>SQRT((ABS(AC112)-171.5+'Small Signal'!C$59)^2)</f>
        <v>75.136331259669987</v>
      </c>
      <c r="O112" s="227">
        <f t="shared" si="39"/>
        <v>73.392547793525338</v>
      </c>
      <c r="P112" s="227">
        <f t="shared" si="40"/>
        <v>42.501738086993655</v>
      </c>
      <c r="Q112" s="227">
        <f t="shared" si="41"/>
        <v>112.98303399220288</v>
      </c>
      <c r="R112" s="227" t="str">
        <f t="shared" si="27"/>
        <v>0.0355+0.000922861340882495i</v>
      </c>
      <c r="S112" s="227" t="str">
        <f t="shared" si="28"/>
        <v>0.018-6.40301055783773i</v>
      </c>
      <c r="T112" s="227" t="str">
        <f t="shared" si="29"/>
        <v>3.20151331499622-3.19101651810263i</v>
      </c>
      <c r="U112" s="227" t="str">
        <f t="shared" si="30"/>
        <v>92.1033182601689-13.9083818523379i</v>
      </c>
      <c r="V112" s="227">
        <f t="shared" si="42"/>
        <v>39.383427851980301</v>
      </c>
      <c r="W112" s="227">
        <f t="shared" si="43"/>
        <v>-8.5872672548605777</v>
      </c>
      <c r="X112" s="227" t="str">
        <f t="shared" si="31"/>
        <v>0.999999909225486-0.0000814049991957508i</v>
      </c>
      <c r="Y112" s="227" t="str">
        <f t="shared" si="32"/>
        <v>202.136025632548+66.5725769748176i</v>
      </c>
      <c r="Z112" s="227" t="str">
        <f t="shared" si="33"/>
        <v>37.0879888896142+12.211413235637i</v>
      </c>
      <c r="AA112" s="227" t="str">
        <f t="shared" si="34"/>
        <v>14.9547643953148-7.41179368593254i</v>
      </c>
      <c r="AB112" s="227">
        <f t="shared" si="44"/>
        <v>24.449494098689463</v>
      </c>
      <c r="AC112" s="227">
        <f t="shared" si="45"/>
        <v>-26.363668740330002</v>
      </c>
      <c r="AD112" s="229">
        <f t="shared" si="46"/>
        <v>18.052243988304191</v>
      </c>
      <c r="AE112" s="229">
        <f t="shared" si="47"/>
        <v>99.756216533855337</v>
      </c>
      <c r="AF112" s="227">
        <f t="shared" si="35"/>
        <v>42.501738086993655</v>
      </c>
      <c r="AG112" s="227">
        <f t="shared" si="36"/>
        <v>73.392547793525338</v>
      </c>
      <c r="AH112" s="229" t="str">
        <f t="shared" si="37"/>
        <v>1.3541608822521-7.87563231455464i</v>
      </c>
    </row>
    <row r="113" spans="9:34" x14ac:dyDescent="0.2">
      <c r="I113" s="227">
        <v>109</v>
      </c>
      <c r="J113" s="227">
        <f t="shared" si="25"/>
        <v>2.0627633554193903</v>
      </c>
      <c r="K113" s="227">
        <f t="shared" si="48"/>
        <v>115.54824548394181</v>
      </c>
      <c r="L113" s="227">
        <f t="shared" si="38"/>
        <v>726.01103829508315</v>
      </c>
      <c r="M113" s="227">
        <f t="shared" si="26"/>
        <v>6465.6738105486265</v>
      </c>
      <c r="N113" s="227">
        <f>SQRT((ABS(AC113)-171.5+'Small Signal'!C$59)^2)</f>
        <v>74.619778121411969</v>
      </c>
      <c r="O113" s="227">
        <f t="shared" si="39"/>
        <v>73.057675154913184</v>
      </c>
      <c r="P113" s="227">
        <f t="shared" si="40"/>
        <v>42.273012883763798</v>
      </c>
      <c r="Q113" s="227">
        <f t="shared" si="41"/>
        <v>115.54824548394181</v>
      </c>
      <c r="R113" s="227" t="str">
        <f t="shared" si="27"/>
        <v>0.0355+0.000943814349783608i</v>
      </c>
      <c r="S113" s="227" t="str">
        <f t="shared" si="28"/>
        <v>0.018-6.26086148239399i</v>
      </c>
      <c r="T113" s="227" t="str">
        <f t="shared" si="29"/>
        <v>3.12988942955949-3.19004507847311i</v>
      </c>
      <c r="U113" s="227" t="str">
        <f t="shared" si="30"/>
        <v>92.0255329559417-14.2147580488311i</v>
      </c>
      <c r="V113" s="227">
        <f t="shared" si="42"/>
        <v>39.380570683924304</v>
      </c>
      <c r="W113" s="227">
        <f t="shared" si="43"/>
        <v>-8.7808172252405114</v>
      </c>
      <c r="X113" s="227" t="str">
        <f t="shared" si="31"/>
        <v>0.999999905056732-0.0000832532504954668i</v>
      </c>
      <c r="Y113" s="227" t="str">
        <f t="shared" si="32"/>
        <v>202.615581272803+68.0227459865919i</v>
      </c>
      <c r="Z113" s="227" t="str">
        <f t="shared" si="33"/>
        <v>37.1760201393501+12.4774076978741i</v>
      </c>
      <c r="AA113" s="227" t="str">
        <f t="shared" si="34"/>
        <v>14.8210491846953-7.51271560007999i</v>
      </c>
      <c r="AB113" s="227">
        <f t="shared" si="44"/>
        <v>24.410733191537926</v>
      </c>
      <c r="AC113" s="227">
        <f t="shared" si="45"/>
        <v>-26.880221878588021</v>
      </c>
      <c r="AD113" s="229">
        <f t="shared" si="46"/>
        <v>17.862279692225872</v>
      </c>
      <c r="AE113" s="229">
        <f t="shared" si="47"/>
        <v>99.937897033501201</v>
      </c>
      <c r="AF113" s="227">
        <f t="shared" si="35"/>
        <v>42.273012883763798</v>
      </c>
      <c r="AG113" s="227">
        <f t="shared" si="36"/>
        <v>73.057675154913184</v>
      </c>
      <c r="AH113" s="229" t="str">
        <f t="shared" si="37"/>
        <v>1.34929236732127-7.70101879595375i</v>
      </c>
    </row>
    <row r="114" spans="9:34" x14ac:dyDescent="0.2">
      <c r="I114" s="227">
        <v>110</v>
      </c>
      <c r="J114" s="227">
        <f t="shared" si="25"/>
        <v>2.072513477946174</v>
      </c>
      <c r="K114" s="227">
        <f t="shared" si="48"/>
        <v>118.17169855200297</v>
      </c>
      <c r="L114" s="227">
        <f t="shared" si="38"/>
        <v>742.49468006640018</v>
      </c>
      <c r="M114" s="227">
        <f t="shared" si="26"/>
        <v>6462.9907935644587</v>
      </c>
      <c r="N114" s="227">
        <f>SQRT((ABS(AC114)-171.5+'Small Signal'!C$59)^2)</f>
        <v>74.096247215319778</v>
      </c>
      <c r="O114" s="227">
        <f t="shared" si="39"/>
        <v>72.720509275985847</v>
      </c>
      <c r="P114" s="227">
        <f t="shared" si="40"/>
        <v>42.043096328769735</v>
      </c>
      <c r="Q114" s="227">
        <f t="shared" si="41"/>
        <v>118.17169855200297</v>
      </c>
      <c r="R114" s="227" t="str">
        <f t="shared" si="27"/>
        <v>0.0355+0.00096524308408632i</v>
      </c>
      <c r="S114" s="227" t="str">
        <f t="shared" si="28"/>
        <v>0.018-6.12186816617737i</v>
      </c>
      <c r="T114" s="227" t="str">
        <f t="shared" si="29"/>
        <v>3.05834519028016-3.18746809005569i</v>
      </c>
      <c r="U114" s="227" t="str">
        <f t="shared" si="30"/>
        <v>91.9442794873306-14.527447738815i</v>
      </c>
      <c r="V114" s="227">
        <f t="shared" si="42"/>
        <v>39.377584059061348</v>
      </c>
      <c r="W114" s="227">
        <f t="shared" si="43"/>
        <v>-8.97866390630079</v>
      </c>
      <c r="X114" s="227" t="str">
        <f t="shared" si="31"/>
        <v>0.999999900696531-0.0000851434652237272i</v>
      </c>
      <c r="Y114" s="227" t="str">
        <f t="shared" si="32"/>
        <v>203.116471821568+69.5016520871266i</v>
      </c>
      <c r="Z114" s="227" t="str">
        <f t="shared" si="33"/>
        <v>37.2679677800784+12.7486724829617i</v>
      </c>
      <c r="AA114" s="227" t="str">
        <f t="shared" si="34"/>
        <v>14.6837126284548-7.61253390074399i</v>
      </c>
      <c r="AB114" s="227">
        <f t="shared" si="44"/>
        <v>24.370559113858615</v>
      </c>
      <c r="AC114" s="227">
        <f t="shared" si="45"/>
        <v>-27.403752784680215</v>
      </c>
      <c r="AD114" s="229">
        <f t="shared" si="46"/>
        <v>17.672537214911124</v>
      </c>
      <c r="AE114" s="229">
        <f t="shared" si="47"/>
        <v>100.12426206066606</v>
      </c>
      <c r="AF114" s="227">
        <f t="shared" si="35"/>
        <v>42.043096328769735</v>
      </c>
      <c r="AG114" s="227">
        <f t="shared" si="36"/>
        <v>72.720509275985847</v>
      </c>
      <c r="AH114" s="229" t="str">
        <f t="shared" si="37"/>
        <v>1.34463749630418-7.53028105268254i</v>
      </c>
    </row>
    <row r="115" spans="9:34" x14ac:dyDescent="0.2">
      <c r="I115" s="227">
        <v>111</v>
      </c>
      <c r="J115" s="227">
        <f t="shared" si="25"/>
        <v>2.0822636004729578</v>
      </c>
      <c r="K115" s="227">
        <f t="shared" si="48"/>
        <v>120.85471553617126</v>
      </c>
      <c r="L115" s="227">
        <f t="shared" si="38"/>
        <v>759.35257296023974</v>
      </c>
      <c r="M115" s="227">
        <f t="shared" si="26"/>
        <v>6460.2468603014731</v>
      </c>
      <c r="N115" s="227">
        <f>SQRT((ABS(AC115)-171.5+'Small Signal'!C$59)^2)</f>
        <v>73.565817885616354</v>
      </c>
      <c r="O115" s="227">
        <f t="shared" si="39"/>
        <v>72.381201597572442</v>
      </c>
      <c r="P115" s="227">
        <f t="shared" si="40"/>
        <v>41.811960408241724</v>
      </c>
      <c r="Q115" s="227">
        <f t="shared" si="41"/>
        <v>120.85471553617126</v>
      </c>
      <c r="R115" s="227" t="str">
        <f t="shared" si="27"/>
        <v>0.0355+0.000987158344848312i</v>
      </c>
      <c r="S115" s="227" t="str">
        <f t="shared" si="28"/>
        <v>0.018-5.98596055022855i</v>
      </c>
      <c r="T115" s="227" t="str">
        <f t="shared" si="29"/>
        <v>2.98695240388148-3.18329203278558i</v>
      </c>
      <c r="U115" s="227" t="str">
        <f t="shared" si="30"/>
        <v>91.8594081403146-14.846550975139i</v>
      </c>
      <c r="V115" s="227">
        <f t="shared" si="42"/>
        <v>39.374462194773827</v>
      </c>
      <c r="W115" s="227">
        <f t="shared" si="43"/>
        <v>-9.180898175148652</v>
      </c>
      <c r="X115" s="227" t="str">
        <f t="shared" si="31"/>
        <v>0.999999896136091-0.0000870765961348114i</v>
      </c>
      <c r="Y115" s="227" t="str">
        <f t="shared" si="32"/>
        <v>203.639613851627+71.0096657639487i</v>
      </c>
      <c r="Z115" s="227" t="str">
        <f t="shared" si="33"/>
        <v>37.3640000623417+13.0252754819105i</v>
      </c>
      <c r="AA115" s="227" t="str">
        <f t="shared" si="34"/>
        <v>14.5427496667028-7.71110142549973i</v>
      </c>
      <c r="AB115" s="227">
        <f t="shared" si="44"/>
        <v>24.32893407811455</v>
      </c>
      <c r="AC115" s="227">
        <f t="shared" si="45"/>
        <v>-27.934182114383646</v>
      </c>
      <c r="AD115" s="229">
        <f t="shared" si="46"/>
        <v>17.483026330127174</v>
      </c>
      <c r="AE115" s="229">
        <f t="shared" si="47"/>
        <v>100.31538371195609</v>
      </c>
      <c r="AF115" s="227">
        <f t="shared" si="35"/>
        <v>41.811960408241724</v>
      </c>
      <c r="AG115" s="227">
        <f t="shared" si="36"/>
        <v>72.381201597572442</v>
      </c>
      <c r="AH115" s="229" t="str">
        <f t="shared" si="37"/>
        <v>1.34018689340261-7.36333340854456i</v>
      </c>
    </row>
    <row r="116" spans="9:34" x14ac:dyDescent="0.2">
      <c r="I116" s="227">
        <v>112</v>
      </c>
      <c r="J116" s="227">
        <f t="shared" si="25"/>
        <v>2.0920137229997406</v>
      </c>
      <c r="K116" s="227">
        <f t="shared" si="48"/>
        <v>123.59864879915676</v>
      </c>
      <c r="L116" s="227">
        <f t="shared" si="38"/>
        <v>776.59321412211159</v>
      </c>
      <c r="M116" s="227">
        <f t="shared" si="26"/>
        <v>6457.440627692381</v>
      </c>
      <c r="N116" s="227">
        <f>SQRT((ABS(AC116)-171.5+'Small Signal'!C$59)^2)</f>
        <v>73.028579679792301</v>
      </c>
      <c r="O116" s="227">
        <f t="shared" si="39"/>
        <v>72.039914724108797</v>
      </c>
      <c r="P116" s="227">
        <f t="shared" si="40"/>
        <v>41.579577485418916</v>
      </c>
      <c r="Q116" s="227">
        <f t="shared" si="41"/>
        <v>123.59864879915676</v>
      </c>
      <c r="R116" s="227" t="str">
        <f t="shared" si="27"/>
        <v>0.0355+0.00100957117835874i</v>
      </c>
      <c r="S116" s="227" t="str">
        <f t="shared" si="28"/>
        <v>0.018-5.8530701309216i</v>
      </c>
      <c r="T116" s="227" t="str">
        <f t="shared" si="29"/>
        <v>2.91578226910104-3.17752738085885i</v>
      </c>
      <c r="U116" s="227" t="str">
        <f t="shared" si="30"/>
        <v>91.7707631925467-15.1721672372872i</v>
      </c>
      <c r="V116" s="227">
        <f t="shared" si="42"/>
        <v>39.371199057810585</v>
      </c>
      <c r="W116" s="227">
        <f t="shared" si="43"/>
        <v>-9.3876125223283129</v>
      </c>
      <c r="X116" s="227" t="str">
        <f t="shared" si="31"/>
        <v>0.999999891366215-0.0000890536176147085i</v>
      </c>
      <c r="Y116" s="227" t="str">
        <f t="shared" si="32"/>
        <v>204.185960294681+72.5471474074259i</v>
      </c>
      <c r="Z116" s="227" t="str">
        <f t="shared" si="33"/>
        <v>37.4642919106867+13.3072827290281i</v>
      </c>
      <c r="AA116" s="227" t="str">
        <f t="shared" si="34"/>
        <v>14.39816246932-7.80826771127656i</v>
      </c>
      <c r="AB116" s="227">
        <f t="shared" si="44"/>
        <v>24.285820282032265</v>
      </c>
      <c r="AC116" s="227">
        <f t="shared" si="45"/>
        <v>-28.471420320207702</v>
      </c>
      <c r="AD116" s="229">
        <f t="shared" si="46"/>
        <v>17.293757203386651</v>
      </c>
      <c r="AE116" s="229">
        <f t="shared" si="47"/>
        <v>100.5113350443165</v>
      </c>
      <c r="AF116" s="227">
        <f t="shared" si="35"/>
        <v>41.579577485418916</v>
      </c>
      <c r="AG116" s="227">
        <f t="shared" si="36"/>
        <v>72.039914724108797</v>
      </c>
      <c r="AH116" s="229" t="str">
        <f t="shared" si="37"/>
        <v>1.33593159381457-7.20009207276721i</v>
      </c>
    </row>
    <row r="117" spans="9:34" x14ac:dyDescent="0.2">
      <c r="I117" s="227">
        <v>113</v>
      </c>
      <c r="J117" s="227">
        <f t="shared" si="25"/>
        <v>2.1017638455265244</v>
      </c>
      <c r="K117" s="227">
        <f t="shared" si="48"/>
        <v>126.40488140824849</v>
      </c>
      <c r="L117" s="227">
        <f t="shared" si="38"/>
        <v>794.22529362008493</v>
      </c>
      <c r="M117" s="227">
        <f t="shared" si="26"/>
        <v>6454.5706812681892</v>
      </c>
      <c r="N117" s="227">
        <f>SQRT((ABS(AC117)-171.5+'Small Signal'!C$59)^2)</f>
        <v>72.484632562298401</v>
      </c>
      <c r="O117" s="227">
        <f t="shared" si="39"/>
        <v>71.696822583887752</v>
      </c>
      <c r="P117" s="227">
        <f t="shared" si="40"/>
        <v>41.34592039178807</v>
      </c>
      <c r="Q117" s="227">
        <f t="shared" si="41"/>
        <v>126.40488140824849</v>
      </c>
      <c r="R117" s="227" t="str">
        <f t="shared" si="27"/>
        <v>0.0355+0.00103249288170611i</v>
      </c>
      <c r="S117" s="227" t="str">
        <f t="shared" si="28"/>
        <v>0.018-5.72312992543504i</v>
      </c>
      <c r="T117" s="227" t="str">
        <f t="shared" si="29"/>
        <v>2.84490509438288-3.17018853881256i</v>
      </c>
      <c r="U117" s="227" t="str">
        <f t="shared" si="30"/>
        <v>91.6781827145663-15.5043952397181i</v>
      </c>
      <c r="V117" s="227">
        <f t="shared" si="42"/>
        <v>39.367788354130141</v>
      </c>
      <c r="W117" s="227">
        <f t="shared" si="43"/>
        <v>-9.5989010588820047</v>
      </c>
      <c r="X117" s="227" t="str">
        <f t="shared" si="31"/>
        <v>0.999999886377287-0.0000910755261722532i</v>
      </c>
      <c r="Y117" s="227" t="str">
        <f t="shared" si="32"/>
        <v>204.756501601185+74.1144459219357i</v>
      </c>
      <c r="Z117" s="227" t="str">
        <f t="shared" si="33"/>
        <v>37.5690251365403+13.5947581468721i</v>
      </c>
      <c r="AA117" s="227" t="str">
        <f t="shared" si="34"/>
        <v>14.2499608098883-7.90387936579389i</v>
      </c>
      <c r="AB117" s="227">
        <f t="shared" si="44"/>
        <v>24.241179985999679</v>
      </c>
      <c r="AC117" s="227">
        <f t="shared" si="45"/>
        <v>-29.015367437701595</v>
      </c>
      <c r="AD117" s="229">
        <f t="shared" si="46"/>
        <v>17.104740405788391</v>
      </c>
      <c r="AE117" s="229">
        <f t="shared" si="47"/>
        <v>100.71219002158935</v>
      </c>
      <c r="AF117" s="227">
        <f t="shared" si="35"/>
        <v>41.34592039178807</v>
      </c>
      <c r="AG117" s="227">
        <f t="shared" si="36"/>
        <v>71.696822583887752</v>
      </c>
      <c r="AH117" s="229" t="str">
        <f t="shared" si="37"/>
        <v>1.3318630257344-7.04047509939124i</v>
      </c>
    </row>
    <row r="118" spans="9:34" x14ac:dyDescent="0.2">
      <c r="I118" s="227">
        <v>114</v>
      </c>
      <c r="J118" s="227">
        <f t="shared" si="25"/>
        <v>2.1115139680533073</v>
      </c>
      <c r="K118" s="227">
        <f t="shared" si="48"/>
        <v>129.27482783244093</v>
      </c>
      <c r="L118" s="227">
        <f t="shared" si="38"/>
        <v>812.25769882496354</v>
      </c>
      <c r="M118" s="227">
        <f t="shared" si="26"/>
        <v>6451.6355744452367</v>
      </c>
      <c r="N118" s="227">
        <f>SQRT((ABS(AC118)-171.5+'Small Signal'!C$59)^2)</f>
        <v>71.934087101331187</v>
      </c>
      <c r="O118" s="227">
        <f t="shared" si="39"/>
        <v>71.352110557642447</v>
      </c>
      <c r="P118" s="227">
        <f t="shared" si="40"/>
        <v>41.110962522385044</v>
      </c>
      <c r="Q118" s="227">
        <f t="shared" si="41"/>
        <v>129.27482783244093</v>
      </c>
      <c r="R118" s="227" t="str">
        <f t="shared" si="27"/>
        <v>0.0355+0.00105593500847245i</v>
      </c>
      <c r="S118" s="227" t="str">
        <f t="shared" si="28"/>
        <v>0.018-5.59607443798949i</v>
      </c>
      <c r="T118" s="227" t="str">
        <f t="shared" si="29"/>
        <v>2.77439002310623-3.16129375410017i</v>
      </c>
      <c r="U118" s="227" t="str">
        <f t="shared" si="30"/>
        <v>91.5814983685355-15.8433327256111i</v>
      </c>
      <c r="V118" s="227">
        <f t="shared" si="42"/>
        <v>39.364223518398461</v>
      </c>
      <c r="W118" s="227">
        <f t="shared" si="43"/>
        <v>-9.8148595217155652</v>
      </c>
      <c r="X118" s="227" t="str">
        <f t="shared" si="31"/>
        <v>0.999999881159245-0.0000931433409414101i</v>
      </c>
      <c r="Y118" s="227" t="str">
        <f t="shared" si="32"/>
        <v>205.352266909523+75.7118972393357i</v>
      </c>
      <c r="Z118" s="227" t="str">
        <f t="shared" si="33"/>
        <v>37.6783886527968+13.8877632732641i</v>
      </c>
      <c r="AA118" s="227" t="str">
        <f t="shared" si="34"/>
        <v>14.0981624217828-7.99778047765554i</v>
      </c>
      <c r="AB118" s="227">
        <f t="shared" si="44"/>
        <v>24.194975594277377</v>
      </c>
      <c r="AC118" s="227">
        <f t="shared" si="45"/>
        <v>-29.56591289866881</v>
      </c>
      <c r="AD118" s="229">
        <f t="shared" si="46"/>
        <v>16.915986928107667</v>
      </c>
      <c r="AE118" s="229">
        <f t="shared" si="47"/>
        <v>100.91802345631126</v>
      </c>
      <c r="AF118" s="227">
        <f t="shared" si="35"/>
        <v>41.110962522385044</v>
      </c>
      <c r="AG118" s="227">
        <f t="shared" si="36"/>
        <v>71.352110557642447</v>
      </c>
      <c r="AH118" s="229" t="str">
        <f t="shared" si="37"/>
        <v>1.32797299313867-6.88440234748484i</v>
      </c>
    </row>
    <row r="119" spans="9:34" x14ac:dyDescent="0.2">
      <c r="I119" s="227">
        <v>115</v>
      </c>
      <c r="J119" s="227">
        <f t="shared" si="25"/>
        <v>2.121264090580091</v>
      </c>
      <c r="K119" s="227">
        <f t="shared" si="48"/>
        <v>132.20993465539331</v>
      </c>
      <c r="L119" s="227">
        <f t="shared" si="38"/>
        <v>830.69951888994046</v>
      </c>
      <c r="M119" s="227">
        <f t="shared" si="26"/>
        <v>6448.6338277960585</v>
      </c>
      <c r="N119" s="227">
        <f>SQRT((ABS(AC119)-171.5+'Small Signal'!C$59)^2)</f>
        <v>71.377064626065021</v>
      </c>
      <c r="O119" s="227">
        <f t="shared" si="39"/>
        <v>71.005975572540351</v>
      </c>
      <c r="P119" s="227">
        <f t="shared" si="40"/>
        <v>40.874677934930936</v>
      </c>
      <c r="Q119" s="227">
        <f t="shared" si="41"/>
        <v>132.20993465539331</v>
      </c>
      <c r="R119" s="227" t="str">
        <f t="shared" si="27"/>
        <v>0.0355+0.00107990937455692i</v>
      </c>
      <c r="S119" s="227" t="str">
        <f t="shared" si="28"/>
        <v>0.018-5.47183962683476i</v>
      </c>
      <c r="T119" s="227" t="str">
        <f t="shared" si="29"/>
        <v>2.70430476860425-3.15086500714483i</v>
      </c>
      <c r="U119" s="227" t="str">
        <f t="shared" si="30"/>
        <v>91.4805352049104-16.1890762452064i</v>
      </c>
      <c r="V119" s="227">
        <f t="shared" si="42"/>
        <v>39.360497703133866</v>
      </c>
      <c r="W119" s="227">
        <f t="shared" si="43"/>
        <v>-10.035585277119582</v>
      </c>
      <c r="X119" s="227" t="str">
        <f t="shared" si="31"/>
        <v>0.999999875701569-0.0000952581041949652i</v>
      </c>
      <c r="Y119" s="227" t="str">
        <f t="shared" si="32"/>
        <v>205.974325221367+77.3398227294817i</v>
      </c>
      <c r="Z119" s="227" t="str">
        <f t="shared" si="33"/>
        <v>37.7925786895382+14.1863569694027i</v>
      </c>
      <c r="AA119" s="227" t="str">
        <f t="shared" si="34"/>
        <v>13.9427933324227-8.08981306472036i</v>
      </c>
      <c r="AB119" s="227">
        <f t="shared" si="44"/>
        <v>24.147169739813378</v>
      </c>
      <c r="AC119" s="227">
        <f t="shared" si="45"/>
        <v>-30.122935373934965</v>
      </c>
      <c r="AD119" s="229">
        <f t="shared" si="46"/>
        <v>16.727508195117558</v>
      </c>
      <c r="AE119" s="229">
        <f t="shared" si="47"/>
        <v>101.12891094647532</v>
      </c>
      <c r="AF119" s="227">
        <f t="shared" si="35"/>
        <v>40.874677934930936</v>
      </c>
      <c r="AG119" s="227">
        <f t="shared" si="36"/>
        <v>71.005975572540351</v>
      </c>
      <c r="AH119" s="229" t="str">
        <f t="shared" si="37"/>
        <v>1.32425365932382-6.73179544216844i</v>
      </c>
    </row>
    <row r="120" spans="9:34" x14ac:dyDescent="0.2">
      <c r="I120" s="227">
        <v>116</v>
      </c>
      <c r="J120" s="227">
        <f t="shared" si="25"/>
        <v>2.1310142131068743</v>
      </c>
      <c r="K120" s="227">
        <f t="shared" si="48"/>
        <v>135.21168130457164</v>
      </c>
      <c r="L120" s="227">
        <f t="shared" si="38"/>
        <v>849.56004933193333</v>
      </c>
      <c r="M120" s="227">
        <f t="shared" si="26"/>
        <v>6445.5639283036817</v>
      </c>
      <c r="N120" s="227">
        <f>SQRT((ABS(AC120)-171.5+'Small Signal'!C$59)^2)</f>
        <v>70.813697351724585</v>
      </c>
      <c r="O120" s="227">
        <f t="shared" si="39"/>
        <v>70.658626158696023</v>
      </c>
      <c r="P120" s="227">
        <f t="shared" si="40"/>
        <v>40.637041452536842</v>
      </c>
      <c r="Q120" s="227">
        <f t="shared" si="41"/>
        <v>135.21168130457164</v>
      </c>
      <c r="R120" s="227" t="str">
        <f t="shared" si="27"/>
        <v>0.0355+0.00110442806413151i</v>
      </c>
      <c r="S120" s="227" t="str">
        <f t="shared" si="28"/>
        <v>0.018-5.35036287196997i</v>
      </c>
      <c r="T120" s="227" t="str">
        <f t="shared" si="29"/>
        <v>2.63471536108575-3.13892788009437i</v>
      </c>
      <c r="U120" s="227" t="str">
        <f t="shared" si="30"/>
        <v>91.3751114575611-16.5417209179179i</v>
      </c>
      <c r="V120" s="227">
        <f t="shared" si="42"/>
        <v>39.356603767496743</v>
      </c>
      <c r="W120" s="227">
        <f t="shared" si="43"/>
        <v>-10.261177322295872</v>
      </c>
      <c r="X120" s="227" t="str">
        <f t="shared" si="31"/>
        <v>0.999999869993253-0.0000974208818698777i</v>
      </c>
      <c r="Y120" s="227" t="str">
        <f t="shared" si="32"/>
        <v>206.623786579697+78.9985275024198i</v>
      </c>
      <c r="Z120" s="227" t="str">
        <f t="shared" si="33"/>
        <v>37.9117990102376+14.4905951080854i</v>
      </c>
      <c r="AA120" s="227" t="str">
        <f t="shared" si="34"/>
        <v>13.7838881715883-8.1798175599483i</v>
      </c>
      <c r="AB120" s="227">
        <f t="shared" si="44"/>
        <v>24.097725372415052</v>
      </c>
      <c r="AC120" s="227">
        <f t="shared" si="45"/>
        <v>-30.686302648275408</v>
      </c>
      <c r="AD120" s="229">
        <f t="shared" si="46"/>
        <v>16.53931608012179</v>
      </c>
      <c r="AE120" s="229">
        <f t="shared" si="47"/>
        <v>101.34492880697144</v>
      </c>
      <c r="AF120" s="227">
        <f t="shared" si="35"/>
        <v>40.637041452536842</v>
      </c>
      <c r="AG120" s="227">
        <f t="shared" si="36"/>
        <v>70.658626158696023</v>
      </c>
      <c r="AH120" s="229" t="str">
        <f t="shared" si="37"/>
        <v>1.32069753116279-6.58257773643756i</v>
      </c>
    </row>
    <row r="121" spans="9:34" x14ac:dyDescent="0.2">
      <c r="I121" s="227">
        <v>117</v>
      </c>
      <c r="J121" s="227">
        <f t="shared" si="25"/>
        <v>2.1407643356336576</v>
      </c>
      <c r="K121" s="227">
        <f t="shared" si="48"/>
        <v>138.28158079694836</v>
      </c>
      <c r="L121" s="227">
        <f t="shared" si="38"/>
        <v>868.84879671695273</v>
      </c>
      <c r="M121" s="227">
        <f t="shared" si="26"/>
        <v>6442.4243285989978</v>
      </c>
      <c r="N121" s="227">
        <f>SQRT((ABS(AC121)-171.5+'Small Signal'!C$59)^2)</f>
        <v>70.244128469955598</v>
      </c>
      <c r="O121" s="227">
        <f t="shared" si="39"/>
        <v>70.310282465369482</v>
      </c>
      <c r="P121" s="227">
        <f t="shared" si="40"/>
        <v>40.398028769659959</v>
      </c>
      <c r="Q121" s="227">
        <f t="shared" si="41"/>
        <v>138.28158079694836</v>
      </c>
      <c r="R121" s="227" t="str">
        <f t="shared" si="27"/>
        <v>0.0355+0.00112950343573204i</v>
      </c>
      <c r="S121" s="227" t="str">
        <f t="shared" si="28"/>
        <v>0.018-5.23158294358014i</v>
      </c>
      <c r="T121" s="227" t="str">
        <f t="shared" si="29"/>
        <v>2.56568590840424-3.12551140572162i</v>
      </c>
      <c r="U121" s="227" t="str">
        <f t="shared" si="30"/>
        <v>91.2650383378661-16.9013601773569i</v>
      </c>
      <c r="V121" s="227">
        <f t="shared" si="42"/>
        <v>39.352534265717004</v>
      </c>
      <c r="W121" s="227">
        <f t="shared" si="43"/>
        <v>-10.491736284725572</v>
      </c>
      <c r="X121" s="227" t="str">
        <f t="shared" si="31"/>
        <v>0.999999864022787-0.0000996327641045609i</v>
      </c>
      <c r="Y121" s="227" t="str">
        <f t="shared" si="32"/>
        <v>207.301803245431+80.6882985967028i</v>
      </c>
      <c r="Z121" s="227" t="str">
        <f t="shared" si="33"/>
        <v>38.0362611277053+14.8005302410237i</v>
      </c>
      <c r="AA121" s="227" t="str">
        <f t="shared" si="34"/>
        <v>13.6214904496499-8.26763333346743i</v>
      </c>
      <c r="AB121" s="227">
        <f t="shared" si="44"/>
        <v>24.046605849984502</v>
      </c>
      <c r="AC121" s="227">
        <f t="shared" si="45"/>
        <v>-31.255871530044409</v>
      </c>
      <c r="AD121" s="229">
        <f t="shared" si="46"/>
        <v>16.351422919675457</v>
      </c>
      <c r="AE121" s="229">
        <f t="shared" si="47"/>
        <v>101.56615399541388</v>
      </c>
      <c r="AF121" s="227">
        <f t="shared" si="35"/>
        <v>40.398028769659959</v>
      </c>
      <c r="AG121" s="227">
        <f t="shared" si="36"/>
        <v>70.310282465369482</v>
      </c>
      <c r="AH121" s="229" t="str">
        <f t="shared" si="37"/>
        <v>1.31729744404944-6.43667427377023i</v>
      </c>
    </row>
    <row r="122" spans="9:34" x14ac:dyDescent="0.2">
      <c r="I122" s="227">
        <v>118</v>
      </c>
      <c r="J122" s="227">
        <f t="shared" si="25"/>
        <v>2.1505144581604414</v>
      </c>
      <c r="K122" s="227">
        <f t="shared" si="48"/>
        <v>141.42118050163216</v>
      </c>
      <c r="L122" s="227">
        <f t="shared" si="38"/>
        <v>888.57548345184739</v>
      </c>
      <c r="M122" s="227">
        <f t="shared" si="26"/>
        <v>6439.2134461808191</v>
      </c>
      <c r="N122" s="227">
        <f>SQRT((ABS(AC122)-171.5+'Small Signal'!C$59)^2)</f>
        <v>69.668512202060015</v>
      </c>
      <c r="O122" s="227">
        <f t="shared" si="39"/>
        <v>69.961176234116024</v>
      </c>
      <c r="P122" s="227">
        <f t="shared" si="40"/>
        <v>40.157616560949037</v>
      </c>
      <c r="Q122" s="227">
        <f t="shared" si="41"/>
        <v>141.42118050163216</v>
      </c>
      <c r="R122" s="227" t="str">
        <f t="shared" si="27"/>
        <v>0.0355+0.0011551481284874i</v>
      </c>
      <c r="S122" s="227" t="str">
        <f t="shared" si="28"/>
        <v>0.018-5.11543997117368i</v>
      </c>
      <c r="T122" s="227" t="str">
        <f t="shared" si="29"/>
        <v>2.49727837242582-3.11064789810798i</v>
      </c>
      <c r="U122" s="227" t="str">
        <f t="shared" si="30"/>
        <v>91.1501198284291-17.2680854983948i</v>
      </c>
      <c r="V122" s="227">
        <f t="shared" si="42"/>
        <v>39.348281435158334</v>
      </c>
      <c r="W122" s="227">
        <f t="shared" si="43"/>
        <v>-10.727364419208717</v>
      </c>
      <c r="X122" s="227" t="str">
        <f t="shared" si="31"/>
        <v>0.999999857778131-0.000101894865788362i</v>
      </c>
      <c r="Y122" s="227" t="str">
        <f t="shared" si="32"/>
        <v>208.009570868228+82.4094030481638i</v>
      </c>
      <c r="Z122" s="227" t="str">
        <f t="shared" si="33"/>
        <v>38.1661845189602+15.1162112442086i</v>
      </c>
      <c r="AA122" s="227" t="str">
        <f t="shared" si="34"/>
        <v>13.4556528015562-8.35309924913406i</v>
      </c>
      <c r="AB122" s="227">
        <f t="shared" si="44"/>
        <v>23.99377503248239</v>
      </c>
      <c r="AC122" s="227">
        <f t="shared" si="45"/>
        <v>-31.831487797939971</v>
      </c>
      <c r="AD122" s="229">
        <f t="shared" si="46"/>
        <v>16.163841528466648</v>
      </c>
      <c r="AE122" s="229">
        <f t="shared" si="47"/>
        <v>101.792664032056</v>
      </c>
      <c r="AF122" s="227">
        <f t="shared" si="35"/>
        <v>40.157616560949037</v>
      </c>
      <c r="AG122" s="227">
        <f t="shared" si="36"/>
        <v>69.961176234116024</v>
      </c>
      <c r="AH122" s="229" t="str">
        <f t="shared" si="37"/>
        <v>1.31404654750073-6.29401175150559i</v>
      </c>
    </row>
    <row r="123" spans="9:34" x14ac:dyDescent="0.2">
      <c r="I123" s="227">
        <v>119</v>
      </c>
      <c r="J123" s="227">
        <f t="shared" si="25"/>
        <v>2.1602645806872247</v>
      </c>
      <c r="K123" s="227">
        <f t="shared" si="48"/>
        <v>144.63206291981118</v>
      </c>
      <c r="L123" s="227">
        <f t="shared" si="38"/>
        <v>908.75005268483108</v>
      </c>
      <c r="M123" s="227">
        <f t="shared" si="26"/>
        <v>6435.9296626182231</v>
      </c>
      <c r="N123" s="227">
        <f>SQRT((ABS(AC123)-171.5+'Small Signal'!C$59)^2)</f>
        <v>69.087013812794737</v>
      </c>
      <c r="O123" s="227">
        <f t="shared" si="39"/>
        <v>69.611550726282431</v>
      </c>
      <c r="P123" s="227">
        <f t="shared" si="40"/>
        <v>39.915782592571617</v>
      </c>
      <c r="Q123" s="227">
        <f t="shared" si="41"/>
        <v>144.63206291981118</v>
      </c>
      <c r="R123" s="227" t="str">
        <f t="shared" si="27"/>
        <v>0.0355+0.00118137506849028i</v>
      </c>
      <c r="S123" s="227" t="str">
        <f t="shared" si="28"/>
        <v>0.018-5.00187541340477i</v>
      </c>
      <c r="T123" s="227" t="str">
        <f t="shared" si="29"/>
        <v>2.4295523625332-3.09437276691433i</v>
      </c>
      <c r="U123" s="227" t="str">
        <f t="shared" si="30"/>
        <v>91.030152477096-17.6419861053635i</v>
      </c>
      <c r="V123" s="227">
        <f t="shared" si="42"/>
        <v>39.343837184014411</v>
      </c>
      <c r="W123" s="227">
        <f t="shared" si="43"/>
        <v>-10.968165602395702</v>
      </c>
      <c r="X123" s="227" t="str">
        <f t="shared" si="31"/>
        <v>0.999999851246694-0.000104208327123518i</v>
      </c>
      <c r="Y123" s="227" t="str">
        <f t="shared" si="32"/>
        <v>208.748329646426+84.1620858333343i</v>
      </c>
      <c r="Z123" s="227" t="str">
        <f t="shared" si="33"/>
        <v>38.3017968381024+15.4376829402609i</v>
      </c>
      <c r="AA123" s="227" t="str">
        <f t="shared" si="34"/>
        <v>13.2864371924831-8.43605425336801i</v>
      </c>
      <c r="AB123" s="227">
        <f t="shared" si="44"/>
        <v>23.93919737824227</v>
      </c>
      <c r="AC123" s="227">
        <f t="shared" si="45"/>
        <v>-32.412986187205249</v>
      </c>
      <c r="AD123" s="229">
        <f t="shared" si="46"/>
        <v>15.976585214329351</v>
      </c>
      <c r="AE123" s="229">
        <f t="shared" si="47"/>
        <v>102.02453691348768</v>
      </c>
      <c r="AF123" s="227">
        <f t="shared" si="35"/>
        <v>39.915782592571617</v>
      </c>
      <c r="AG123" s="227">
        <f t="shared" si="36"/>
        <v>69.611550726282431</v>
      </c>
      <c r="AH123" s="229" t="str">
        <f t="shared" si="37"/>
        <v>1.31093829138811-6.15451848498092i</v>
      </c>
    </row>
    <row r="124" spans="9:34" x14ac:dyDescent="0.2">
      <c r="I124" s="227">
        <v>120</v>
      </c>
      <c r="J124" s="227">
        <f t="shared" si="25"/>
        <v>2.170014703214008</v>
      </c>
      <c r="K124" s="227">
        <f t="shared" si="48"/>
        <v>147.9158464824072</v>
      </c>
      <c r="L124" s="227">
        <f t="shared" si="38"/>
        <v>929.38267331729219</v>
      </c>
      <c r="M124" s="227">
        <f t="shared" si="26"/>
        <v>6432.5713227347924</v>
      </c>
      <c r="N124" s="227">
        <f>SQRT((ABS(AC124)-171.5+'Small Signal'!C$59)^2)</f>
        <v>68.49980958260636</v>
      </c>
      <c r="O124" s="227">
        <f t="shared" si="39"/>
        <v>69.261660602413244</v>
      </c>
      <c r="P124" s="227">
        <f t="shared" si="40"/>
        <v>39.672505835566774</v>
      </c>
      <c r="Q124" s="227">
        <f t="shared" si="41"/>
        <v>147.9158464824072</v>
      </c>
      <c r="R124" s="227" t="str">
        <f t="shared" si="27"/>
        <v>0.0355+0.00120819747531248i</v>
      </c>
      <c r="S124" s="227" t="str">
        <f t="shared" si="28"/>
        <v>0.018-4.89083202856605i</v>
      </c>
      <c r="T124" s="227" t="str">
        <f t="shared" si="29"/>
        <v>2.36256494757413-3.07672431717976i</v>
      </c>
      <c r="U124" s="227" t="str">
        <f t="shared" si="30"/>
        <v>90.9049251920653-18.0231486604783i</v>
      </c>
      <c r="V124" s="227">
        <f t="shared" si="42"/>
        <v>39.339193078636832</v>
      </c>
      <c r="W124" s="227">
        <f t="shared" si="43"/>
        <v>-11.21424532462056</v>
      </c>
      <c r="X124" s="227" t="str">
        <f t="shared" si="31"/>
        <v>0.999999844415306-0.000106574314199866i</v>
      </c>
      <c r="Y124" s="227" t="str">
        <f t="shared" si="32"/>
        <v>209.519365470589+85.9465676816072i</v>
      </c>
      <c r="Z124" s="227" t="str">
        <f t="shared" si="33"/>
        <v>38.4433341261725+15.7649856966824i</v>
      </c>
      <c r="AA124" s="227" t="str">
        <f t="shared" si="34"/>
        <v>13.1139150811564-8.51633799354243i</v>
      </c>
      <c r="AB124" s="227">
        <f t="shared" si="44"/>
        <v>23.882838042214047</v>
      </c>
      <c r="AC124" s="227">
        <f t="shared" si="45"/>
        <v>-33.00019041739364</v>
      </c>
      <c r="AD124" s="229">
        <f t="shared" si="46"/>
        <v>15.789667793352729</v>
      </c>
      <c r="AE124" s="229">
        <f t="shared" si="47"/>
        <v>102.26185101980688</v>
      </c>
      <c r="AF124" s="227">
        <f t="shared" si="35"/>
        <v>39.672505835566774</v>
      </c>
      <c r="AG124" s="227">
        <f t="shared" si="36"/>
        <v>69.261660602413244</v>
      </c>
      <c r="AH124" s="229" t="str">
        <f t="shared" si="37"/>
        <v>1.30796641277078-6.0181243724133i</v>
      </c>
    </row>
    <row r="125" spans="9:34" x14ac:dyDescent="0.2">
      <c r="I125" s="227">
        <v>121</v>
      </c>
      <c r="J125" s="227">
        <f t="shared" si="25"/>
        <v>2.1797648257407913</v>
      </c>
      <c r="K125" s="227">
        <f t="shared" si="48"/>
        <v>151.27418636583766</v>
      </c>
      <c r="L125" s="227">
        <f t="shared" si="38"/>
        <v>950.48374512937767</v>
      </c>
      <c r="M125" s="227">
        <f t="shared" si="26"/>
        <v>6429.1367337743304</v>
      </c>
      <c r="N125" s="227">
        <f>SQRT((ABS(AC125)-171.5+'Small Signal'!C$59)^2)</f>
        <v>67.907086736370672</v>
      </c>
      <c r="O125" s="227">
        <f t="shared" si="39"/>
        <v>68.91177175131935</v>
      </c>
      <c r="P125" s="227">
        <f t="shared" si="40"/>
        <v>39.427766580724487</v>
      </c>
      <c r="Q125" s="227">
        <f t="shared" si="41"/>
        <v>151.27418636583766</v>
      </c>
      <c r="R125" s="227" t="str">
        <f t="shared" si="27"/>
        <v>0.0355+0.00123562886866819i</v>
      </c>
      <c r="S125" s="227" t="str">
        <f t="shared" si="28"/>
        <v>0.018-4.78225384573603i</v>
      </c>
      <c r="T125" s="227" t="str">
        <f t="shared" si="29"/>
        <v>2.29637048732005-3.05774353669205i</v>
      </c>
      <c r="U125" s="227" t="str">
        <f t="shared" si="30"/>
        <v>90.7742190389635-18.4116569315576i</v>
      </c>
      <c r="V125" s="227">
        <f t="shared" si="42"/>
        <v>39.334340330494499</v>
      </c>
      <c r="W125" s="227">
        <f t="shared" si="43"/>
        <v>-11.465710678839924</v>
      </c>
      <c r="X125" s="227" t="str">
        <f t="shared" si="31"/>
        <v>0.99999983727019-0.00010899401958261i</v>
      </c>
      <c r="Y125" s="227" t="str">
        <f t="shared" si="32"/>
        <v>210.324011044534+87.7630427501834i</v>
      </c>
      <c r="Z125" s="227" t="str">
        <f t="shared" si="33"/>
        <v>38.5910410168706+16.0981549989134i</v>
      </c>
      <c r="AA125" s="227" t="str">
        <f t="shared" si="34"/>
        <v>12.9381675370398-8.59379146270742i</v>
      </c>
      <c r="AB125" s="227">
        <f t="shared" si="44"/>
        <v>23.824662975675185</v>
      </c>
      <c r="AC125" s="227">
        <f t="shared" si="45"/>
        <v>-33.59291326362932</v>
      </c>
      <c r="AD125" s="229">
        <f t="shared" si="46"/>
        <v>15.603103605049302</v>
      </c>
      <c r="AE125" s="229">
        <f t="shared" si="47"/>
        <v>102.50468501494868</v>
      </c>
      <c r="AF125" s="227">
        <f t="shared" si="35"/>
        <v>39.427766580724487</v>
      </c>
      <c r="AG125" s="227">
        <f t="shared" si="36"/>
        <v>68.91177175131935</v>
      </c>
      <c r="AH125" s="229" t="str">
        <f t="shared" si="37"/>
        <v>1.30512492330436-5.88476086051338i</v>
      </c>
    </row>
    <row r="126" spans="9:34" x14ac:dyDescent="0.2">
      <c r="I126" s="227">
        <v>122</v>
      </c>
      <c r="J126" s="227">
        <f t="shared" si="25"/>
        <v>2.1895149482675746</v>
      </c>
      <c r="K126" s="227">
        <f t="shared" si="48"/>
        <v>154.70877532629962</v>
      </c>
      <c r="L126" s="227">
        <f t="shared" si="38"/>
        <v>972.06390402195348</v>
      </c>
      <c r="M126" s="227">
        <f t="shared" si="26"/>
        <v>6425.624164547633</v>
      </c>
      <c r="N126" s="227">
        <f>SQRT((ABS(AC126)-171.5+'Small Signal'!C$59)^2)</f>
        <v>67.30904332695502</v>
      </c>
      <c r="O126" s="227">
        <f t="shared" si="39"/>
        <v>68.562161066813957</v>
      </c>
      <c r="P126" s="227">
        <f t="shared" si="40"/>
        <v>39.181546554449483</v>
      </c>
      <c r="Q126" s="227">
        <f t="shared" si="41"/>
        <v>154.70877532629962</v>
      </c>
      <c r="R126" s="227" t="str">
        <f t="shared" si="27"/>
        <v>0.0355+0.00126368307522854i</v>
      </c>
      <c r="S126" s="227" t="str">
        <f t="shared" si="28"/>
        <v>0.018-4.6760861365673i</v>
      </c>
      <c r="T126" s="227" t="str">
        <f t="shared" si="29"/>
        <v>2.23102048425362-3.03747387304685i</v>
      </c>
      <c r="U126" s="227" t="str">
        <f t="shared" si="30"/>
        <v>90.6378070408278-18.8075914380902i</v>
      </c>
      <c r="V126" s="227">
        <f t="shared" si="42"/>
        <v>39.329269782763092</v>
      </c>
      <c r="W126" s="227">
        <f t="shared" si="43"/>
        <v>-11.722670346467098</v>
      </c>
      <c r="X126" s="227" t="str">
        <f t="shared" si="31"/>
        <v>0.999999829796941-0.000111468662913426i</v>
      </c>
      <c r="Y126" s="227" t="str">
        <f t="shared" si="32"/>
        <v>211.163646976972+89.6116761557231i</v>
      </c>
      <c r="Z126" s="227" t="str">
        <f t="shared" si="33"/>
        <v>38.7451709368766+16.4372209970815i</v>
      </c>
      <c r="AA126" s="227" t="str">
        <f t="shared" si="34"/>
        <v>12.7592853078255-8.66825766692768i</v>
      </c>
      <c r="AB126" s="227">
        <f t="shared" si="44"/>
        <v>23.764639026910295</v>
      </c>
      <c r="AC126" s="227">
        <f t="shared" si="45"/>
        <v>-34.190956673044994</v>
      </c>
      <c r="AD126" s="229">
        <f t="shared" si="46"/>
        <v>15.416907527539184</v>
      </c>
      <c r="AE126" s="229">
        <f t="shared" si="47"/>
        <v>102.75311773985895</v>
      </c>
      <c r="AF126" s="227">
        <f t="shared" si="35"/>
        <v>39.181546554449483</v>
      </c>
      <c r="AG126" s="227">
        <f t="shared" si="36"/>
        <v>68.562161066813957</v>
      </c>
      <c r="AH126" s="229" t="str">
        <f t="shared" si="37"/>
        <v>1.30240809720019-5.75436091081789i</v>
      </c>
    </row>
    <row r="127" spans="9:34" x14ac:dyDescent="0.2">
      <c r="I127" s="227">
        <v>123</v>
      </c>
      <c r="J127" s="227">
        <f t="shared" si="25"/>
        <v>2.1992650707943584</v>
      </c>
      <c r="K127" s="227">
        <f t="shared" si="48"/>
        <v>158.22134455299712</v>
      </c>
      <c r="L127" s="227">
        <f t="shared" si="38"/>
        <v>994.13402737759043</v>
      </c>
      <c r="M127" s="227">
        <f t="shared" si="26"/>
        <v>6422.0318445598923</v>
      </c>
      <c r="N127" s="227">
        <f>SQRT((ABS(AC127)-171.5+'Small Signal'!C$59)^2)</f>
        <v>66.705888072187406</v>
      </c>
      <c r="O127" s="227">
        <f t="shared" si="39"/>
        <v>68.213116170381269</v>
      </c>
      <c r="P127" s="227">
        <f t="shared" si="40"/>
        <v>38.933829035026505</v>
      </c>
      <c r="Q127" s="227">
        <f t="shared" si="41"/>
        <v>158.22134455299712</v>
      </c>
      <c r="R127" s="227" t="str">
        <f t="shared" si="27"/>
        <v>0.0355+0.00129237423559087i</v>
      </c>
      <c r="S127" s="227" t="str">
        <f t="shared" si="28"/>
        <v>0.018-4.57227538770091i</v>
      </c>
      <c r="T127" s="227" t="str">
        <f t="shared" si="29"/>
        <v>2.16656345625247-3.0159610025507i</v>
      </c>
      <c r="U127" s="227" t="str">
        <f t="shared" si="30"/>
        <v>90.4954539820859-19.2110290747101i</v>
      </c>
      <c r="V127" s="227">
        <f t="shared" si="42"/>
        <v>39.323971896549487</v>
      </c>
      <c r="W127" s="227">
        <f t="shared" si="43"/>
        <v>-11.985234579884928</v>
      </c>
      <c r="X127" s="227" t="str">
        <f t="shared" si="31"/>
        <v>0.999999821980488-0.000113999491525216i</v>
      </c>
      <c r="Y127" s="227" t="str">
        <f t="shared" si="32"/>
        <v>212.03970283638+91.4926013566784i</v>
      </c>
      <c r="Z127" s="227" t="str">
        <f t="shared" si="33"/>
        <v>38.9059862994137+16.7822080253348i</v>
      </c>
      <c r="AA127" s="227" t="str">
        <f t="shared" si="34"/>
        <v>12.5773688339747-8.73958231103436i</v>
      </c>
      <c r="AB127" s="227">
        <f t="shared" si="44"/>
        <v>23.702734042323431</v>
      </c>
      <c r="AC127" s="227">
        <f t="shared" si="45"/>
        <v>-34.794111927812594</v>
      </c>
      <c r="AD127" s="229">
        <f t="shared" si="46"/>
        <v>15.231094992703076</v>
      </c>
      <c r="AE127" s="229">
        <f t="shared" si="47"/>
        <v>103.00722809819386</v>
      </c>
      <c r="AF127" s="227">
        <f t="shared" si="35"/>
        <v>38.933829035026505</v>
      </c>
      <c r="AG127" s="227">
        <f t="shared" si="36"/>
        <v>68.213116170381269</v>
      </c>
      <c r="AH127" s="229" t="str">
        <f t="shared" si="37"/>
        <v>1.299810459711-5.62685896672791i</v>
      </c>
    </row>
    <row r="128" spans="9:34" x14ac:dyDescent="0.2">
      <c r="I128" s="227">
        <v>124</v>
      </c>
      <c r="J128" s="227">
        <f t="shared" si="25"/>
        <v>2.2090151933211417</v>
      </c>
      <c r="K128" s="227">
        <f t="shared" si="48"/>
        <v>161.81366454073756</v>
      </c>
      <c r="L128" s="227">
        <f t="shared" si="38"/>
        <v>1016.7052395432487</v>
      </c>
      <c r="M128" s="227">
        <f t="shared" si="26"/>
        <v>6418.3579631182865</v>
      </c>
      <c r="N128" s="227">
        <f>SQRT((ABS(AC128)-171.5+'Small Signal'!C$59)^2)</f>
        <v>66.097840144121136</v>
      </c>
      <c r="O128" s="227">
        <f t="shared" si="39"/>
        <v>67.864935078351067</v>
      </c>
      <c r="P128" s="227">
        <f t="shared" si="40"/>
        <v>38.684598968666826</v>
      </c>
      <c r="Q128" s="227">
        <f t="shared" si="41"/>
        <v>161.81366454073756</v>
      </c>
      <c r="R128" s="227" t="str">
        <f t="shared" si="27"/>
        <v>0.0355+0.00132171681140622i</v>
      </c>
      <c r="S128" s="227" t="str">
        <f t="shared" si="28"/>
        <v>0.018-4.47076927379323i</v>
      </c>
      <c r="T128" s="227" t="str">
        <f t="shared" si="29"/>
        <v>2.10304483048848-2.99325259313168i</v>
      </c>
      <c r="U128" s="227" t="str">
        <f t="shared" si="30"/>
        <v>90.3469162176863-19.6220427111283i</v>
      </c>
      <c r="V128" s="227">
        <f t="shared" si="42"/>
        <v>39.318436736752957</v>
      </c>
      <c r="W128" s="227">
        <f t="shared" si="43"/>
        <v>-12.253515181410766</v>
      </c>
      <c r="X128" s="227" t="str">
        <f t="shared" si="31"/>
        <v>0.99999981380507-0.000116587781070822i</v>
      </c>
      <c r="Y128" s="227" t="str">
        <f t="shared" si="32"/>
        <v>212.953658160862+93.4059173802398i</v>
      </c>
      <c r="Z128" s="227" t="str">
        <f t="shared" si="33"/>
        <v>39.0737586895433+17.1331340926465i</v>
      </c>
      <c r="AA128" s="227" t="str">
        <f t="shared" si="34"/>
        <v>12.3925282074323-8.80761449813383i</v>
      </c>
      <c r="AB128" s="227">
        <f t="shared" si="44"/>
        <v>23.638916967414346</v>
      </c>
      <c r="AC128" s="227">
        <f t="shared" si="45"/>
        <v>-35.402159855878864</v>
      </c>
      <c r="AD128" s="229">
        <f t="shared" si="46"/>
        <v>15.045682001252478</v>
      </c>
      <c r="AE128" s="229">
        <f t="shared" si="47"/>
        <v>103.26709493422993</v>
      </c>
      <c r="AF128" s="227">
        <f t="shared" si="35"/>
        <v>38.684598968666826</v>
      </c>
      <c r="AG128" s="227">
        <f t="shared" si="36"/>
        <v>67.864935078351067</v>
      </c>
      <c r="AH128" s="229" t="str">
        <f t="shared" si="37"/>
        <v>1.29732677612017-5.50219092124032i</v>
      </c>
    </row>
    <row r="129" spans="9:34" x14ac:dyDescent="0.2">
      <c r="I129" s="227">
        <v>125</v>
      </c>
      <c r="J129" s="227">
        <f t="shared" si="25"/>
        <v>2.218765315847925</v>
      </c>
      <c r="K129" s="227">
        <f t="shared" si="48"/>
        <v>165.48754598234368</v>
      </c>
      <c r="L129" s="227">
        <f t="shared" si="38"/>
        <v>1039.7889174374679</v>
      </c>
      <c r="M129" s="227">
        <f t="shared" si="26"/>
        <v>6414.6006684193053</v>
      </c>
      <c r="N129" s="227">
        <f>SQRT((ABS(AC129)-171.5+'Small Signal'!C$59)^2)</f>
        <v>65.485128909821526</v>
      </c>
      <c r="O129" s="227">
        <f t="shared" si="39"/>
        <v>67.517925812493758</v>
      </c>
      <c r="P129" s="227">
        <f t="shared" si="40"/>
        <v>38.43384308468562</v>
      </c>
      <c r="Q129" s="227">
        <f t="shared" si="41"/>
        <v>165.48754598234368</v>
      </c>
      <c r="R129" s="227" t="str">
        <f t="shared" si="27"/>
        <v>0.0355+0.00135172559266871i</v>
      </c>
      <c r="S129" s="227" t="str">
        <f t="shared" si="28"/>
        <v>0.018-4.37151663114154i</v>
      </c>
      <c r="T129" s="227" t="str">
        <f t="shared" si="29"/>
        <v>2.0405068586202-2.96939806339815i</v>
      </c>
      <c r="U129" s="227" t="str">
        <f t="shared" si="30"/>
        <v>90.1919414886688-20.0407007675757i</v>
      </c>
      <c r="V129" s="227">
        <f t="shared" si="42"/>
        <v>39.312653957568806</v>
      </c>
      <c r="W129" s="227">
        <f t="shared" si="43"/>
        <v>-12.527625478474445</v>
      </c>
      <c r="X129" s="227" t="str">
        <f t="shared" si="31"/>
        <v>0.999999805254202-0.000119234836166014i</v>
      </c>
      <c r="Y129" s="227" t="str">
        <f t="shared" si="32"/>
        <v>213.907043413978+95.3516858879089i</v>
      </c>
      <c r="Z129" s="227" t="str">
        <f t="shared" si="33"/>
        <v>39.2487690395337+17.4900103439901i</v>
      </c>
      <c r="AA129" s="227" t="str">
        <f t="shared" si="34"/>
        <v>12.2048830720921-8.87220743779852i</v>
      </c>
      <c r="AB129" s="227">
        <f t="shared" si="44"/>
        <v>23.573157947026509</v>
      </c>
      <c r="AC129" s="227">
        <f t="shared" si="45"/>
        <v>-36.014871090178467</v>
      </c>
      <c r="AD129" s="229">
        <f t="shared" si="46"/>
        <v>14.860685137659111</v>
      </c>
      <c r="AE129" s="229">
        <f t="shared" si="47"/>
        <v>103.53279690267223</v>
      </c>
      <c r="AF129" s="227">
        <f t="shared" si="35"/>
        <v>38.43384308468562</v>
      </c>
      <c r="AG129" s="227">
        <f t="shared" si="36"/>
        <v>67.517925812493758</v>
      </c>
      <c r="AH129" s="229" t="str">
        <f t="shared" si="37"/>
        <v>1.29495204121247-5.38029408535916i</v>
      </c>
    </row>
    <row r="130" spans="9:34" x14ac:dyDescent="0.2">
      <c r="I130" s="227">
        <v>126</v>
      </c>
      <c r="J130" s="227">
        <f t="shared" si="25"/>
        <v>2.2285154383747088</v>
      </c>
      <c r="K130" s="227">
        <f t="shared" si="48"/>
        <v>169.24484068132415</v>
      </c>
      <c r="L130" s="227">
        <f t="shared" si="38"/>
        <v>1063.3966962848458</v>
      </c>
      <c r="M130" s="227">
        <f t="shared" si="26"/>
        <v>6410.7580666153635</v>
      </c>
      <c r="N130" s="227">
        <f>SQRT((ABS(AC130)-171.5+'Small Signal'!C$59)^2)</f>
        <v>64.867993623263629</v>
      </c>
      <c r="O130" s="227">
        <f t="shared" si="39"/>
        <v>67.17240595331549</v>
      </c>
      <c r="P130" s="227">
        <f t="shared" si="40"/>
        <v>38.181550009127008</v>
      </c>
      <c r="Q130" s="227">
        <f t="shared" si="41"/>
        <v>169.24484068132415</v>
      </c>
      <c r="R130" s="227" t="str">
        <f t="shared" si="27"/>
        <v>0.0355+0.0013824157051703i</v>
      </c>
      <c r="S130" s="227" t="str">
        <f t="shared" si="28"/>
        <v>0.018-4.27446743189522i</v>
      </c>
      <c r="T130" s="227" t="str">
        <f t="shared" si="29"/>
        <v>1.97898855312436-2.94444833993548i</v>
      </c>
      <c r="U130" s="227" t="str">
        <f t="shared" si="30"/>
        <v>90.0302687455876-20.4670667648286i</v>
      </c>
      <c r="V130" s="227">
        <f t="shared" si="42"/>
        <v>39.306612787642244</v>
      </c>
      <c r="W130" s="227">
        <f t="shared" si="43"/>
        <v>-12.807680294763664</v>
      </c>
      <c r="X130" s="227" t="str">
        <f t="shared" si="31"/>
        <v>0.999999796310641-0.000121941991047071i</v>
      </c>
      <c r="Y130" s="227" t="str">
        <f t="shared" si="32"/>
        <v>214.901440876844+97.3299280738035i</v>
      </c>
      <c r="Z130" s="227" t="str">
        <f t="shared" si="33"/>
        <v>39.4313077925225+17.8528404908061i</v>
      </c>
      <c r="AA130" s="227" t="str">
        <f t="shared" si="34"/>
        <v>12.0145624640861-8.93321915748202i</v>
      </c>
      <c r="AB130" s="227">
        <f t="shared" si="44"/>
        <v>23.505428424244911</v>
      </c>
      <c r="AC130" s="227">
        <f t="shared" si="45"/>
        <v>-36.632006376736378</v>
      </c>
      <c r="AD130" s="229">
        <f t="shared" si="46"/>
        <v>14.676121584882099</v>
      </c>
      <c r="AE130" s="229">
        <f t="shared" si="47"/>
        <v>103.80441233005187</v>
      </c>
      <c r="AF130" s="227">
        <f t="shared" si="35"/>
        <v>38.181550009127008</v>
      </c>
      <c r="AG130" s="227">
        <f t="shared" si="36"/>
        <v>67.17240595331549</v>
      </c>
      <c r="AH130" s="229" t="str">
        <f t="shared" si="37"/>
        <v>1.29268146920537-5.26110715717504i</v>
      </c>
    </row>
    <row r="131" spans="9:34" x14ac:dyDescent="0.2">
      <c r="I131" s="227">
        <v>127</v>
      </c>
      <c r="J131" s="227">
        <f t="shared" si="25"/>
        <v>2.2382655609014916</v>
      </c>
      <c r="K131" s="227">
        <f t="shared" si="48"/>
        <v>173.08744248526594</v>
      </c>
      <c r="L131" s="227">
        <f t="shared" si="38"/>
        <v>1087.5404754807146</v>
      </c>
      <c r="M131" s="227">
        <f t="shared" si="26"/>
        <v>6406.8282208602077</v>
      </c>
      <c r="N131" s="227">
        <f>SQRT((ABS(AC131)-171.5+'Small Signal'!C$59)^2)</f>
        <v>64.246683068312961</v>
      </c>
      <c r="O131" s="227">
        <f t="shared" si="39"/>
        <v>66.828702135728179</v>
      </c>
      <c r="P131" s="227">
        <f t="shared" si="40"/>
        <v>37.927710376135664</v>
      </c>
      <c r="Q131" s="227">
        <f t="shared" si="41"/>
        <v>173.08744248526594</v>
      </c>
      <c r="R131" s="227" t="str">
        <f t="shared" si="27"/>
        <v>0.0355+0.00141380261812493i</v>
      </c>
      <c r="S131" s="227" t="str">
        <f t="shared" si="28"/>
        <v>0.018-4.1795727588395i</v>
      </c>
      <c r="T131" s="227" t="str">
        <f t="shared" si="29"/>
        <v>1.91852564439427-2.91845561485315i</v>
      </c>
      <c r="U131" s="227" t="str">
        <f t="shared" si="30"/>
        <v>89.8616279813168-20.9011988479024i</v>
      </c>
      <c r="V131" s="227">
        <f t="shared" si="42"/>
        <v>39.300302014881041</v>
      </c>
      <c r="W131" s="227">
        <f t="shared" si="43"/>
        <v>-13.093795917079554</v>
      </c>
      <c r="X131" s="227" t="str">
        <f t="shared" si="31"/>
        <v>0.999999786956354-0.000124710610243305i</v>
      </c>
      <c r="Y131" s="227" t="str">
        <f t="shared" si="32"/>
        <v>215.938485465705+99.340621389956i</v>
      </c>
      <c r="Z131" s="227" t="str">
        <f t="shared" si="33"/>
        <v>39.6216750524906+18.2216202097032i</v>
      </c>
      <c r="AA131" s="227" t="str">
        <f t="shared" si="34"/>
        <v>11.8217045905487-8.99051321138803i</v>
      </c>
      <c r="AB131" s="227">
        <f t="shared" si="44"/>
        <v>23.435701237312415</v>
      </c>
      <c r="AC131" s="227">
        <f t="shared" si="45"/>
        <v>-37.253316931687039</v>
      </c>
      <c r="AD131" s="229">
        <f t="shared" si="46"/>
        <v>14.492009138823249</v>
      </c>
      <c r="AE131" s="229">
        <f t="shared" si="47"/>
        <v>104.08201906741522</v>
      </c>
      <c r="AF131" s="227">
        <f t="shared" si="35"/>
        <v>37.927710376135664</v>
      </c>
      <c r="AG131" s="227">
        <f t="shared" si="36"/>
        <v>66.828702135728179</v>
      </c>
      <c r="AH131" s="229" t="str">
        <f t="shared" si="37"/>
        <v>1.29051048412077-5.14457019159917i</v>
      </c>
    </row>
    <row r="132" spans="9:34" x14ac:dyDescent="0.2">
      <c r="I132" s="227">
        <v>128</v>
      </c>
      <c r="J132" s="227">
        <f t="shared" ref="J132:J195" si="49">1+I132*(LOG(fsw)-1)/500</f>
        <v>2.2480156834282754</v>
      </c>
      <c r="K132" s="227">
        <f t="shared" si="48"/>
        <v>177.01728824042243</v>
      </c>
      <c r="L132" s="227">
        <f t="shared" si="38"/>
        <v>1112.2324245889961</v>
      </c>
      <c r="M132" s="227">
        <f t="shared" ref="M132:M195" si="50">SQRT((Fco_target-K133)^2)</f>
        <v>6402.8091503326614</v>
      </c>
      <c r="N132" s="227">
        <f>SQRT((ABS(AC132)-171.5+'Small Signal'!C$59)^2)</f>
        <v>63.621455153172434</v>
      </c>
      <c r="O132" s="227">
        <f t="shared" si="39"/>
        <v>66.487149487185761</v>
      </c>
      <c r="P132" s="227">
        <f t="shared" si="40"/>
        <v>37.672316936352935</v>
      </c>
      <c r="Q132" s="227">
        <f t="shared" si="41"/>
        <v>177.01728824042243</v>
      </c>
      <c r="R132" s="227" t="str">
        <f t="shared" ref="R132:R195" si="51">IMSUM(COMPLEX(DCRss,Lss*L132),COMPLEX(Rdsonss,0),COMPLEX(40/3*Risense,0))</f>
        <v>0.0355+0.0014459021519657i</v>
      </c>
      <c r="S132" s="227" t="str">
        <f t="shared" ref="S132:S195" si="52">IMSUM(COMPLEX(ESRss,0),IMDIV(COMPLEX(1,0),COMPLEX(0,L132*Cbulkss)))</f>
        <v>0.018-4.08678478073882i</v>
      </c>
      <c r="T132" s="227" t="str">
        <f t="shared" ref="T132:T195" si="53">IMDIV(IMPRODUCT(S132,COMPLEX(Ross,0)),IMSUM(S132,COMPLEX(Ross,0)))</f>
        <v>1.85915055803195-2.89147310549413i</v>
      </c>
      <c r="U132" s="227" t="str">
        <f t="shared" ref="U132:U195" si="54">IMPRODUCT(COMPLEX(Vinss,0),COMPLEX(M^2,0),IMDIV(IMSUB(COMPLEX(1,0),IMDIV(IMPRODUCT(R132,COMPLEX(M^2,0)),COMPLEX(Ross,0))),IMSUM(COMPLEX(1,0),IMDIV(IMPRODUCT(R132,COMPLEX(M^2,0)),T132))))</f>
        <v>89.6857400749148-21.3431492825313i</v>
      </c>
      <c r="V132" s="227">
        <f t="shared" si="42"/>
        <v>39.293709970938892</v>
      </c>
      <c r="W132" s="227">
        <f t="shared" si="43"/>
        <v>-13.386090057636823</v>
      </c>
      <c r="X132" s="227" t="str">
        <f t="shared" ref="X132:X195" si="55">IMSUM(COMPLEX(1,L132/(wn*q0)),IMPOWER(COMPLEX(0,L132/wn),2))</f>
        <v>0.999999777172478-0.000127542089264836i</v>
      </c>
      <c r="Y132" s="227" t="str">
        <f t="shared" ref="Y132:Y195" si="56">IMPRODUCT(COMPLEX(2*Ioutss*M^2,0),IMDIV(IMSUM(COMPLEX(1,0),IMDIV(COMPLEX(Ross,0),IMPRODUCT(COMPLEX(2,0),S132))),IMSUM(COMPLEX(1,0),IMDIV(IMPRODUCT(R132,COMPLEX(M^2,0)),T132))))</f>
        <v>217.019865463494+101.383696093083i</v>
      </c>
      <c r="Z132" s="227" t="str">
        <f t="shared" ref="Z132:Z195" si="57">IMPRODUCT(COMPLEX(Fm*40/3*Risense,0),Y132,X132)</f>
        <v>39.8201807184361+18.5963365083828i</v>
      </c>
      <c r="AA132" s="227" t="str">
        <f t="shared" ref="AA132:AA195" si="58">IMDIV(IMPRODUCT(COMPLEX(Fm,0),U132),IMSUM(COMPLEX(1,0),Z132))</f>
        <v>11.6264565461156-9.04395938075817i</v>
      </c>
      <c r="AB132" s="227">
        <f t="shared" si="44"/>
        <v>23.363950713915965</v>
      </c>
      <c r="AC132" s="227">
        <f t="shared" si="45"/>
        <v>-37.878544846827566</v>
      </c>
      <c r="AD132" s="229">
        <f t="shared" si="46"/>
        <v>14.308366222436968</v>
      </c>
      <c r="AE132" s="229">
        <f t="shared" si="47"/>
        <v>104.36569433401333</v>
      </c>
      <c r="AF132" s="227">
        <f t="shared" ref="AF132:AF195" si="59">AD132+AB132</f>
        <v>37.672316936352935</v>
      </c>
      <c r="AG132" s="227">
        <f t="shared" ref="AG132:AG195" si="60">AE132+AC132</f>
        <v>66.487149487185761</v>
      </c>
      <c r="AH132" s="229" t="str">
        <f t="shared" ref="AH132:AH195" si="61">IMDIV(IMPRODUCT(COMPLEX(gea*Rea*Rslss/(Rslss+Rshss),0),COMPLEX(1,L132*Ccompss*Rcompss),COMPLEX(1,k_3*L132*Cffss*Rshss)),IMPRODUCT(COMPLEX(1,L132*Rea*Ccompss),COMPLEX(1,L132*Rcompss*Chfss),COMPLEX(1,k_3*L132*Rffss*Cffss)))</f>
        <v>1.28843471057781-5.03062457074017i</v>
      </c>
    </row>
    <row r="133" spans="9:34" x14ac:dyDescent="0.2">
      <c r="I133" s="227">
        <v>129</v>
      </c>
      <c r="J133" s="227">
        <f t="shared" si="49"/>
        <v>2.2577658059550583</v>
      </c>
      <c r="K133" s="227">
        <f t="shared" si="48"/>
        <v>181.03635876796847</v>
      </c>
      <c r="L133" s="227">
        <f t="shared" ref="L133:L196" si="62">2*PI()*K133</f>
        <v>1137.4849894761917</v>
      </c>
      <c r="M133" s="227">
        <f t="shared" si="50"/>
        <v>6398.6988292382021</v>
      </c>
      <c r="N133" s="227">
        <f>SQRT((ABS(AC133)-171.5+'Small Signal'!C$59)^2)</f>
        <v>62.992576457097641</v>
      </c>
      <c r="O133" s="227">
        <f t="shared" ref="O133:O196" si="63">ABS(AG133)</f>
        <v>66.148091008815612</v>
      </c>
      <c r="P133" s="227">
        <f t="shared" ref="P133:P196" si="64">ABS(AF133)</f>
        <v>37.415364661608876</v>
      </c>
      <c r="Q133" s="227">
        <f t="shared" ref="Q133:Q196" si="65">K133</f>
        <v>181.03635876796847</v>
      </c>
      <c r="R133" s="227" t="str">
        <f t="shared" si="51"/>
        <v>0.0355+0.00147873048631905i</v>
      </c>
      <c r="S133" s="227" t="str">
        <f t="shared" si="52"/>
        <v>0.018-3.99605672822787i</v>
      </c>
      <c r="T133" s="227" t="str">
        <f t="shared" si="53"/>
        <v>1.80089241157858-2.86355481809837i</v>
      </c>
      <c r="U133" s="227" t="str">
        <f t="shared" si="54"/>
        <v>89.5023166483644-21.7929639235873i</v>
      </c>
      <c r="V133" s="227">
        <f t="shared" ref="V133:V196" si="66">20*LOG(IMABS(U133))</f>
        <v>39.286824515383529</v>
      </c>
      <c r="W133" s="227">
        <f t="shared" ref="W133:W196" si="67">IF(DEGREES(IMARGUMENT(U133))&gt;0,DEGREES(IMARGUMENT(U133))-360, DEGREES(IMARGUMENT(U133)))</f>
        <v>-13.684681811532117</v>
      </c>
      <c r="X133" s="227" t="str">
        <f t="shared" si="55"/>
        <v>0.999999766939284-0.000130437855306003i</v>
      </c>
      <c r="Y133" s="227" t="str">
        <f t="shared" si="56"/>
        <v>218.147323152764+103.45903160759i</v>
      </c>
      <c r="Z133" s="227" t="str">
        <f t="shared" si="57"/>
        <v>40.0271446004357+18.9769670578247i</v>
      </c>
      <c r="AA133" s="227" t="str">
        <f t="shared" si="58"/>
        <v>11.428973967085-9.09343435936429i</v>
      </c>
      <c r="AB133" s="227">
        <f t="shared" ref="AB133:AB196" si="68">20*LOG(IMABS(AA133))</f>
        <v>23.29015276219376</v>
      </c>
      <c r="AC133" s="227">
        <f t="shared" ref="AC133:AC196" si="69">IF(DEGREES(IMARGUMENT(AA133))&gt;0,DEGREES(IMARGUMENT(AA133))-360, DEGREES(IMARGUMENT(AA133)))</f>
        <v>-38.507423542902352</v>
      </c>
      <c r="AD133" s="229">
        <f t="shared" ref="AD133:AD196" si="70">20*LOG(IMABS(AH133))</f>
        <v>14.125211899415113</v>
      </c>
      <c r="AE133" s="229">
        <f t="shared" ref="AE133:AE196" si="71">180+DEGREES(IMARGUMENT(AH133))</f>
        <v>104.65551455171797</v>
      </c>
      <c r="AF133" s="227">
        <f t="shared" si="59"/>
        <v>37.415364661608876</v>
      </c>
      <c r="AG133" s="227">
        <f t="shared" si="60"/>
        <v>66.148091008815612</v>
      </c>
      <c r="AH133" s="229" t="str">
        <f t="shared" si="61"/>
        <v>1.28644996498862-4.91921297491181i</v>
      </c>
    </row>
    <row r="134" spans="9:34" x14ac:dyDescent="0.2">
      <c r="I134" s="227">
        <v>130</v>
      </c>
      <c r="J134" s="227">
        <f t="shared" si="49"/>
        <v>2.267515928481842</v>
      </c>
      <c r="K134" s="227">
        <f t="shared" si="48"/>
        <v>185.14667986242827</v>
      </c>
      <c r="L134" s="227">
        <f t="shared" si="62"/>
        <v>1163.3108985846918</v>
      </c>
      <c r="M134" s="227">
        <f t="shared" si="50"/>
        <v>6394.495185787865</v>
      </c>
      <c r="N134" s="227">
        <f>SQRT((ABS(AC134)-171.5+'Small Signal'!C$59)^2)</f>
        <v>62.360321730612782</v>
      </c>
      <c r="O134" s="227">
        <f t="shared" si="63"/>
        <v>65.811876900519621</v>
      </c>
      <c r="P134" s="227">
        <f t="shared" si="64"/>
        <v>37.156850845173203</v>
      </c>
      <c r="Q134" s="227">
        <f t="shared" si="65"/>
        <v>185.14667986242827</v>
      </c>
      <c r="R134" s="227" t="str">
        <f t="shared" si="51"/>
        <v>0.0355+0.0015123041681601i</v>
      </c>
      <c r="S134" s="227" t="str">
        <f t="shared" si="52"/>
        <v>0.018-3.90734287023756i</v>
      </c>
      <c r="T134" s="227" t="str">
        <f t="shared" si="53"/>
        <v>1.74377702976583-2.83475531707399i</v>
      </c>
      <c r="U134" s="227" t="str">
        <f t="shared" si="54"/>
        <v>89.3110599381444-22.2506816546419i</v>
      </c>
      <c r="V134" s="227">
        <f t="shared" si="66"/>
        <v>39.279633019565267</v>
      </c>
      <c r="W134" s="227">
        <f t="shared" si="67"/>
        <v>-13.989691609097443</v>
      </c>
      <c r="X134" s="227" t="str">
        <f t="shared" si="55"/>
        <v>0.999999756236138-0.000133399367964725i</v>
      </c>
      <c r="Y134" s="227" t="str">
        <f t="shared" si="56"/>
        <v>219.322655336414+105.566452699921i</v>
      </c>
      <c r="Z134" s="227" t="str">
        <f t="shared" si="57"/>
        <v>40.2428965150967+19.363479489836i</v>
      </c>
      <c r="AA134" s="227" t="str">
        <f t="shared" si="58"/>
        <v>11.2294206238625-9.13882241788604i</v>
      </c>
      <c r="AB134" s="227">
        <f t="shared" si="68"/>
        <v>23.214284957815678</v>
      </c>
      <c r="AC134" s="227">
        <f t="shared" si="69"/>
        <v>-39.139678269387225</v>
      </c>
      <c r="AD134" s="229">
        <f t="shared" si="70"/>
        <v>13.942565887357524</v>
      </c>
      <c r="AE134" s="229">
        <f t="shared" si="71"/>
        <v>104.95155516990684</v>
      </c>
      <c r="AF134" s="227">
        <f t="shared" si="59"/>
        <v>37.156850845173203</v>
      </c>
      <c r="AG134" s="227">
        <f t="shared" si="60"/>
        <v>65.811876900519621</v>
      </c>
      <c r="AH134" s="229" t="str">
        <f t="shared" si="61"/>
        <v>1.28455224713903-4.81027935425807i</v>
      </c>
    </row>
    <row r="135" spans="9:34" x14ac:dyDescent="0.2">
      <c r="I135" s="227">
        <v>131</v>
      </c>
      <c r="J135" s="227">
        <f t="shared" si="49"/>
        <v>2.2772660510086258</v>
      </c>
      <c r="K135" s="227">
        <f t="shared" si="48"/>
        <v>189.3503233127646</v>
      </c>
      <c r="L135" s="227">
        <f t="shared" si="62"/>
        <v>1189.7231693484669</v>
      </c>
      <c r="M135" s="227">
        <f t="shared" si="50"/>
        <v>6390.1961011539734</v>
      </c>
      <c r="N135" s="227">
        <f>SQRT((ABS(AC135)-171.5+'Small Signal'!C$59)^2)</f>
        <v>61.724973350902474</v>
      </c>
      <c r="O135" s="227">
        <f t="shared" si="63"/>
        <v>65.478863831481618</v>
      </c>
      <c r="P135" s="227">
        <f t="shared" si="64"/>
        <v>36.89677519683751</v>
      </c>
      <c r="Q135" s="227">
        <f t="shared" si="65"/>
        <v>189.3503233127646</v>
      </c>
      <c r="R135" s="227" t="str">
        <f t="shared" si="51"/>
        <v>0.0355+0.00154664012015301i</v>
      </c>
      <c r="S135" s="227" t="str">
        <f t="shared" si="52"/>
        <v>0.018-3.82059849094457i</v>
      </c>
      <c r="T135" s="227" t="str">
        <f t="shared" si="53"/>
        <v>1.68782697723219-2.80512950137992i</v>
      </c>
      <c r="U135" s="227" t="str">
        <f t="shared" si="54"/>
        <v>89.1116626837764-22.716333797942i</v>
      </c>
      <c r="V135" s="227">
        <f t="shared" si="66"/>
        <v>39.272122350207582</v>
      </c>
      <c r="W135" s="227">
        <f t="shared" si="67"/>
        <v>-14.301241162846399</v>
      </c>
      <c r="X135" s="227" t="str">
        <f t="shared" si="55"/>
        <v>0.999999745041458-0.000136428119978213i</v>
      </c>
      <c r="Y135" s="227" t="str">
        <f t="shared" si="56"/>
        <v>220.547713731662+107.705725459829i</v>
      </c>
      <c r="Z135" s="227" t="str">
        <f t="shared" si="57"/>
        <v>40.4677763577309+19.755830659152i</v>
      </c>
      <c r="AA135" s="227" t="str">
        <f t="shared" si="58"/>
        <v>11.0279679530327-9.18001604083562i</v>
      </c>
      <c r="AB135" s="227">
        <f t="shared" si="68"/>
        <v>23.136326626499365</v>
      </c>
      <c r="AC135" s="227">
        <f t="shared" si="69"/>
        <v>-39.775026649097541</v>
      </c>
      <c r="AD135" s="229">
        <f t="shared" si="70"/>
        <v>13.760448570338145</v>
      </c>
      <c r="AE135" s="229">
        <f t="shared" si="71"/>
        <v>105.25389048057916</v>
      </c>
      <c r="AF135" s="227">
        <f t="shared" si="59"/>
        <v>36.89677519683751</v>
      </c>
      <c r="AG135" s="227">
        <f t="shared" si="60"/>
        <v>65.478863831481618</v>
      </c>
      <c r="AH135" s="229" t="str">
        <f t="shared" si="61"/>
        <v>1.28273773213776-4.70376890098554i</v>
      </c>
    </row>
    <row r="136" spans="9:34" x14ac:dyDescent="0.2">
      <c r="I136" s="227">
        <v>132</v>
      </c>
      <c r="J136" s="227">
        <f t="shared" si="49"/>
        <v>2.2870161735354086</v>
      </c>
      <c r="K136" s="227">
        <f t="shared" ref="K136:K199" si="72">10^(J136)</f>
        <v>193.64940794665668</v>
      </c>
      <c r="L136" s="227">
        <f t="shared" si="62"/>
        <v>1216.7351147544591</v>
      </c>
      <c r="M136" s="227">
        <f t="shared" si="50"/>
        <v>6385.7994084021429</v>
      </c>
      <c r="N136" s="227">
        <f>SQRT((ABS(AC136)-171.5+'Small Signal'!C$59)^2)</f>
        <v>61.086820734477215</v>
      </c>
      <c r="O136" s="227">
        <f t="shared" si="63"/>
        <v>65.149414157969872</v>
      </c>
      <c r="P136" s="227">
        <f t="shared" si="64"/>
        <v>36.635139932108231</v>
      </c>
      <c r="Q136" s="227">
        <f t="shared" si="65"/>
        <v>193.64940794665668</v>
      </c>
      <c r="R136" s="227" t="str">
        <f t="shared" si="51"/>
        <v>0.0355+0.0015817556491808i</v>
      </c>
      <c r="S136" s="227" t="str">
        <f t="shared" si="52"/>
        <v>0.018-3.73577986723251i</v>
      </c>
      <c r="T136" s="227" t="str">
        <f t="shared" si="53"/>
        <v>1.63306160753117-2.77473238936161i</v>
      </c>
      <c r="U136" s="227" t="str">
        <f t="shared" si="54"/>
        <v>88.9038080356028-23.1899434941296i</v>
      </c>
      <c r="V136" s="227">
        <f t="shared" si="66"/>
        <v>39.264278852739317</v>
      </c>
      <c r="W136" s="227">
        <f t="shared" si="67"/>
        <v>-14.619453408709912</v>
      </c>
      <c r="X136" s="227" t="str">
        <f t="shared" si="55"/>
        <v>0.999999733332671-0.000139525637975372i</v>
      </c>
      <c r="Y136" s="227" t="str">
        <f t="shared" si="56"/>
        <v>221.824405221416+109.876553084657i</v>
      </c>
      <c r="Z136" s="227" t="str">
        <f t="shared" si="57"/>
        <v>40.7021341483386+20.1539658693702i</v>
      </c>
      <c r="AA136" s="227" t="str">
        <f t="shared" si="58"/>
        <v>10.8247945311334-9.21691652977023i</v>
      </c>
      <c r="AB136" s="227">
        <f t="shared" si="68"/>
        <v>23.056258921343762</v>
      </c>
      <c r="AC136" s="227">
        <f t="shared" si="69"/>
        <v>-40.4131792655228</v>
      </c>
      <c r="AD136" s="229">
        <f t="shared" si="70"/>
        <v>13.578881010764469</v>
      </c>
      <c r="AE136" s="229">
        <f t="shared" si="71"/>
        <v>105.56259342349267</v>
      </c>
      <c r="AF136" s="227">
        <f t="shared" si="59"/>
        <v>36.635139932108231</v>
      </c>
      <c r="AG136" s="227">
        <f t="shared" si="60"/>
        <v>65.149414157969872</v>
      </c>
      <c r="AH136" s="229" t="str">
        <f t="shared" si="61"/>
        <v>1.28100276271782-4.59962802218997i</v>
      </c>
    </row>
    <row r="137" spans="9:34" x14ac:dyDescent="0.2">
      <c r="I137" s="227">
        <v>133</v>
      </c>
      <c r="J137" s="227">
        <f t="shared" si="49"/>
        <v>2.2967662960621924</v>
      </c>
      <c r="K137" s="227">
        <f t="shared" si="72"/>
        <v>198.04610069848653</v>
      </c>
      <c r="L137" s="227">
        <f t="shared" si="62"/>
        <v>1244.3603500529393</v>
      </c>
      <c r="M137" s="227">
        <f t="shared" si="50"/>
        <v>6381.3028913990602</v>
      </c>
      <c r="N137" s="227">
        <f>SQRT((ABS(AC137)-171.5+'Small Signal'!C$59)^2)</f>
        <v>60.446159709647873</v>
      </c>
      <c r="O137" s="227">
        <f t="shared" si="63"/>
        <v>64.823895090785967</v>
      </c>
      <c r="P137" s="227">
        <f t="shared" si="64"/>
        <v>36.371949854807688</v>
      </c>
      <c r="Q137" s="227">
        <f t="shared" si="65"/>
        <v>198.04610069848653</v>
      </c>
      <c r="R137" s="227" t="str">
        <f t="shared" si="51"/>
        <v>0.0355+0.00161766845506882i</v>
      </c>
      <c r="S137" s="227" t="str">
        <f t="shared" si="52"/>
        <v>0.018-3.65284424665344i</v>
      </c>
      <c r="T137" s="227" t="str">
        <f t="shared" si="53"/>
        <v>1.57949712716509-2.74361891321461i</v>
      </c>
      <c r="U137" s="227" t="str">
        <f t="shared" si="54"/>
        <v>88.687169484276-23.6715250511556i</v>
      </c>
      <c r="V137" s="227">
        <f t="shared" si="66"/>
        <v>39.256088334397404</v>
      </c>
      <c r="W137" s="227">
        <f t="shared" si="67"/>
        <v>-14.944452441261125</v>
      </c>
      <c r="X137" s="227" t="str">
        <f t="shared" si="55"/>
        <v>0.999999721086165-0.000142693483246294i</v>
      </c>
      <c r="Y137" s="227" t="str">
        <f t="shared" si="56"/>
        <v>223.154691946337+112.07857146337i</v>
      </c>
      <c r="Z137" s="227" t="str">
        <f t="shared" si="57"/>
        <v>40.9463300483361+20.5578180621208i</v>
      </c>
      <c r="AA137" s="227" t="str">
        <f t="shared" si="58"/>
        <v>10.620085492938-9.24943456669559i</v>
      </c>
      <c r="AB137" s="227">
        <f t="shared" si="68"/>
        <v>22.974064894384171</v>
      </c>
      <c r="AC137" s="227">
        <f t="shared" si="69"/>
        <v>-41.053840290352142</v>
      </c>
      <c r="AD137" s="229">
        <f t="shared" si="70"/>
        <v>13.397884960423518</v>
      </c>
      <c r="AE137" s="229">
        <f t="shared" si="71"/>
        <v>105.87773538113811</v>
      </c>
      <c r="AF137" s="227">
        <f t="shared" si="59"/>
        <v>36.371949854807688</v>
      </c>
      <c r="AG137" s="227">
        <f t="shared" si="60"/>
        <v>64.823895090785967</v>
      </c>
      <c r="AH137" s="229" t="str">
        <f t="shared" si="61"/>
        <v>1.27934384187458-4.49780431326546i</v>
      </c>
    </row>
    <row r="138" spans="9:34" x14ac:dyDescent="0.2">
      <c r="I138" s="227">
        <v>134</v>
      </c>
      <c r="J138" s="227">
        <f t="shared" si="49"/>
        <v>2.3065164185889757</v>
      </c>
      <c r="K138" s="227">
        <f t="shared" si="72"/>
        <v>202.5426177015697</v>
      </c>
      <c r="L138" s="227">
        <f t="shared" si="62"/>
        <v>1272.6127996201947</v>
      </c>
      <c r="M138" s="227">
        <f t="shared" si="50"/>
        <v>6376.7042836954397</v>
      </c>
      <c r="N138" s="227">
        <f>SQRT((ABS(AC138)-171.5+'Small Signal'!C$59)^2)</f>
        <v>59.803291851745911</v>
      </c>
      <c r="O138" s="227">
        <f t="shared" si="63"/>
        <v>64.502677815149752</v>
      </c>
      <c r="P138" s="227">
        <f t="shared" si="64"/>
        <v>36.107212432412496</v>
      </c>
      <c r="Q138" s="227">
        <f t="shared" si="65"/>
        <v>202.5426177015697</v>
      </c>
      <c r="R138" s="227" t="str">
        <f t="shared" si="51"/>
        <v>0.0355+0.00165439663950625i</v>
      </c>
      <c r="S138" s="227" t="str">
        <f t="shared" si="52"/>
        <v>0.018-3.57174982587878i</v>
      </c>
      <c r="T138" s="227" t="str">
        <f t="shared" si="53"/>
        <v>1.52714667330826-2.71184372407978i</v>
      </c>
      <c r="U138" s="227" t="str">
        <f t="shared" si="54"/>
        <v>88.4614108145702-24.1610832619059i</v>
      </c>
      <c r="V138" s="227">
        <f t="shared" si="66"/>
        <v>39.24753604712761</v>
      </c>
      <c r="W138" s="227">
        <f t="shared" si="67"/>
        <v>-15.276363442605479</v>
      </c>
      <c r="X138" s="227" t="str">
        <f t="shared" si="55"/>
        <v>0.999999708277248-0.00014593325252922i</v>
      </c>
      <c r="Y138" s="227" t="str">
        <f t="shared" si="56"/>
        <v>224.540591219422+114.311344557838i</v>
      </c>
      <c r="Z138" s="227" t="str">
        <f t="shared" si="57"/>
        <v>41.2007343446904+20.9673069690131i</v>
      </c>
      <c r="AA138" s="227" t="str">
        <f t="shared" si="58"/>
        <v>10.4140318977735-9.2774907318344i</v>
      </c>
      <c r="AB138" s="227">
        <f t="shared" si="68"/>
        <v>22.889729561810434</v>
      </c>
      <c r="AC138" s="227">
        <f t="shared" si="69"/>
        <v>-41.696708148254096</v>
      </c>
      <c r="AD138" s="229">
        <f t="shared" si="70"/>
        <v>13.217482870602062</v>
      </c>
      <c r="AE138" s="229">
        <f t="shared" si="71"/>
        <v>106.19938596340386</v>
      </c>
      <c r="AF138" s="227">
        <f t="shared" si="59"/>
        <v>36.107212432412496</v>
      </c>
      <c r="AG138" s="227">
        <f t="shared" si="60"/>
        <v>64.502677815149752</v>
      </c>
      <c r="AH138" s="229" t="str">
        <f t="shared" si="61"/>
        <v>1.277757625826-4.39824653188559i</v>
      </c>
    </row>
    <row r="139" spans="9:34" x14ac:dyDescent="0.2">
      <c r="I139" s="227">
        <v>135</v>
      </c>
      <c r="J139" s="227">
        <f t="shared" si="49"/>
        <v>2.316266541115759</v>
      </c>
      <c r="K139" s="227">
        <f t="shared" si="72"/>
        <v>207.14122540519048</v>
      </c>
      <c r="L139" s="227">
        <f t="shared" si="62"/>
        <v>1301.5067039770677</v>
      </c>
      <c r="M139" s="227">
        <f t="shared" si="50"/>
        <v>6372.0012673836363</v>
      </c>
      <c r="N139" s="227">
        <f>SQRT((ABS(AC139)-171.5+'Small Signal'!C$59)^2)</f>
        <v>59.158523784421561</v>
      </c>
      <c r="O139" s="227">
        <f t="shared" si="63"/>
        <v>64.186136566246759</v>
      </c>
      <c r="P139" s="227">
        <f t="shared" si="64"/>
        <v>35.840937863485038</v>
      </c>
      <c r="Q139" s="227">
        <f t="shared" si="65"/>
        <v>207.14122540519048</v>
      </c>
      <c r="R139" s="227" t="str">
        <f t="shared" si="51"/>
        <v>0.0355+0.00169195871517019i</v>
      </c>
      <c r="S139" s="227" t="str">
        <f t="shared" si="52"/>
        <v>0.018-3.49245572962845i</v>
      </c>
      <c r="T139" s="227" t="str">
        <f t="shared" si="53"/>
        <v>1.47602040383391-2.67946100860141i</v>
      </c>
      <c r="U139" s="227" t="str">
        <f t="shared" si="54"/>
        <v>88.2261860863313-24.6586126902279i</v>
      </c>
      <c r="V139" s="227">
        <f t="shared" si="66"/>
        <v>39.238606670318191</v>
      </c>
      <c r="W139" s="227">
        <f t="shared" si="67"/>
        <v>-15.615312604629429</v>
      </c>
      <c r="X139" s="227" t="str">
        <f t="shared" si="55"/>
        <v>0.999999694880091-0.000149246578815365i</v>
      </c>
      <c r="Y139" s="227" t="str">
        <f t="shared" si="56"/>
        <v>225.984175244009+116.574359579731i</v>
      </c>
      <c r="Z139" s="227" t="str">
        <f t="shared" si="57"/>
        <v>41.4657273979523+21.3823382260582i</v>
      </c>
      <c r="AA139" s="227" t="str">
        <f t="shared" si="58"/>
        <v>10.2068300480873-9.30101597028639i</v>
      </c>
      <c r="AB139" s="227">
        <f t="shared" si="68"/>
        <v>22.803239962326252</v>
      </c>
      <c r="AC139" s="227">
        <f t="shared" si="69"/>
        <v>-42.341476215578453</v>
      </c>
      <c r="AD139" s="229">
        <f t="shared" si="70"/>
        <v>13.037697901158785</v>
      </c>
      <c r="AE139" s="229">
        <f t="shared" si="71"/>
        <v>106.52761278182521</v>
      </c>
      <c r="AF139" s="227">
        <f t="shared" si="59"/>
        <v>35.840937863485038</v>
      </c>
      <c r="AG139" s="227">
        <f t="shared" si="60"/>
        <v>64.186136566246759</v>
      </c>
      <c r="AH139" s="229" t="str">
        <f t="shared" si="61"/>
        <v>1.27624091728086-4.30090457254422i</v>
      </c>
    </row>
    <row r="140" spans="9:34" x14ac:dyDescent="0.2">
      <c r="I140" s="227">
        <v>136</v>
      </c>
      <c r="J140" s="227">
        <f t="shared" si="49"/>
        <v>2.3260166636425423</v>
      </c>
      <c r="K140" s="227">
        <f t="shared" si="72"/>
        <v>211.84424171699328</v>
      </c>
      <c r="L140" s="227">
        <f t="shared" si="62"/>
        <v>1331.0566269668129</v>
      </c>
      <c r="M140" s="227">
        <f t="shared" si="50"/>
        <v>6367.1914719293145</v>
      </c>
      <c r="N140" s="227">
        <f>SQRT((ABS(AC140)-171.5+'Small Signal'!C$59)^2)</f>
        <v>58.512166450707753</v>
      </c>
      <c r="O140" s="227">
        <f t="shared" si="63"/>
        <v>63.874647664059069</v>
      </c>
      <c r="P140" s="227">
        <f t="shared" si="64"/>
        <v>35.573139136598741</v>
      </c>
      <c r="Q140" s="227">
        <f t="shared" si="65"/>
        <v>211.84424171699328</v>
      </c>
      <c r="R140" s="227" t="str">
        <f t="shared" si="51"/>
        <v>0.0355+0.00173037361505686i</v>
      </c>
      <c r="S140" s="227" t="str">
        <f t="shared" si="52"/>
        <v>0.018-3.41492199006788i</v>
      </c>
      <c r="T140" s="227" t="str">
        <f t="shared" si="53"/>
        <v>1.42612559823313-2.64652431761131i</v>
      </c>
      <c r="U140" s="227" t="str">
        <f t="shared" si="54"/>
        <v>87.9811396455411-25.1640969251496i</v>
      </c>
      <c r="V140" s="227">
        <f t="shared" si="66"/>
        <v>39.229284293402678</v>
      </c>
      <c r="W140" s="227">
        <f t="shared" si="67"/>
        <v>-15.961427044275917</v>
      </c>
      <c r="X140" s="227" t="str">
        <f t="shared" si="55"/>
        <v>0.999999680867678-0.000152635132172025i</v>
      </c>
      <c r="Y140" s="227" t="str">
        <f t="shared" si="56"/>
        <v>227.487570614692+118.867021962414i</v>
      </c>
      <c r="Z140" s="227" t="str">
        <f t="shared" si="57"/>
        <v>41.7416995504234+21.8028024504566i</v>
      </c>
      <c r="AA140" s="227" t="str">
        <f t="shared" si="58"/>
        <v>9.99868076512541-9.31995200255813i</v>
      </c>
      <c r="AB140" s="227">
        <f t="shared" si="68"/>
        <v>22.71458520817653</v>
      </c>
      <c r="AC140" s="227">
        <f t="shared" si="69"/>
        <v>-42.987833549292233</v>
      </c>
      <c r="AD140" s="229">
        <f t="shared" si="70"/>
        <v>12.858553928422207</v>
      </c>
      <c r="AE140" s="229">
        <f t="shared" si="71"/>
        <v>106.8624812133513</v>
      </c>
      <c r="AF140" s="227">
        <f t="shared" si="59"/>
        <v>35.573139136598741</v>
      </c>
      <c r="AG140" s="227">
        <f t="shared" si="60"/>
        <v>63.874647664059069</v>
      </c>
      <c r="AH140" s="229" t="str">
        <f t="shared" si="61"/>
        <v>1.27479065900137-4.20572944164561i</v>
      </c>
    </row>
    <row r="141" spans="9:34" x14ac:dyDescent="0.2">
      <c r="I141" s="227">
        <v>137</v>
      </c>
      <c r="J141" s="227">
        <f t="shared" si="49"/>
        <v>2.3357667861693256</v>
      </c>
      <c r="K141" s="227">
        <f t="shared" si="72"/>
        <v>216.65403717131503</v>
      </c>
      <c r="L141" s="227">
        <f t="shared" si="62"/>
        <v>1361.2774630959466</v>
      </c>
      <c r="M141" s="227">
        <f t="shared" si="50"/>
        <v>6362.2724729765878</v>
      </c>
      <c r="N141" s="227">
        <f>SQRT((ABS(AC141)-171.5+'Small Signal'!C$59)^2)</f>
        <v>57.8645343578726</v>
      </c>
      <c r="O141" s="227">
        <f t="shared" si="63"/>
        <v>63.568588511493566</v>
      </c>
      <c r="P141" s="227">
        <f t="shared" si="64"/>
        <v>35.303832080203222</v>
      </c>
      <c r="Q141" s="227">
        <f t="shared" si="65"/>
        <v>216.65403717131503</v>
      </c>
      <c r="R141" s="227" t="str">
        <f t="shared" si="51"/>
        <v>0.0355+0.00176966070202473i</v>
      </c>
      <c r="S141" s="227" t="str">
        <f t="shared" si="52"/>
        <v>0.018-3.33910952666244i</v>
      </c>
      <c r="T141" s="227" t="str">
        <f t="shared" si="53"/>
        <v>1.37746676800626-2.61308640743674i</v>
      </c>
      <c r="U141" s="227" t="str">
        <f t="shared" si="54"/>
        <v>87.7259061686784-25.6775078032821i</v>
      </c>
      <c r="V141" s="227">
        <f t="shared" si="66"/>
        <v>39.2195523983752</v>
      </c>
      <c r="W141" s="227">
        <f t="shared" si="67"/>
        <v>-16.314834711527464</v>
      </c>
      <c r="X141" s="227" t="str">
        <f t="shared" si="55"/>
        <v>0.999999666211756-0.000156100620584363i</v>
      </c>
      <c r="Y141" s="227" t="str">
        <f t="shared" si="56"/>
        <v>229.052957579511+121.188650128377i</v>
      </c>
      <c r="Z141" s="227" t="str">
        <f t="shared" si="57"/>
        <v>42.0290509904849+22.2285742798471i</v>
      </c>
      <c r="AA141" s="227" t="str">
        <f t="shared" si="58"/>
        <v>9.78978862718083-9.33425167447501i</v>
      </c>
      <c r="AB141" s="227">
        <f t="shared" si="68"/>
        <v>22.623756528424614</v>
      </c>
      <c r="AC141" s="227">
        <f t="shared" si="69"/>
        <v>-43.635465642127407</v>
      </c>
      <c r="AD141" s="229">
        <f t="shared" si="70"/>
        <v>12.680075551778611</v>
      </c>
      <c r="AE141" s="229">
        <f t="shared" si="71"/>
        <v>107.20405415362097</v>
      </c>
      <c r="AF141" s="227">
        <f t="shared" si="59"/>
        <v>35.303832080203222</v>
      </c>
      <c r="AG141" s="227">
        <f t="shared" si="60"/>
        <v>63.568588511493566</v>
      </c>
      <c r="AH141" s="229" t="str">
        <f t="shared" si="61"/>
        <v>1.27340392764734-4.112673233132i</v>
      </c>
    </row>
    <row r="142" spans="9:34" x14ac:dyDescent="0.2">
      <c r="I142" s="227">
        <v>138</v>
      </c>
      <c r="J142" s="227">
        <f t="shared" si="49"/>
        <v>2.3455169086961094</v>
      </c>
      <c r="K142" s="227">
        <f t="shared" si="72"/>
        <v>221.57303612404195</v>
      </c>
      <c r="L142" s="227">
        <f t="shared" si="62"/>
        <v>1392.184445041752</v>
      </c>
      <c r="M142" s="227">
        <f t="shared" si="50"/>
        <v>6357.2417911260354</v>
      </c>
      <c r="N142" s="227">
        <f>SQRT((ABS(AC142)-171.5+'Small Signal'!C$59)^2)</f>
        <v>57.215944800364099</v>
      </c>
      <c r="O142" s="227">
        <f t="shared" si="63"/>
        <v>63.268336560155198</v>
      </c>
      <c r="P142" s="227">
        <f t="shared" si="64"/>
        <v>35.033035402930153</v>
      </c>
      <c r="Q142" s="227">
        <f t="shared" si="65"/>
        <v>221.57303612404195</v>
      </c>
      <c r="R142" s="227" t="str">
        <f t="shared" si="51"/>
        <v>0.0355+0.00180983977855428i</v>
      </c>
      <c r="S142" s="227" t="str">
        <f t="shared" si="52"/>
        <v>0.018-3.26498012647903i</v>
      </c>
      <c r="T142" s="227" t="str">
        <f t="shared" si="53"/>
        <v>1.33004577511777-2.57919909417247i</v>
      </c>
      <c r="U142" s="227" t="str">
        <f t="shared" si="54"/>
        <v>87.4601107437143-26.1988045995659i</v>
      </c>
      <c r="V142" s="227">
        <f t="shared" si="66"/>
        <v>39.209393842263381</v>
      </c>
      <c r="W142" s="227">
        <f t="shared" si="67"/>
        <v>-16.675664289769461</v>
      </c>
      <c r="X142" s="227" t="str">
        <f t="shared" si="55"/>
        <v>0.999999650882771-0.000159644790816314i</v>
      </c>
      <c r="Y142" s="227" t="str">
        <f t="shared" si="56"/>
        <v>230.682569040506+123.538470054042i</v>
      </c>
      <c r="Z142" s="227" t="str">
        <f t="shared" si="57"/>
        <v>42.3281915688787+22.6595113743582i</v>
      </c>
      <c r="AA142" s="227" t="str">
        <f t="shared" si="58"/>
        <v>9.58036117639402-9.34387924259896i</v>
      </c>
      <c r="AB142" s="227">
        <f t="shared" si="68"/>
        <v>22.530747304119124</v>
      </c>
      <c r="AC142" s="227">
        <f t="shared" si="69"/>
        <v>-44.284055199635894</v>
      </c>
      <c r="AD142" s="229">
        <f t="shared" si="70"/>
        <v>12.502288098811027</v>
      </c>
      <c r="AE142" s="229">
        <f t="shared" si="71"/>
        <v>107.55239175979109</v>
      </c>
      <c r="AF142" s="227">
        <f t="shared" si="59"/>
        <v>35.033035402930153</v>
      </c>
      <c r="AG142" s="227">
        <f t="shared" si="60"/>
        <v>63.268336560155198</v>
      </c>
      <c r="AH142" s="229" t="str">
        <f t="shared" si="61"/>
        <v>1.27207792788971-4.02168910463883i</v>
      </c>
    </row>
    <row r="143" spans="9:34" x14ac:dyDescent="0.2">
      <c r="I143" s="227">
        <v>139</v>
      </c>
      <c r="J143" s="227">
        <f t="shared" si="49"/>
        <v>2.3552670312228927</v>
      </c>
      <c r="K143" s="227">
        <f t="shared" si="72"/>
        <v>226.60371797459419</v>
      </c>
      <c r="L143" s="227">
        <f t="shared" si="62"/>
        <v>1423.7931513302369</v>
      </c>
      <c r="M143" s="227">
        <f t="shared" si="50"/>
        <v>6352.0968906849712</v>
      </c>
      <c r="N143" s="227">
        <f>SQRT((ABS(AC143)-171.5+'Small Signal'!C$59)^2)</f>
        <v>56.566717065399843</v>
      </c>
      <c r="O143" s="227">
        <f t="shared" si="63"/>
        <v>62.974268248424586</v>
      </c>
      <c r="P143" s="227">
        <f t="shared" si="64"/>
        <v>34.760770723896357</v>
      </c>
      <c r="Q143" s="227">
        <f t="shared" si="65"/>
        <v>226.60371797459419</v>
      </c>
      <c r="R143" s="227" t="str">
        <f t="shared" si="51"/>
        <v>0.0355+0.00185093109672931i</v>
      </c>
      <c r="S143" s="227" t="str">
        <f t="shared" si="52"/>
        <v>0.018-3.19249642492505i</v>
      </c>
      <c r="T143" s="227" t="str">
        <f t="shared" si="53"/>
        <v>1.28386195713361-2.54491312110844i</v>
      </c>
      <c r="U143" s="227" t="str">
        <f t="shared" si="54"/>
        <v>87.1833689912958-26.7279331867508i</v>
      </c>
      <c r="V143" s="227">
        <f t="shared" si="66"/>
        <v>39.198790839612236</v>
      </c>
      <c r="W143" s="227">
        <f t="shared" si="67"/>
        <v>-17.044045088210122</v>
      </c>
      <c r="X143" s="227" t="str">
        <f t="shared" si="55"/>
        <v>0.999999634849813-0.00016326942929103i</v>
      </c>
      <c r="Y143" s="227" t="str">
        <f t="shared" si="56"/>
        <v>232.378689268547+125.915609635303i</v>
      </c>
      <c r="Z143" s="227" t="str">
        <f t="shared" si="57"/>
        <v>42.6395405625207+23.0954533820759i</v>
      </c>
      <c r="AA143" s="227" t="str">
        <f t="shared" si="58"/>
        <v>9.37060810053846-9.34881059195698i</v>
      </c>
      <c r="AB143" s="227">
        <f t="shared" si="68"/>
        <v>22.435553095056214</v>
      </c>
      <c r="AC143" s="227">
        <f t="shared" si="69"/>
        <v>-44.933282934600165</v>
      </c>
      <c r="AD143" s="229">
        <f t="shared" si="70"/>
        <v>12.325217628840146</v>
      </c>
      <c r="AE143" s="229">
        <f t="shared" si="71"/>
        <v>107.90755118302475</v>
      </c>
      <c r="AF143" s="227">
        <f t="shared" si="59"/>
        <v>34.760770723896357</v>
      </c>
      <c r="AG143" s="227">
        <f t="shared" si="60"/>
        <v>62.974268248424586</v>
      </c>
      <c r="AH143" s="229" t="str">
        <f t="shared" si="61"/>
        <v>1.27080998678134-3.9327312541659i</v>
      </c>
    </row>
    <row r="144" spans="9:34" x14ac:dyDescent="0.2">
      <c r="I144" s="227">
        <v>140</v>
      </c>
      <c r="J144" s="227">
        <f t="shared" si="49"/>
        <v>2.365017153749676</v>
      </c>
      <c r="K144" s="227">
        <f t="shared" si="72"/>
        <v>231.74861841565829</v>
      </c>
      <c r="L144" s="227">
        <f t="shared" si="62"/>
        <v>1456.1195141884325</v>
      </c>
      <c r="M144" s="227">
        <f t="shared" si="50"/>
        <v>6346.8351783893404</v>
      </c>
      <c r="N144" s="227">
        <f>SQRT((ABS(AC144)-171.5+'Small Signal'!C$59)^2)</f>
        <v>55.917171625943169</v>
      </c>
      <c r="O144" s="227">
        <f t="shared" si="63"/>
        <v>62.686757916759788</v>
      </c>
      <c r="P144" s="227">
        <f t="shared" si="64"/>
        <v>34.487062592628121</v>
      </c>
      <c r="Q144" s="227">
        <f t="shared" si="65"/>
        <v>231.74861841565829</v>
      </c>
      <c r="R144" s="227" t="str">
        <f t="shared" si="51"/>
        <v>0.0355+0.00189295536844496i</v>
      </c>
      <c r="S144" s="227" t="str">
        <f t="shared" si="52"/>
        <v>0.018-3.12162188691493i</v>
      </c>
      <c r="T144" s="227" t="str">
        <f t="shared" si="53"/>
        <v>1.2389122577011-2.51027803936564i</v>
      </c>
      <c r="U144" s="227" t="str">
        <f t="shared" si="54"/>
        <v>86.8952872298153-27.264825164228i</v>
      </c>
      <c r="V144" s="227">
        <f t="shared" si="66"/>
        <v>39.187724945034141</v>
      </c>
      <c r="W144" s="227">
        <f t="shared" si="67"/>
        <v>-17.420106926035395</v>
      </c>
      <c r="X144" s="227" t="str">
        <f t="shared" si="55"/>
        <v>0.999999618080554-0.000166976362991323i</v>
      </c>
      <c r="Y144" s="227" t="str">
        <f t="shared" si="56"/>
        <v>234.143652307088+128.319092858772i</v>
      </c>
      <c r="Z144" s="227" t="str">
        <f t="shared" si="57"/>
        <v>42.9635263811894+23.5362208688441i</v>
      </c>
      <c r="AA144" s="227" t="str">
        <f t="shared" si="58"/>
        <v>9.16074039658283-9.34903338362263i</v>
      </c>
      <c r="AB144" s="227">
        <f t="shared" si="68"/>
        <v>22.33817165791136</v>
      </c>
      <c r="AC144" s="227">
        <f t="shared" si="69"/>
        <v>-45.582828374056831</v>
      </c>
      <c r="AD144" s="229">
        <f t="shared" si="70"/>
        <v>12.148890934716761</v>
      </c>
      <c r="AE144" s="229">
        <f t="shared" si="71"/>
        <v>108.26958629081662</v>
      </c>
      <c r="AF144" s="227">
        <f t="shared" si="59"/>
        <v>34.487062592628121</v>
      </c>
      <c r="AG144" s="227">
        <f t="shared" si="60"/>
        <v>62.686757916759788</v>
      </c>
      <c r="AH144" s="229" t="str">
        <f t="shared" si="61"/>
        <v>1.26959754837411-3.84575489725521i</v>
      </c>
    </row>
    <row r="145" spans="9:34" x14ac:dyDescent="0.2">
      <c r="I145" s="227">
        <v>141</v>
      </c>
      <c r="J145" s="227">
        <f t="shared" si="49"/>
        <v>2.3747672762764593</v>
      </c>
      <c r="K145" s="227">
        <f t="shared" si="72"/>
        <v>237.01033071128947</v>
      </c>
      <c r="L145" s="227">
        <f t="shared" si="62"/>
        <v>1489.1798275749486</v>
      </c>
      <c r="M145" s="227">
        <f t="shared" si="50"/>
        <v>6341.4540020965933</v>
      </c>
      <c r="N145" s="227">
        <f>SQRT((ABS(AC145)-171.5+'Small Signal'!C$59)^2)</f>
        <v>55.267629325959589</v>
      </c>
      <c r="O145" s="227">
        <f t="shared" si="63"/>
        <v>62.406176705370129</v>
      </c>
      <c r="P145" s="227">
        <f t="shared" si="64"/>
        <v>34.211938498291744</v>
      </c>
      <c r="Q145" s="227">
        <f t="shared" si="65"/>
        <v>237.01033071128947</v>
      </c>
      <c r="R145" s="227" t="str">
        <f t="shared" si="51"/>
        <v>0.0355+0.00193593377584743i</v>
      </c>
      <c r="S145" s="227" t="str">
        <f t="shared" si="52"/>
        <v>0.018-3.05232078845479i</v>
      </c>
      <c r="T145" s="227" t="str">
        <f t="shared" si="53"/>
        <v>1.19519136108596-2.47534210166508i</v>
      </c>
      <c r="U145" s="227" t="str">
        <f t="shared" si="54"/>
        <v>86.5954626882597-27.8093969571138i</v>
      </c>
      <c r="V145" s="227">
        <f t="shared" si="66"/>
        <v>39.176177035887896</v>
      </c>
      <c r="W145" s="227">
        <f t="shared" si="67"/>
        <v>-17.803980007985409</v>
      </c>
      <c r="X145" s="227" t="str">
        <f t="shared" si="55"/>
        <v>0.999999600541178-0.000170767460380544i</v>
      </c>
      <c r="Y145" s="227" t="str">
        <f t="shared" si="56"/>
        <v>235.979840038407+130.747833785581i</v>
      </c>
      <c r="Z145" s="227" t="str">
        <f t="shared" si="57"/>
        <v>43.3005862122361+23.981614213653i</v>
      </c>
      <c r="AA145" s="227" t="str">
        <f t="shared" si="58"/>
        <v>8.9509695230883-9.34454713047419i</v>
      </c>
      <c r="AB145" s="227">
        <f t="shared" si="68"/>
        <v>22.238602955587623</v>
      </c>
      <c r="AC145" s="227">
        <f t="shared" si="69"/>
        <v>-46.232370674040411</v>
      </c>
      <c r="AD145" s="229">
        <f t="shared" si="70"/>
        <v>11.973335542704124</v>
      </c>
      <c r="AE145" s="229">
        <f t="shared" si="71"/>
        <v>108.63854737941054</v>
      </c>
      <c r="AF145" s="227">
        <f t="shared" si="59"/>
        <v>34.211938498291744</v>
      </c>
      <c r="AG145" s="227">
        <f t="shared" si="60"/>
        <v>62.406176705370129</v>
      </c>
      <c r="AH145" s="229" t="str">
        <f t="shared" si="61"/>
        <v>1.26843816857114-3.76071624466361i</v>
      </c>
    </row>
    <row r="146" spans="9:34" x14ac:dyDescent="0.2">
      <c r="I146" s="227">
        <v>142</v>
      </c>
      <c r="J146" s="227">
        <f t="shared" si="49"/>
        <v>2.3845173988032426</v>
      </c>
      <c r="K146" s="227">
        <f t="shared" si="72"/>
        <v>242.39150700403647</v>
      </c>
      <c r="L146" s="227">
        <f t="shared" si="62"/>
        <v>1522.9907553928797</v>
      </c>
      <c r="M146" s="227">
        <f t="shared" si="50"/>
        <v>6335.9506494488887</v>
      </c>
      <c r="N146" s="227">
        <f>SQRT((ABS(AC146)-171.5+'Small Signal'!C$59)^2)</f>
        <v>54.618410562921994</v>
      </c>
      <c r="O146" s="227">
        <f t="shared" si="63"/>
        <v>62.13289143956672</v>
      </c>
      <c r="P146" s="227">
        <f t="shared" si="64"/>
        <v>33.935428867992677</v>
      </c>
      <c r="Q146" s="227">
        <f t="shared" si="65"/>
        <v>242.39150700403647</v>
      </c>
      <c r="R146" s="227" t="str">
        <f t="shared" si="51"/>
        <v>0.0355+0.00197988798201074i</v>
      </c>
      <c r="S146" s="227" t="str">
        <f t="shared" si="52"/>
        <v>0.018-2.98455819863592i</v>
      </c>
      <c r="T146" s="227" t="str">
        <f t="shared" si="53"/>
        <v>1.15269182954611-2.4401521690398i</v>
      </c>
      <c r="U146" s="227" t="str">
        <f t="shared" si="54"/>
        <v>86.2834837708979-28.3615488867776i</v>
      </c>
      <c r="V146" s="227">
        <f t="shared" si="66"/>
        <v>39.164127295155232</v>
      </c>
      <c r="W146" s="227">
        <f t="shared" si="67"/>
        <v>-18.195794791043724</v>
      </c>
      <c r="X146" s="227" t="str">
        <f t="shared" si="55"/>
        <v>0.999999582196319-0.000174644632344376i</v>
      </c>
      <c r="Y146" s="227" t="str">
        <f t="shared" si="56"/>
        <v>237.889679884734+133.200630356651i</v>
      </c>
      <c r="Z146" s="227" t="str">
        <f t="shared" si="57"/>
        <v>43.6511655982499+24.4314124712541i</v>
      </c>
      <c r="AA146" s="227" t="str">
        <f t="shared" si="58"/>
        <v>8.74150654866057-9.33536320026741i</v>
      </c>
      <c r="AB146" s="227">
        <f t="shared" si="68"/>
        <v>22.136849157701892</v>
      </c>
      <c r="AC146" s="227">
        <f t="shared" si="69"/>
        <v>-46.881589437078006</v>
      </c>
      <c r="AD146" s="229">
        <f t="shared" si="70"/>
        <v>11.798579710290785</v>
      </c>
      <c r="AE146" s="229">
        <f t="shared" si="71"/>
        <v>109.01448087664473</v>
      </c>
      <c r="AF146" s="227">
        <f t="shared" si="59"/>
        <v>33.935428867992677</v>
      </c>
      <c r="AG146" s="227">
        <f t="shared" si="60"/>
        <v>62.13289143956672</v>
      </c>
      <c r="AH146" s="229" t="str">
        <f t="shared" si="61"/>
        <v>1.26732951020423-3.67757248052182i</v>
      </c>
    </row>
    <row r="147" spans="9:34" x14ac:dyDescent="0.2">
      <c r="I147" s="227">
        <v>143</v>
      </c>
      <c r="J147" s="227">
        <f t="shared" si="49"/>
        <v>2.3942675213300264</v>
      </c>
      <c r="K147" s="227">
        <f t="shared" si="72"/>
        <v>247.8948596517416</v>
      </c>
      <c r="L147" s="227">
        <f t="shared" si="62"/>
        <v>1557.5693398891685</v>
      </c>
      <c r="M147" s="227">
        <f t="shared" si="50"/>
        <v>6330.3223465059391</v>
      </c>
      <c r="N147" s="227">
        <f>SQRT((ABS(AC147)-171.5+'Small Signal'!C$59)^2)</f>
        <v>53.969834472575215</v>
      </c>
      <c r="O147" s="227">
        <f t="shared" si="63"/>
        <v>61.867263508228376</v>
      </c>
      <c r="P147" s="227">
        <f t="shared" si="64"/>
        <v>33.657567053969494</v>
      </c>
      <c r="Q147" s="227">
        <f t="shared" si="65"/>
        <v>247.8948596517416</v>
      </c>
      <c r="R147" s="227" t="str">
        <f t="shared" si="51"/>
        <v>0.0355+0.00202484014185592i</v>
      </c>
      <c r="S147" s="227" t="str">
        <f t="shared" si="52"/>
        <v>0.018-2.91829996202801i</v>
      </c>
      <c r="T147" s="227" t="str">
        <f t="shared" si="53"/>
        <v>1.11140424239469-2.40475363019649i</v>
      </c>
      <c r="U147" s="227" t="str">
        <f t="shared" si="54"/>
        <v>85.9589303779996-28.9211642143349i</v>
      </c>
      <c r="V147" s="227">
        <f t="shared" si="66"/>
        <v>39.151555194587601</v>
      </c>
      <c r="W147" s="227">
        <f t="shared" si="67"/>
        <v>-18.595681841943978</v>
      </c>
      <c r="X147" s="227" t="str">
        <f t="shared" si="55"/>
        <v>0.999999563008985-0.000178609833154006i</v>
      </c>
      <c r="Y147" s="227" t="str">
        <f t="shared" si="56"/>
        <v>239.875642115678+135.676158030576i</v>
      </c>
      <c r="Z147" s="227" t="str">
        <f t="shared" si="57"/>
        <v>44.015717942426+24.8853722040483i</v>
      </c>
      <c r="AA147" s="227" t="str">
        <f t="shared" si="58"/>
        <v>8.532561303735-9.32150474598673i</v>
      </c>
      <c r="AB147" s="227">
        <f t="shared" si="68"/>
        <v>22.032914632205774</v>
      </c>
      <c r="AC147" s="227">
        <f t="shared" si="69"/>
        <v>-47.530165527424785</v>
      </c>
      <c r="AD147" s="229">
        <f t="shared" si="70"/>
        <v>11.62465242176372</v>
      </c>
      <c r="AE147" s="229">
        <f t="shared" si="71"/>
        <v>109.39742903565316</v>
      </c>
      <c r="AF147" s="227">
        <f t="shared" si="59"/>
        <v>33.657567053969494</v>
      </c>
      <c r="AG147" s="227">
        <f t="shared" si="60"/>
        <v>61.867263508228376</v>
      </c>
      <c r="AH147" s="229" t="str">
        <f t="shared" si="61"/>
        <v>1.26626933832627-3.59628174096843i</v>
      </c>
    </row>
    <row r="148" spans="9:34" x14ac:dyDescent="0.2">
      <c r="I148" s="227">
        <v>144</v>
      </c>
      <c r="J148" s="227">
        <f t="shared" si="49"/>
        <v>2.4040176438568097</v>
      </c>
      <c r="K148" s="227">
        <f t="shared" si="72"/>
        <v>253.52316259469112</v>
      </c>
      <c r="L148" s="227">
        <f t="shared" si="62"/>
        <v>1592.9330102446645</v>
      </c>
      <c r="M148" s="227">
        <f t="shared" si="50"/>
        <v>6324.5662563468195</v>
      </c>
      <c r="N148" s="227">
        <f>SQRT((ABS(AC148)-171.5+'Small Signal'!C$59)^2)</f>
        <v>53.322218120934124</v>
      </c>
      <c r="O148" s="227">
        <f t="shared" si="63"/>
        <v>61.609647740879907</v>
      </c>
      <c r="P148" s="227">
        <f t="shared" si="64"/>
        <v>33.378389309588115</v>
      </c>
      <c r="Q148" s="227">
        <f t="shared" si="65"/>
        <v>253.52316259469112</v>
      </c>
      <c r="R148" s="227" t="str">
        <f t="shared" si="51"/>
        <v>0.0355+0.00207081291331806i</v>
      </c>
      <c r="S148" s="227" t="str">
        <f t="shared" si="52"/>
        <v>0.018-2.85351268146323i</v>
      </c>
      <c r="T148" s="227" t="str">
        <f t="shared" si="53"/>
        <v>1.0713173356849-2.36919033314373i</v>
      </c>
      <c r="U148" s="227" t="str">
        <f t="shared" si="54"/>
        <v>85.6213742869394-29.4881081589977i</v>
      </c>
      <c r="V148" s="227">
        <f t="shared" si="66"/>
        <v>39.138439478204006</v>
      </c>
      <c r="W148" s="227">
        <f t="shared" si="67"/>
        <v>-19.003771685214453</v>
      </c>
      <c r="X148" s="227" t="str">
        <f t="shared" si="55"/>
        <v>0.999999542940487-0.000182665061451167i</v>
      </c>
      <c r="Y148" s="227" t="str">
        <f t="shared" si="56"/>
        <v>241.940236732415+138.172963267782i</v>
      </c>
      <c r="Z148" s="227" t="str">
        <f t="shared" si="57"/>
        <v>44.3947039362165+25.3432262857553i</v>
      </c>
      <c r="AA148" s="227" t="str">
        <f t="shared" si="58"/>
        <v>8.32434154292367-9.30300656427008i</v>
      </c>
      <c r="AB148" s="227">
        <f t="shared" si="68"/>
        <v>21.926805928214211</v>
      </c>
      <c r="AC148" s="227">
        <f t="shared" si="69"/>
        <v>-48.177781879065876</v>
      </c>
      <c r="AD148" s="229">
        <f t="shared" si="70"/>
        <v>11.451583381373903</v>
      </c>
      <c r="AE148" s="229">
        <f t="shared" si="71"/>
        <v>109.78742961994578</v>
      </c>
      <c r="AF148" s="227">
        <f t="shared" si="59"/>
        <v>33.378389309588115</v>
      </c>
      <c r="AG148" s="227">
        <f t="shared" si="60"/>
        <v>61.609647740879907</v>
      </c>
      <c r="AH148" s="229" t="str">
        <f t="shared" si="61"/>
        <v>1.26525551570945-3.51680309325015i</v>
      </c>
    </row>
    <row r="149" spans="9:34" x14ac:dyDescent="0.2">
      <c r="I149" s="227">
        <v>145</v>
      </c>
      <c r="J149" s="227">
        <f t="shared" si="49"/>
        <v>2.413767766383593</v>
      </c>
      <c r="K149" s="227">
        <f t="shared" si="72"/>
        <v>259.27925275381034</v>
      </c>
      <c r="L149" s="227">
        <f t="shared" si="62"/>
        <v>1629.0995913592435</v>
      </c>
      <c r="M149" s="227">
        <f t="shared" si="50"/>
        <v>6318.679477640032</v>
      </c>
      <c r="N149" s="227">
        <f>SQRT((ABS(AC149)-171.5+'Small Signal'!C$59)^2)</f>
        <v>52.675875708423348</v>
      </c>
      <c r="O149" s="227">
        <f t="shared" si="63"/>
        <v>61.360391288919764</v>
      </c>
      <c r="P149" s="227">
        <f t="shared" si="64"/>
        <v>33.097934754108827</v>
      </c>
      <c r="Q149" s="227">
        <f t="shared" si="65"/>
        <v>259.27925275381034</v>
      </c>
      <c r="R149" s="227" t="str">
        <f t="shared" si="51"/>
        <v>0.0355+0.00211782946876702i</v>
      </c>
      <c r="S149" s="227" t="str">
        <f t="shared" si="52"/>
        <v>0.018-2.79016370120259i</v>
      </c>
      <c r="T149" s="227" t="str">
        <f t="shared" si="53"/>
        <v>1.03241814153407-2.33350452862655i</v>
      </c>
      <c r="U149" s="227" t="str">
        <f t="shared" si="54"/>
        <v>85.2703795981534-30.0622268935637i</v>
      </c>
      <c r="V149" s="227">
        <f t="shared" si="66"/>
        <v>39.124758146226682</v>
      </c>
      <c r="W149" s="227">
        <f t="shared" si="67"/>
        <v>-19.42019464149605</v>
      </c>
      <c r="X149" s="227" t="str">
        <f t="shared" si="55"/>
        <v>0.999999521950358-0.000186812361255544i</v>
      </c>
      <c r="Y149" s="227" t="str">
        <f t="shared" si="56"/>
        <v>244.086009898352+140.689456877283i</v>
      </c>
      <c r="Z149" s="227" t="str">
        <f t="shared" si="57"/>
        <v>44.7885909037005+25.8046826798627i</v>
      </c>
      <c r="AA149" s="227" t="str">
        <f t="shared" si="58"/>
        <v>8.11705212500099-9.27991488351373i</v>
      </c>
      <c r="AB149" s="227">
        <f t="shared" si="68"/>
        <v>21.818531750189099</v>
      </c>
      <c r="AC149" s="227">
        <f t="shared" si="69"/>
        <v>-48.824124291576659</v>
      </c>
      <c r="AD149" s="229">
        <f t="shared" si="70"/>
        <v>11.279403003919731</v>
      </c>
      <c r="AE149" s="229">
        <f t="shared" si="71"/>
        <v>110.18451558049642</v>
      </c>
      <c r="AF149" s="227">
        <f t="shared" si="59"/>
        <v>33.097934754108827</v>
      </c>
      <c r="AG149" s="227">
        <f t="shared" si="60"/>
        <v>61.360391288919764</v>
      </c>
      <c r="AH149" s="229" t="str">
        <f t="shared" si="61"/>
        <v>1.26428599853997-3.43909651527774i</v>
      </c>
    </row>
    <row r="150" spans="9:34" x14ac:dyDescent="0.2">
      <c r="I150" s="227">
        <v>146</v>
      </c>
      <c r="J150" s="227">
        <f t="shared" si="49"/>
        <v>2.4235178889103763</v>
      </c>
      <c r="K150" s="227">
        <f t="shared" si="72"/>
        <v>265.16603146059816</v>
      </c>
      <c r="L150" s="227">
        <f t="shared" si="62"/>
        <v>1666.0873128363503</v>
      </c>
      <c r="M150" s="227">
        <f t="shared" si="50"/>
        <v>6312.6590431810982</v>
      </c>
      <c r="N150" s="227">
        <f>SQRT((ABS(AC150)-171.5+'Small Signal'!C$59)^2)</f>
        <v>52.031117790905341</v>
      </c>
      <c r="O150" s="227">
        <f t="shared" si="63"/>
        <v>61.119832516479832</v>
      </c>
      <c r="P150" s="227">
        <f t="shared" si="64"/>
        <v>32.816245326275379</v>
      </c>
      <c r="Q150" s="227">
        <f t="shared" si="65"/>
        <v>265.16603146059816</v>
      </c>
      <c r="R150" s="227" t="str">
        <f t="shared" si="51"/>
        <v>0.0355+0.00216591350668726i</v>
      </c>
      <c r="S150" s="227" t="str">
        <f t="shared" si="52"/>
        <v>0.018-2.72822109047596i</v>
      </c>
      <c r="T150" s="227" t="str">
        <f t="shared" si="53"/>
        <v>0.994692126191753-2.29773682484253i</v>
      </c>
      <c r="U150" s="227" t="str">
        <f t="shared" si="54"/>
        <v>84.9055032504972-30.6433465197521i</v>
      </c>
      <c r="V150" s="227">
        <f t="shared" si="66"/>
        <v>39.11048843954579</v>
      </c>
      <c r="W150" s="227">
        <f t="shared" si="67"/>
        <v>-19.845080655892108</v>
      </c>
      <c r="X150" s="227" t="str">
        <f t="shared" si="55"/>
        <v>0.999999499996272-0.000191053822995053i</v>
      </c>
      <c r="Y150" s="227" t="str">
        <f t="shared" si="56"/>
        <v>246.315539885223+143.223907245357i</v>
      </c>
      <c r="Z150" s="227" t="str">
        <f t="shared" si="57"/>
        <v>45.1978520569751+26.2694231964017i</v>
      </c>
      <c r="AA150" s="227" t="str">
        <f t="shared" si="58"/>
        <v>7.91089421734443-9.25228708405245i</v>
      </c>
      <c r="AB150" s="227">
        <f t="shared" si="68"/>
        <v>21.708102923698021</v>
      </c>
      <c r="AC150" s="227">
        <f t="shared" si="69"/>
        <v>-49.468882209094659</v>
      </c>
      <c r="AD150" s="229">
        <f t="shared" si="70"/>
        <v>11.108142402577357</v>
      </c>
      <c r="AE150" s="229">
        <f t="shared" si="71"/>
        <v>110.58871472557449</v>
      </c>
      <c r="AF150" s="227">
        <f t="shared" si="59"/>
        <v>32.816245326275379</v>
      </c>
      <c r="AG150" s="227">
        <f t="shared" si="60"/>
        <v>61.119832516479832</v>
      </c>
      <c r="AH150" s="229" t="str">
        <f t="shared" si="61"/>
        <v>1.26335883230086-3.36312287562915i</v>
      </c>
    </row>
    <row r="151" spans="9:34" x14ac:dyDescent="0.2">
      <c r="I151" s="227">
        <v>147</v>
      </c>
      <c r="J151" s="227">
        <f t="shared" si="49"/>
        <v>2.4332680114371597</v>
      </c>
      <c r="K151" s="227">
        <f t="shared" si="72"/>
        <v>271.18646591953211</v>
      </c>
      <c r="L151" s="227">
        <f t="shared" si="62"/>
        <v>1703.9148181715618</v>
      </c>
      <c r="M151" s="227">
        <f t="shared" si="50"/>
        <v>6306.5019183969562</v>
      </c>
      <c r="N151" s="227">
        <f>SQRT((ABS(AC151)-171.5+'Small Signal'!C$59)^2)</f>
        <v>51.388250522169471</v>
      </c>
      <c r="O151" s="227">
        <f t="shared" si="63"/>
        <v>60.88829990634563</v>
      </c>
      <c r="P151" s="227">
        <f t="shared" si="64"/>
        <v>32.533365726840728</v>
      </c>
      <c r="Q151" s="227">
        <f t="shared" si="65"/>
        <v>271.18646591953211</v>
      </c>
      <c r="R151" s="227" t="str">
        <f t="shared" si="51"/>
        <v>0.0355+0.00221508926362303i</v>
      </c>
      <c r="S151" s="227" t="str">
        <f t="shared" si="52"/>
        <v>0.018-2.66765362738742i</v>
      </c>
      <c r="T151" s="227" t="str">
        <f t="shared" si="53"/>
        <v>0.958123326046211-2.26192615286192i</v>
      </c>
      <c r="U151" s="227" t="str">
        <f t="shared" si="54"/>
        <v>84.5262956106629-31.2312720265782i</v>
      </c>
      <c r="V151" s="227">
        <f t="shared" si="66"/>
        <v>39.095606824815505</v>
      </c>
      <c r="W151" s="227">
        <f t="shared" si="67"/>
        <v>-20.278559116138752</v>
      </c>
      <c r="X151" s="227" t="str">
        <f t="shared" si="55"/>
        <v>0.999999477033961-0.000195391584559515i</v>
      </c>
      <c r="Y151" s="227" t="str">
        <f t="shared" si="56"/>
        <v>248.631432503251+145.774433468606i</v>
      </c>
      <c r="Z151" s="227" t="str">
        <f t="shared" si="57"/>
        <v>45.6229656568066+26.7371022311764i</v>
      </c>
      <c r="AA151" s="227" t="str">
        <f t="shared" si="58"/>
        <v>7.70606453129719-9.22019135354995i</v>
      </c>
      <c r="AB151" s="227">
        <f t="shared" si="68"/>
        <v>21.595532353037648</v>
      </c>
      <c r="AC151" s="227">
        <f t="shared" si="69"/>
        <v>-50.111749477830536</v>
      </c>
      <c r="AD151" s="229">
        <f t="shared" si="70"/>
        <v>10.93783337380308</v>
      </c>
      <c r="AE151" s="229">
        <f t="shared" si="71"/>
        <v>111.00004938417617</v>
      </c>
      <c r="AF151" s="227">
        <f t="shared" si="59"/>
        <v>32.533365726840728</v>
      </c>
      <c r="AG151" s="227">
        <f t="shared" si="60"/>
        <v>60.88829990634563</v>
      </c>
      <c r="AH151" s="229" t="str">
        <f t="shared" si="61"/>
        <v>1.26247214783447-3.28884391398978i</v>
      </c>
    </row>
    <row r="152" spans="9:34" x14ac:dyDescent="0.2">
      <c r="I152" s="227">
        <v>148</v>
      </c>
      <c r="J152" s="227">
        <f t="shared" si="49"/>
        <v>2.4430181339639434</v>
      </c>
      <c r="K152" s="227">
        <f t="shared" si="72"/>
        <v>277.34359070367395</v>
      </c>
      <c r="L152" s="227">
        <f t="shared" si="62"/>
        <v>1742.601174149753</v>
      </c>
      <c r="M152" s="227">
        <f t="shared" si="50"/>
        <v>6300.2049998163993</v>
      </c>
      <c r="N152" s="227">
        <f>SQRT((ABS(AC152)-171.5+'Small Signal'!C$59)^2)</f>
        <v>50.74757492221805</v>
      </c>
      <c r="O152" s="227">
        <f t="shared" si="63"/>
        <v>60.666110986248142</v>
      </c>
      <c r="P152" s="227">
        <f t="shared" si="64"/>
        <v>32.249343350213451</v>
      </c>
      <c r="Q152" s="227">
        <f t="shared" si="65"/>
        <v>277.34359070367395</v>
      </c>
      <c r="R152" s="227" t="str">
        <f t="shared" si="51"/>
        <v>0.0355+0.00226538152639468i</v>
      </c>
      <c r="S152" s="227" t="str">
        <f t="shared" si="52"/>
        <v>0.018-2.60843078317811i</v>
      </c>
      <c r="T152" s="227" t="str">
        <f t="shared" si="53"/>
        <v>0.922694480852973-2.22610974213376i</v>
      </c>
      <c r="U152" s="227" t="str">
        <f t="shared" si="54"/>
        <v>84.1323011413044-31.82578623543i</v>
      </c>
      <c r="V152" s="227">
        <f t="shared" si="66"/>
        <v>39.08008898028487</v>
      </c>
      <c r="W152" s="227">
        <f t="shared" si="67"/>
        <v>-20.720758660407594</v>
      </c>
      <c r="X152" s="227" t="str">
        <f t="shared" si="55"/>
        <v>0.999999453017121-0.000199827832378243i</v>
      </c>
      <c r="Y152" s="227" t="str">
        <f t="shared" si="56"/>
        <v>251.036315983637+148.33899841724i</v>
      </c>
      <c r="Z152" s="227" t="str">
        <f t="shared" si="57"/>
        <v>46.0644140727158+27.2073454921897i</v>
      </c>
      <c r="AA152" s="227" t="str">
        <f t="shared" si="58"/>
        <v>7.50275459447796-9.18370628141918i</v>
      </c>
      <c r="AB152" s="227">
        <f t="shared" si="68"/>
        <v>21.480834971076057</v>
      </c>
      <c r="AC152" s="227">
        <f t="shared" si="69"/>
        <v>-50.75242507778195</v>
      </c>
      <c r="AD152" s="229">
        <f t="shared" si="70"/>
        <v>10.768508379137398</v>
      </c>
      <c r="AE152" s="229">
        <f t="shared" si="71"/>
        <v>111.41853606403009</v>
      </c>
      <c r="AF152" s="227">
        <f t="shared" si="59"/>
        <v>32.249343350213451</v>
      </c>
      <c r="AG152" s="227">
        <f t="shared" si="60"/>
        <v>60.666110986248142</v>
      </c>
      <c r="AH152" s="229" t="str">
        <f t="shared" si="61"/>
        <v>1.26162415757674-3.21622222202102i</v>
      </c>
    </row>
    <row r="153" spans="9:34" x14ac:dyDescent="0.2">
      <c r="I153" s="227">
        <v>149</v>
      </c>
      <c r="J153" s="227">
        <f t="shared" si="49"/>
        <v>2.4527682564907263</v>
      </c>
      <c r="K153" s="227">
        <f t="shared" si="72"/>
        <v>283.64050928423097</v>
      </c>
      <c r="L153" s="227">
        <f t="shared" si="62"/>
        <v>1782.165880455615</v>
      </c>
      <c r="M153" s="227">
        <f t="shared" si="50"/>
        <v>6293.7651135057795</v>
      </c>
      <c r="N153" s="227">
        <f>SQRT((ABS(AC153)-171.5+'Small Signal'!C$59)^2)</f>
        <v>50.109386175384913</v>
      </c>
      <c r="O153" s="227">
        <f t="shared" si="63"/>
        <v>60.453571280663745</v>
      </c>
      <c r="P153" s="227">
        <f t="shared" si="64"/>
        <v>31.964228205473752</v>
      </c>
      <c r="Q153" s="227">
        <f t="shared" si="65"/>
        <v>283.64050928423097</v>
      </c>
      <c r="R153" s="227" t="str">
        <f t="shared" si="51"/>
        <v>0.0355+0.0023168156445923i</v>
      </c>
      <c r="S153" s="227" t="str">
        <f t="shared" si="52"/>
        <v>0.018-2.55052270683832i</v>
      </c>
      <c r="T153" s="227" t="str">
        <f t="shared" si="53"/>
        <v>0.888387163557386-2.19032310542979i</v>
      </c>
      <c r="U153" s="227" t="str">
        <f t="shared" si="54"/>
        <v>83.7230591525629-32.4266487360673i</v>
      </c>
      <c r="V153" s="227">
        <f t="shared" si="66"/>
        <v>39.063909782478497</v>
      </c>
      <c r="W153" s="227">
        <f t="shared" si="67"/>
        <v>-21.171806974593871</v>
      </c>
      <c r="X153" s="227" t="str">
        <f t="shared" si="55"/>
        <v>0.999999427897326-0.000204364802522108i</v>
      </c>
      <c r="Y153" s="227" t="str">
        <f t="shared" si="56"/>
        <v>253.532835281691+150.915401758136i</v>
      </c>
      <c r="Z153" s="227" t="str">
        <f t="shared" si="57"/>
        <v>46.5226827366778+27.6797487186941i</v>
      </c>
      <c r="AA153" s="227" t="str">
        <f t="shared" si="58"/>
        <v>7.30115006554101-9.14292039671409i</v>
      </c>
      <c r="AB153" s="227">
        <f t="shared" si="68"/>
        <v>21.364027681729581</v>
      </c>
      <c r="AC153" s="227">
        <f t="shared" si="69"/>
        <v>-51.390613824615095</v>
      </c>
      <c r="AD153" s="229">
        <f t="shared" si="70"/>
        <v>10.600200523744171</v>
      </c>
      <c r="AE153" s="229">
        <f t="shared" si="71"/>
        <v>111.84418510527884</v>
      </c>
      <c r="AF153" s="227">
        <f t="shared" si="59"/>
        <v>31.964228205473752</v>
      </c>
      <c r="AG153" s="227">
        <f t="shared" si="60"/>
        <v>60.453571280663745</v>
      </c>
      <c r="AH153" s="229" t="str">
        <f t="shared" si="61"/>
        <v>1.26081315195577-3.14522122464849i</v>
      </c>
    </row>
    <row r="154" spans="9:34" x14ac:dyDescent="0.2">
      <c r="I154" s="227">
        <v>150</v>
      </c>
      <c r="J154" s="227">
        <f t="shared" si="49"/>
        <v>2.46251837901751</v>
      </c>
      <c r="K154" s="227">
        <f t="shared" si="72"/>
        <v>290.08039559485076</v>
      </c>
      <c r="L154" s="227">
        <f t="shared" si="62"/>
        <v>1822.6288795024082</v>
      </c>
      <c r="M154" s="227">
        <f t="shared" si="50"/>
        <v>6287.1790134692064</v>
      </c>
      <c r="N154" s="227">
        <f>SQRT((ABS(AC154)-171.5+'Small Signal'!C$59)^2)</f>
        <v>49.473972962006215</v>
      </c>
      <c r="O154" s="227">
        <f t="shared" si="63"/>
        <v>60.250973293079596</v>
      </c>
      <c r="P154" s="227">
        <f t="shared" si="64"/>
        <v>31.678072827063097</v>
      </c>
      <c r="Q154" s="227">
        <f t="shared" si="65"/>
        <v>290.08039559485076</v>
      </c>
      <c r="R154" s="227" t="str">
        <f t="shared" si="51"/>
        <v>0.0355+0.00236941754335313i</v>
      </c>
      <c r="S154" s="227" t="str">
        <f t="shared" si="52"/>
        <v>0.018-2.49390021006113i</v>
      </c>
      <c r="T154" s="227" t="str">
        <f t="shared" si="53"/>
        <v>0.855181906169126-2.15460003255773i</v>
      </c>
      <c r="U154" s="227" t="str">
        <f t="shared" si="54"/>
        <v>83.2981046416182-33.0335948183252i</v>
      </c>
      <c r="V154" s="227">
        <f t="shared" si="66"/>
        <v>39.047043293846045</v>
      </c>
      <c r="W154" s="227">
        <f t="shared" si="67"/>
        <v>-21.631830578985628</v>
      </c>
      <c r="X154" s="227" t="str">
        <f t="shared" si="55"/>
        <v>0.999999401623922-0.00020900478183062i</v>
      </c>
      <c r="Y154" s="227" t="str">
        <f t="shared" si="56"/>
        <v>256.123645769236+153.501272971074i</v>
      </c>
      <c r="Z154" s="227" t="str">
        <f t="shared" si="57"/>
        <v>46.998258984678+28.1538763989992i</v>
      </c>
      <c r="AA154" s="227" t="str">
        <f t="shared" si="58"/>
        <v>7.10143009630065-9.09793165447166i</v>
      </c>
      <c r="AB154" s="227">
        <f t="shared" si="68"/>
        <v>21.245129295541929</v>
      </c>
      <c r="AC154" s="227">
        <f t="shared" si="69"/>
        <v>-52.026027037993785</v>
      </c>
      <c r="AD154" s="229">
        <f t="shared" si="70"/>
        <v>10.432943531521166</v>
      </c>
      <c r="AE154" s="229">
        <f t="shared" si="71"/>
        <v>112.27700033107338</v>
      </c>
      <c r="AF154" s="227">
        <f t="shared" si="59"/>
        <v>31.678072827063097</v>
      </c>
      <c r="AG154" s="227">
        <f t="shared" si="60"/>
        <v>60.250973293079596</v>
      </c>
      <c r="AH154" s="229" t="str">
        <f t="shared" si="61"/>
        <v>1.26003749594738-3.0758051617605i</v>
      </c>
    </row>
    <row r="155" spans="9:34" x14ac:dyDescent="0.2">
      <c r="I155" s="227">
        <v>151</v>
      </c>
      <c r="J155" s="227">
        <f t="shared" si="49"/>
        <v>2.4722685015442938</v>
      </c>
      <c r="K155" s="227">
        <f t="shared" si="72"/>
        <v>296.66649563142352</v>
      </c>
      <c r="L155" s="227">
        <f t="shared" si="62"/>
        <v>1864.0105664838172</v>
      </c>
      <c r="M155" s="227">
        <f t="shared" si="50"/>
        <v>6280.4433800124152</v>
      </c>
      <c r="N155" s="227">
        <f>SQRT((ABS(AC155)-171.5+'Small Signal'!C$59)^2)</f>
        <v>48.841616827018413</v>
      </c>
      <c r="O155" s="227">
        <f t="shared" si="63"/>
        <v>60.058595523463445</v>
      </c>
      <c r="P155" s="227">
        <f t="shared" si="64"/>
        <v>31.390932175513267</v>
      </c>
      <c r="Q155" s="227">
        <f t="shared" si="65"/>
        <v>296.66649563142352</v>
      </c>
      <c r="R155" s="227" t="str">
        <f t="shared" si="51"/>
        <v>0.0355+0.00242321373642896i</v>
      </c>
      <c r="S155" s="227" t="str">
        <f t="shared" si="52"/>
        <v>0.018-2.43853475253033i</v>
      </c>
      <c r="T155" s="227" t="str">
        <f t="shared" si="53"/>
        <v>0.823058321229956-2.11897259216509i</v>
      </c>
      <c r="U155" s="227" t="str">
        <f t="shared" si="54"/>
        <v>82.8569692248183-33.6463344048952i</v>
      </c>
      <c r="V155" s="227">
        <f t="shared" si="66"/>
        <v>39.029462751507609</v>
      </c>
      <c r="W155" s="227">
        <f t="shared" si="67"/>
        <v>-22.100954604247526</v>
      </c>
      <c r="X155" s="227" t="str">
        <f t="shared" si="55"/>
        <v>0.999999374143931-0.000213750109064595i</v>
      </c>
      <c r="Y155" s="227" t="str">
        <f t="shared" si="56"/>
        <v>258.811406285492+156.094064395546i</v>
      </c>
      <c r="Z155" s="227" t="str">
        <f t="shared" si="57"/>
        <v>47.4916307804696+28.6292604939041i</v>
      </c>
      <c r="AA155" s="227" t="str">
        <f t="shared" si="58"/>
        <v>6.90376674549507-9.04884687594141i</v>
      </c>
      <c r="AB155" s="227">
        <f t="shared" si="68"/>
        <v>21.12416045888455</v>
      </c>
      <c r="AC155" s="227">
        <f t="shared" si="69"/>
        <v>-52.658383172981594</v>
      </c>
      <c r="AD155" s="229">
        <f t="shared" si="70"/>
        <v>10.266771716628718</v>
      </c>
      <c r="AE155" s="229">
        <f t="shared" si="71"/>
        <v>112.71697869644504</v>
      </c>
      <c r="AF155" s="227">
        <f t="shared" si="59"/>
        <v>31.390932175513267</v>
      </c>
      <c r="AG155" s="227">
        <f t="shared" si="60"/>
        <v>60.058595523463445</v>
      </c>
      <c r="AH155" s="229" t="str">
        <f t="shared" si="61"/>
        <v>1.25929562578075-3.00793907030873i</v>
      </c>
    </row>
    <row r="156" spans="9:34" x14ac:dyDescent="0.2">
      <c r="I156" s="227">
        <v>152</v>
      </c>
      <c r="J156" s="227">
        <f t="shared" si="49"/>
        <v>2.4820186240710767</v>
      </c>
      <c r="K156" s="227">
        <f t="shared" si="72"/>
        <v>303.40212908821462</v>
      </c>
      <c r="L156" s="227">
        <f t="shared" si="62"/>
        <v>1906.3317996540743</v>
      </c>
      <c r="M156" s="227">
        <f t="shared" si="50"/>
        <v>6273.5548180694868</v>
      </c>
      <c r="N156" s="227">
        <f>SQRT((ABS(AC156)-171.5+'Small Signal'!C$59)^2)</f>
        <v>48.212591588433909</v>
      </c>
      <c r="O156" s="227">
        <f t="shared" si="63"/>
        <v>59.876701525394822</v>
      </c>
      <c r="P156" s="227">
        <f t="shared" si="64"/>
        <v>31.102863528625505</v>
      </c>
      <c r="Q156" s="227">
        <f t="shared" si="65"/>
        <v>303.40212908821462</v>
      </c>
      <c r="R156" s="227" t="str">
        <f t="shared" si="51"/>
        <v>0.0355+0.0024782313395503i</v>
      </c>
      <c r="S156" s="227" t="str">
        <f t="shared" si="52"/>
        <v>0.018-2.38439842753469i</v>
      </c>
      <c r="T156" s="227" t="str">
        <f t="shared" si="53"/>
        <v>0.791995218494733-2.08347114095172i</v>
      </c>
      <c r="U156" s="227" t="str">
        <f t="shared" si="54"/>
        <v>82.3991821667727-34.2645509911913i</v>
      </c>
      <c r="V156" s="227">
        <f t="shared" si="66"/>
        <v>39.011140557226646</v>
      </c>
      <c r="W156" s="227">
        <f t="shared" si="67"/>
        <v>-22.579302556713682</v>
      </c>
      <c r="X156" s="227" t="str">
        <f t="shared" si="55"/>
        <v>0.999999345401942-0.000218603176085001i</v>
      </c>
      <c r="Y156" s="227" t="str">
        <f t="shared" si="56"/>
        <v>261.598771516596+158.691044349993i</v>
      </c>
      <c r="Z156" s="227" t="str">
        <f t="shared" si="57"/>
        <v>48.003285316053+29.1053991734401i</v>
      </c>
      <c r="AA156" s="227" t="str">
        <f t="shared" si="58"/>
        <v>6.708324447769-8.99578114850677i</v>
      </c>
      <c r="AB156" s="227">
        <f t="shared" si="68"/>
        <v>21.00114357733521</v>
      </c>
      <c r="AC156" s="227">
        <f t="shared" si="69"/>
        <v>-53.287408411566091</v>
      </c>
      <c r="AD156" s="229">
        <f t="shared" si="70"/>
        <v>10.101719951290296</v>
      </c>
      <c r="AE156" s="229">
        <f t="shared" si="71"/>
        <v>113.16410993696091</v>
      </c>
      <c r="AF156" s="227">
        <f t="shared" si="59"/>
        <v>31.102863528625505</v>
      </c>
      <c r="AG156" s="227">
        <f t="shared" si="60"/>
        <v>59.876701525394822</v>
      </c>
      <c r="AH156" s="229" t="str">
        <f t="shared" si="61"/>
        <v>1.25858604578745-2.94158876680227i</v>
      </c>
    </row>
    <row r="157" spans="9:34" x14ac:dyDescent="0.2">
      <c r="I157" s="227">
        <v>153</v>
      </c>
      <c r="J157" s="227">
        <f t="shared" si="49"/>
        <v>2.4917687465978604</v>
      </c>
      <c r="K157" s="227">
        <f t="shared" si="72"/>
        <v>310.29069103114273</v>
      </c>
      <c r="L157" s="227">
        <f t="shared" si="62"/>
        <v>1949.6139108414766</v>
      </c>
      <c r="M157" s="227">
        <f t="shared" si="50"/>
        <v>6266.5098554915867</v>
      </c>
      <c r="N157" s="227">
        <f>SQRT((ABS(AC157)-171.5+'Small Signal'!C$59)^2)</f>
        <v>47.5871627882822</v>
      </c>
      <c r="O157" s="227">
        <f t="shared" si="63"/>
        <v>59.7055390070892</v>
      </c>
      <c r="P157" s="227">
        <f t="shared" si="64"/>
        <v>30.813926363559546</v>
      </c>
      <c r="Q157" s="227">
        <f t="shared" si="65"/>
        <v>310.29069103114273</v>
      </c>
      <c r="R157" s="227" t="str">
        <f t="shared" si="51"/>
        <v>0.0355+0.00253449808409392i</v>
      </c>
      <c r="S157" s="227" t="str">
        <f t="shared" si="52"/>
        <v>0.018-2.3314639479017i</v>
      </c>
      <c r="T157" s="227" t="str">
        <f t="shared" si="53"/>
        <v>0.761970716520893-2.04812433961446i</v>
      </c>
      <c r="U157" s="227" t="str">
        <f t="shared" si="54"/>
        <v>81.9242715106201-34.8879005989728i</v>
      </c>
      <c r="V157" s="227">
        <f t="shared" si="66"/>
        <v>38.992048268751574</v>
      </c>
      <c r="W157" s="227">
        <f t="shared" si="67"/>
        <v>-23.066996073040414</v>
      </c>
      <c r="X157" s="227" t="str">
        <f t="shared" si="55"/>
        <v>0.999999315339997-0.000223566429058564i</v>
      </c>
      <c r="Y157" s="227" t="str">
        <f t="shared" si="56"/>
        <v>264.488383675484+161.289290369608i</v>
      </c>
      <c r="Z157" s="227" t="str">
        <f t="shared" si="57"/>
        <v>48.5337074836851+29.5817555753947i</v>
      </c>
      <c r="AA157" s="227" t="str">
        <f t="shared" si="58"/>
        <v>6.51525954074749-8.93885719137054i</v>
      </c>
      <c r="AB157" s="227">
        <f t="shared" si="68"/>
        <v>20.876102733826958</v>
      </c>
      <c r="AC157" s="227">
        <f t="shared" si="69"/>
        <v>-53.9128372117178</v>
      </c>
      <c r="AD157" s="229">
        <f t="shared" si="70"/>
        <v>9.9378236297325877</v>
      </c>
      <c r="AE157" s="229">
        <f t="shared" si="71"/>
        <v>113.618376218807</v>
      </c>
      <c r="AF157" s="227">
        <f t="shared" si="59"/>
        <v>30.813926363559546</v>
      </c>
      <c r="AG157" s="227">
        <f t="shared" si="60"/>
        <v>59.7055390070892</v>
      </c>
      <c r="AH157" s="229" t="str">
        <f t="shared" si="61"/>
        <v>1.25790732538776-2.876720830187i</v>
      </c>
    </row>
    <row r="158" spans="9:34" x14ac:dyDescent="0.2">
      <c r="I158" s="227">
        <v>154</v>
      </c>
      <c r="J158" s="227">
        <f t="shared" si="49"/>
        <v>2.5015188691246433</v>
      </c>
      <c r="K158" s="227">
        <f t="shared" si="72"/>
        <v>317.33565360904294</v>
      </c>
      <c r="L158" s="227">
        <f t="shared" si="62"/>
        <v>1993.8787162005692</v>
      </c>
      <c r="M158" s="227">
        <f t="shared" si="50"/>
        <v>6259.3049412968358</v>
      </c>
      <c r="N158" s="227">
        <f>SQRT((ABS(AC158)-171.5+'Small Signal'!C$59)^2)</f>
        <v>46.965587188143587</v>
      </c>
      <c r="O158" s="227">
        <f t="shared" si="63"/>
        <v>59.54533898021608</v>
      </c>
      <c r="P158" s="227">
        <f t="shared" si="64"/>
        <v>30.524182230331366</v>
      </c>
      <c r="Q158" s="227">
        <f t="shared" si="65"/>
        <v>317.33565360904294</v>
      </c>
      <c r="R158" s="227" t="str">
        <f t="shared" si="51"/>
        <v>0.0355+0.00259204233106074i</v>
      </c>
      <c r="S158" s="227" t="str">
        <f t="shared" si="52"/>
        <v>0.018-2.27970463224369i</v>
      </c>
      <c r="T158" s="227" t="str">
        <f t="shared" si="53"/>
        <v>0.73296234893142-2.01295917485828i</v>
      </c>
      <c r="U158" s="227" t="str">
        <f t="shared" si="54"/>
        <v>81.4317653133752-35.5160107510475i</v>
      </c>
      <c r="V158" s="227">
        <f t="shared" si="66"/>
        <v>38.9721565926694</v>
      </c>
      <c r="W158" s="227">
        <f t="shared" si="67"/>
        <v>-23.56415466432669</v>
      </c>
      <c r="X158" s="227" t="str">
        <f t="shared" si="55"/>
        <v>0.999999283897479-0.000228642369690744i</v>
      </c>
      <c r="Y158" s="227" t="str">
        <f t="shared" si="56"/>
        <v>267.482863455502+163.885682613579i</v>
      </c>
      <c r="Z158" s="227" t="str">
        <f t="shared" si="57"/>
        <v>49.08337821453+30.05775659496i</v>
      </c>
      <c r="AA158" s="227" t="str">
        <f t="shared" si="58"/>
        <v>6.3247198523365-8.87820469325818i</v>
      </c>
      <c r="AB158" s="227">
        <f t="shared" si="68"/>
        <v>20.749063602185998</v>
      </c>
      <c r="AC158" s="227">
        <f t="shared" si="69"/>
        <v>-54.534412811856406</v>
      </c>
      <c r="AD158" s="229">
        <f t="shared" si="70"/>
        <v>9.7751186281453677</v>
      </c>
      <c r="AE158" s="229">
        <f t="shared" si="71"/>
        <v>114.07975179207249</v>
      </c>
      <c r="AF158" s="227">
        <f t="shared" si="59"/>
        <v>30.524182230331366</v>
      </c>
      <c r="AG158" s="227">
        <f t="shared" si="60"/>
        <v>59.54533898021608</v>
      </c>
      <c r="AH158" s="229" t="str">
        <f t="shared" si="61"/>
        <v>1.25725809620787-2.81330258510206i</v>
      </c>
    </row>
    <row r="159" spans="9:34" x14ac:dyDescent="0.2">
      <c r="I159" s="227">
        <v>155</v>
      </c>
      <c r="J159" s="227">
        <f t="shared" si="49"/>
        <v>2.511268991651427</v>
      </c>
      <c r="K159" s="227">
        <f t="shared" si="72"/>
        <v>324.54056780379432</v>
      </c>
      <c r="L159" s="227">
        <f t="shared" si="62"/>
        <v>2039.1485272085208</v>
      </c>
      <c r="M159" s="227">
        <f t="shared" si="50"/>
        <v>6251.9364438804605</v>
      </c>
      <c r="N159" s="227">
        <f>SQRT((ABS(AC159)-171.5+'Small Signal'!C$59)^2)</f>
        <v>46.34811231098135</v>
      </c>
      <c r="O159" s="227">
        <f t="shared" si="63"/>
        <v>59.39631496013596</v>
      </c>
      <c r="P159" s="227">
        <f t="shared" si="64"/>
        <v>30.233694617252876</v>
      </c>
      <c r="Q159" s="227">
        <f t="shared" si="65"/>
        <v>324.54056780379432</v>
      </c>
      <c r="R159" s="227" t="str">
        <f t="shared" si="51"/>
        <v>0.0355+0.00265089308537108i</v>
      </c>
      <c r="S159" s="227" t="str">
        <f t="shared" si="52"/>
        <v>0.018-2.22909439150909i</v>
      </c>
      <c r="T159" s="227" t="str">
        <f t="shared" si="53"/>
        <v>0.704947165180923-1.97800098682505i</v>
      </c>
      <c r="U159" s="227" t="str">
        <f t="shared" si="54"/>
        <v>80.9211929899308-36.1484794751047i</v>
      </c>
      <c r="V159" s="227">
        <f t="shared" si="66"/>
        <v>38.951435378923108</v>
      </c>
      <c r="W159" s="227">
        <f t="shared" si="67"/>
        <v>-24.070895449895033</v>
      </c>
      <c r="X159" s="227" t="str">
        <f t="shared" si="55"/>
        <v>0.999999251010986-0.000233833556486717i</v>
      </c>
      <c r="Y159" s="227" t="str">
        <f t="shared" si="56"/>
        <v>270.584800233684+166.476897497368i</v>
      </c>
      <c r="Z159" s="227" t="str">
        <f t="shared" si="57"/>
        <v>49.6527726795299+30.5327917157137i</v>
      </c>
      <c r="AA159" s="227" t="str">
        <f t="shared" si="58"/>
        <v>6.13684434965332-8.81395962847153i</v>
      </c>
      <c r="AB159" s="227">
        <f t="shared" si="68"/>
        <v>20.620053356693777</v>
      </c>
      <c r="AC159" s="227">
        <f t="shared" si="69"/>
        <v>-55.151887689018658</v>
      </c>
      <c r="AD159" s="229">
        <f t="shared" si="70"/>
        <v>9.6136412605590991</v>
      </c>
      <c r="AE159" s="229">
        <f t="shared" si="71"/>
        <v>114.54820264915462</v>
      </c>
      <c r="AF159" s="227">
        <f t="shared" si="59"/>
        <v>30.233694617252876</v>
      </c>
      <c r="AG159" s="227">
        <f t="shared" si="60"/>
        <v>59.39631496013596</v>
      </c>
      <c r="AH159" s="229" t="str">
        <f t="shared" si="61"/>
        <v>1.25663704932252-2.75130208550535i</v>
      </c>
    </row>
    <row r="160" spans="9:34" x14ac:dyDescent="0.2">
      <c r="I160" s="227">
        <v>156</v>
      </c>
      <c r="J160" s="227">
        <f t="shared" si="49"/>
        <v>2.5210191141782103</v>
      </c>
      <c r="K160" s="227">
        <f t="shared" si="72"/>
        <v>331.90906522016979</v>
      </c>
      <c r="L160" s="227">
        <f t="shared" si="62"/>
        <v>2085.4461619110821</v>
      </c>
      <c r="M160" s="227">
        <f t="shared" si="50"/>
        <v>6244.4006491842947</v>
      </c>
      <c r="N160" s="227">
        <f>SQRT((ABS(AC160)-171.5+'Small Signal'!C$59)^2)</f>
        <v>45.734976030554037</v>
      </c>
      <c r="O160" s="227">
        <f t="shared" si="63"/>
        <v>59.258662220874847</v>
      </c>
      <c r="P160" s="227">
        <f t="shared" si="64"/>
        <v>29.9425288088797</v>
      </c>
      <c r="Q160" s="227">
        <f t="shared" si="65"/>
        <v>331.90906522016979</v>
      </c>
      <c r="R160" s="227" t="str">
        <f t="shared" si="51"/>
        <v>0.0355+0.00271108001048441i</v>
      </c>
      <c r="S160" s="227" t="str">
        <f t="shared" si="52"/>
        <v>0.018-2.17960771583244i</v>
      </c>
      <c r="T160" s="227" t="str">
        <f t="shared" si="53"/>
        <v>0.677901825714179-1.94327350131257i</v>
      </c>
      <c r="U160" s="227" t="str">
        <f t="shared" si="54"/>
        <v>80.3920867688479-36.784874345401i</v>
      </c>
      <c r="V160" s="227">
        <f t="shared" si="66"/>
        <v>38.929853617147259</v>
      </c>
      <c r="W160" s="227">
        <f t="shared" si="67"/>
        <v>-24.587332880987596</v>
      </c>
      <c r="X160" s="227" t="str">
        <f t="shared" si="55"/>
        <v>0.999999216614204-0.000239142606040965i</v>
      </c>
      <c r="Y160" s="227" t="str">
        <f t="shared" si="56"/>
        <v>273.79674150239+169.059401610346i</v>
      </c>
      <c r="Z160" s="227" t="str">
        <f t="shared" si="57"/>
        <v>50.242358348588+31.0062118930085i</v>
      </c>
      <c r="AA160" s="227" t="str">
        <f t="shared" si="58"/>
        <v>5.95176285027199-8.74626355761772i</v>
      </c>
      <c r="AB160" s="227">
        <f t="shared" si="68"/>
        <v>20.489100578322304</v>
      </c>
      <c r="AC160" s="227">
        <f t="shared" si="69"/>
        <v>-55.765023969445956</v>
      </c>
      <c r="AD160" s="229">
        <f t="shared" si="70"/>
        <v>9.453428230557396</v>
      </c>
      <c r="AE160" s="229">
        <f t="shared" si="71"/>
        <v>115.0236861903208</v>
      </c>
      <c r="AF160" s="227">
        <f t="shared" si="59"/>
        <v>29.9425288088797</v>
      </c>
      <c r="AG160" s="227">
        <f t="shared" si="60"/>
        <v>59.258662220874847</v>
      </c>
      <c r="AH160" s="229" t="str">
        <f t="shared" si="61"/>
        <v>1.2560429326172-2.69068809866039i</v>
      </c>
    </row>
    <row r="161" spans="9:34" x14ac:dyDescent="0.2">
      <c r="I161" s="227">
        <v>157</v>
      </c>
      <c r="J161" s="227">
        <f t="shared" si="49"/>
        <v>2.5307692367049937</v>
      </c>
      <c r="K161" s="227">
        <f t="shared" si="72"/>
        <v>339.44485991633542</v>
      </c>
      <c r="L161" s="227">
        <f t="shared" si="62"/>
        <v>2132.7949564239516</v>
      </c>
      <c r="M161" s="227">
        <f t="shared" si="50"/>
        <v>6236.6937588247274</v>
      </c>
      <c r="N161" s="227">
        <f>SQRT((ABS(AC161)-171.5+'Small Signal'!C$59)^2)</f>
        <v>45.126406209234872</v>
      </c>
      <c r="O161" s="227">
        <f t="shared" si="63"/>
        <v>59.132557107834671</v>
      </c>
      <c r="P161" s="227">
        <f t="shared" si="64"/>
        <v>29.6507517370557</v>
      </c>
      <c r="Q161" s="227">
        <f t="shared" si="65"/>
        <v>339.44485991633542</v>
      </c>
      <c r="R161" s="227" t="str">
        <f t="shared" si="51"/>
        <v>0.0355+0.00277263344335114i</v>
      </c>
      <c r="S161" s="227" t="str">
        <f t="shared" si="52"/>
        <v>0.018-2.13121966167619i</v>
      </c>
      <c r="T161" s="227" t="str">
        <f t="shared" si="53"/>
        <v>0.651802691460214-1.9087988661817i</v>
      </c>
      <c r="U161" s="227" t="str">
        <f t="shared" si="54"/>
        <v>79.8439832625569-37.4247315717584i</v>
      </c>
      <c r="V161" s="227">
        <f t="shared" si="66"/>
        <v>38.907379434982239</v>
      </c>
      <c r="W161" s="227">
        <f t="shared" si="67"/>
        <v>-25.113578454730209</v>
      </c>
      <c r="X161" s="227" t="str">
        <f t="shared" si="55"/>
        <v>0.999999180637775-0.000244572194356172i</v>
      </c>
      <c r="Y161" s="227" t="str">
        <f t="shared" si="56"/>
        <v>277.12118151166+171.629445984098i</v>
      </c>
      <c r="Z161" s="227" t="str">
        <f t="shared" si="57"/>
        <v>50.8525929048202+31.4773285017629i</v>
      </c>
      <c r="AA161" s="227" t="str">
        <f t="shared" si="58"/>
        <v>5.76959579576356-8.67526291924069i</v>
      </c>
      <c r="AB161" s="227">
        <f t="shared" si="68"/>
        <v>20.356235158291767</v>
      </c>
      <c r="AC161" s="227">
        <f t="shared" si="69"/>
        <v>-56.373593790765128</v>
      </c>
      <c r="AD161" s="229">
        <f t="shared" si="70"/>
        <v>9.2945165787639326</v>
      </c>
      <c r="AE161" s="229">
        <f t="shared" si="71"/>
        <v>115.5061508985998</v>
      </c>
      <c r="AF161" s="227">
        <f t="shared" si="59"/>
        <v>29.6507517370557</v>
      </c>
      <c r="AG161" s="227">
        <f t="shared" si="60"/>
        <v>59.132557107834671</v>
      </c>
      <c r="AH161" s="229" t="str">
        <f t="shared" si="61"/>
        <v>1.2554745482649-2.63143008947679i</v>
      </c>
    </row>
    <row r="162" spans="9:34" x14ac:dyDescent="0.2">
      <c r="I162" s="227">
        <v>158</v>
      </c>
      <c r="J162" s="227">
        <f t="shared" si="49"/>
        <v>2.5405193592317774</v>
      </c>
      <c r="K162" s="227">
        <f t="shared" si="72"/>
        <v>347.15175027590294</v>
      </c>
      <c r="L162" s="227">
        <f t="shared" si="62"/>
        <v>2181.2187766952302</v>
      </c>
      <c r="M162" s="227">
        <f t="shared" si="50"/>
        <v>6228.8118881781438</v>
      </c>
      <c r="N162" s="227">
        <f>SQRT((ABS(AC162)-171.5+'Small Signal'!C$59)^2)</f>
        <v>44.522620384657642</v>
      </c>
      <c r="O162" s="227">
        <f t="shared" si="63"/>
        <v>59.018156410938552</v>
      </c>
      <c r="P162" s="227">
        <f t="shared" si="64"/>
        <v>29.358431825667228</v>
      </c>
      <c r="Q162" s="227">
        <f t="shared" si="65"/>
        <v>347.15175027590294</v>
      </c>
      <c r="R162" s="227" t="str">
        <f t="shared" si="51"/>
        <v>0.0355+0.0028355844097038i</v>
      </c>
      <c r="S162" s="227" t="str">
        <f t="shared" si="52"/>
        <v>0.018-2.08390583925807i</v>
      </c>
      <c r="T162" s="227" t="str">
        <f t="shared" si="53"/>
        <v>0.626625907653715-1.87459769137763i</v>
      </c>
      <c r="U162" s="227" t="str">
        <f t="shared" si="54"/>
        <v>79.2764251539761-38.0675551460207i</v>
      </c>
      <c r="V162" s="227">
        <f t="shared" si="66"/>
        <v>38.883980098530067</v>
      </c>
      <c r="W162" s="227">
        <f t="shared" si="67"/>
        <v>-25.649740418798974</v>
      </c>
      <c r="X162" s="227" t="str">
        <f t="shared" si="55"/>
        <v>0.999999143009154-0.000250125058192043i</v>
      </c>
      <c r="Y162" s="227" t="str">
        <f t="shared" si="56"/>
        <v>280.560549108655+174.183060781408i</v>
      </c>
      <c r="Z162" s="227" t="str">
        <f t="shared" si="57"/>
        <v>51.4839220113746+31.9454123615098i</v>
      </c>
      <c r="AA162" s="227" t="str">
        <f t="shared" si="58"/>
        <v>5.5904540868508-8.60110831840666i</v>
      </c>
      <c r="AB162" s="227">
        <f t="shared" si="68"/>
        <v>20.221488199599428</v>
      </c>
      <c r="AC162" s="227">
        <f t="shared" si="69"/>
        <v>-56.97737961534235</v>
      </c>
      <c r="AD162" s="229">
        <f t="shared" si="70"/>
        <v>9.1369436260678007</v>
      </c>
      <c r="AE162" s="229">
        <f t="shared" si="71"/>
        <v>115.9955360262809</v>
      </c>
      <c r="AF162" s="227">
        <f t="shared" si="59"/>
        <v>29.358431825667228</v>
      </c>
      <c r="AG162" s="227">
        <f t="shared" si="60"/>
        <v>59.018156410938552</v>
      </c>
      <c r="AH162" s="229" t="str">
        <f t="shared" si="61"/>
        <v>1.25493075031214-2.57349820519686i</v>
      </c>
    </row>
    <row r="163" spans="9:34" x14ac:dyDescent="0.2">
      <c r="I163" s="227">
        <v>159</v>
      </c>
      <c r="J163" s="227">
        <f t="shared" si="49"/>
        <v>2.5502694817585607</v>
      </c>
      <c r="K163" s="227">
        <f t="shared" si="72"/>
        <v>355.03362092248625</v>
      </c>
      <c r="L163" s="227">
        <f t="shared" si="62"/>
        <v>2230.7420305349324</v>
      </c>
      <c r="M163" s="227">
        <f t="shared" si="50"/>
        <v>6220.7510644228978</v>
      </c>
      <c r="N163" s="227">
        <f>SQRT((ABS(AC163)-171.5+'Small Signal'!C$59)^2)</f>
        <v>43.923825505202629</v>
      </c>
      <c r="O163" s="227">
        <f t="shared" si="63"/>
        <v>58.915596800611425</v>
      </c>
      <c r="P163" s="227">
        <f t="shared" si="64"/>
        <v>29.065638829733881</v>
      </c>
      <c r="Q163" s="227">
        <f t="shared" si="65"/>
        <v>355.03362092248625</v>
      </c>
      <c r="R163" s="227" t="str">
        <f t="shared" si="51"/>
        <v>0.0355+0.00289996463969541i</v>
      </c>
      <c r="S163" s="227" t="str">
        <f t="shared" si="52"/>
        <v>0.018-2.03764240025753i</v>
      </c>
      <c r="T163" s="227" t="str">
        <f t="shared" si="53"/>
        <v>0.602347482018696-1.84068909202221i</v>
      </c>
      <c r="U163" s="227" t="str">
        <f t="shared" si="54"/>
        <v>78.6889630008345-38.7128160568052i</v>
      </c>
      <c r="V163" s="227">
        <f t="shared" si="66"/>
        <v>38.859622015116464</v>
      </c>
      <c r="W163" s="227">
        <f t="shared" si="67"/>
        <v>-26.195923467323908</v>
      </c>
      <c r="X163" s="227" t="str">
        <f t="shared" si="55"/>
        <v>0.999999103652466-0.000255803996444758i</v>
      </c>
      <c r="Y163" s="227" t="str">
        <f t="shared" si="56"/>
        <v>284.117194765475+176.716050480704i</v>
      </c>
      <c r="Z163" s="227" t="str">
        <f t="shared" si="57"/>
        <v>52.1367769292203+32.409692852433i</v>
      </c>
      <c r="AA163" s="227" t="str">
        <f t="shared" si="58"/>
        <v>5.41443897887253-8.52395381804025i</v>
      </c>
      <c r="AB163" s="227">
        <f t="shared" si="68"/>
        <v>20.0848919171546</v>
      </c>
      <c r="AC163" s="227">
        <f t="shared" si="69"/>
        <v>-57.576174494797371</v>
      </c>
      <c r="AD163" s="229">
        <f t="shared" si="70"/>
        <v>8.9807469125792814</v>
      </c>
      <c r="AE163" s="229">
        <f t="shared" si="71"/>
        <v>116.4917712954088</v>
      </c>
      <c r="AF163" s="227">
        <f t="shared" si="59"/>
        <v>29.065638829733881</v>
      </c>
      <c r="AG163" s="227">
        <f t="shared" si="60"/>
        <v>58.915596800611425</v>
      </c>
      <c r="AH163" s="229" t="str">
        <f t="shared" si="61"/>
        <v>1.2544104423695-2.51686326042098i</v>
      </c>
    </row>
    <row r="164" spans="9:34" x14ac:dyDescent="0.2">
      <c r="I164" s="227">
        <v>160</v>
      </c>
      <c r="J164" s="227">
        <f t="shared" si="49"/>
        <v>2.560019604285344</v>
      </c>
      <c r="K164" s="227">
        <f t="shared" si="72"/>
        <v>363.09444467773227</v>
      </c>
      <c r="L164" s="227">
        <f t="shared" si="62"/>
        <v>2281.3896799176587</v>
      </c>
      <c r="M164" s="227">
        <f t="shared" si="50"/>
        <v>6212.5072245368292</v>
      </c>
      <c r="N164" s="227">
        <f>SQRT((ABS(AC164)-171.5+'Small Signal'!C$59)^2)</f>
        <v>43.330217713929287</v>
      </c>
      <c r="O164" s="227">
        <f t="shared" si="63"/>
        <v>58.824994328682337</v>
      </c>
      <c r="P164" s="227">
        <f t="shared" si="64"/>
        <v>28.772443669479564</v>
      </c>
      <c r="Q164" s="227">
        <f t="shared" si="65"/>
        <v>363.09444467773227</v>
      </c>
      <c r="R164" s="227" t="str">
        <f t="shared" si="51"/>
        <v>0.0355+0.00296580658389296i</v>
      </c>
      <c r="S164" s="227" t="str">
        <f t="shared" si="52"/>
        <v>0.018-1.99240602579503i</v>
      </c>
      <c r="T164" s="227" t="str">
        <f t="shared" si="53"/>
        <v>0.578943357387274-1.80709073406603i</v>
      </c>
      <c r="U164" s="227" t="str">
        <f t="shared" si="54"/>
        <v>78.0811571581788-39.3599515840617i</v>
      </c>
      <c r="V164" s="227">
        <f t="shared" si="66"/>
        <v>38.83427073852679</v>
      </c>
      <c r="W164" s="227">
        <f t="shared" si="67"/>
        <v>-26.752228428672193</v>
      </c>
      <c r="X164" s="227" t="str">
        <f t="shared" si="55"/>
        <v>0.99999906248835-0.000261611871557744i</v>
      </c>
      <c r="Y164" s="227" t="str">
        <f t="shared" si="56"/>
        <v>287.79337679209+179.223989635322i</v>
      </c>
      <c r="Z164" s="227" t="str">
        <f t="shared" si="57"/>
        <v>52.8115719853046+32.8693571369642i</v>
      </c>
      <c r="AA164" s="227" t="str">
        <f t="shared" si="58"/>
        <v>5.24164203568196-8.44395623849727i</v>
      </c>
      <c r="AB164" s="227">
        <f t="shared" si="68"/>
        <v>19.946479537141968</v>
      </c>
      <c r="AC164" s="227">
        <f t="shared" si="69"/>
        <v>-58.169782286070713</v>
      </c>
      <c r="AD164" s="229">
        <f t="shared" si="70"/>
        <v>8.8259641323375941</v>
      </c>
      <c r="AE164" s="229">
        <f t="shared" si="71"/>
        <v>116.99477661475305</v>
      </c>
      <c r="AF164" s="227">
        <f t="shared" si="59"/>
        <v>28.772443669479564</v>
      </c>
      <c r="AG164" s="227">
        <f t="shared" si="60"/>
        <v>58.824994328682337</v>
      </c>
      <c r="AH164" s="229" t="str">
        <f t="shared" si="61"/>
        <v>1.25391257540197-2.46149672246435i</v>
      </c>
    </row>
    <row r="165" spans="9:34" x14ac:dyDescent="0.2">
      <c r="I165" s="227">
        <v>161</v>
      </c>
      <c r="J165" s="227">
        <f t="shared" si="49"/>
        <v>2.5697697268121273</v>
      </c>
      <c r="K165" s="227">
        <f t="shared" si="72"/>
        <v>371.33828456380047</v>
      </c>
      <c r="L165" s="227">
        <f t="shared" si="62"/>
        <v>2333.1872535645434</v>
      </c>
      <c r="M165" s="227">
        <f t="shared" si="50"/>
        <v>6204.0762132493164</v>
      </c>
      <c r="N165" s="227">
        <f>SQRT((ABS(AC165)-171.5+'Small Signal'!C$59)^2)</f>
        <v>42.74198218022751</v>
      </c>
      <c r="O165" s="227">
        <f t="shared" si="63"/>
        <v>58.746443996030166</v>
      </c>
      <c r="P165" s="227">
        <f t="shared" si="64"/>
        <v>28.478918260036224</v>
      </c>
      <c r="Q165" s="227">
        <f t="shared" si="65"/>
        <v>371.33828456380047</v>
      </c>
      <c r="R165" s="227" t="str">
        <f t="shared" si="51"/>
        <v>0.0355+0.00303314342963391i</v>
      </c>
      <c r="S165" s="227" t="str">
        <f t="shared" si="52"/>
        <v>0.018-1.94817391467838i</v>
      </c>
      <c r="T165" s="227" t="str">
        <f t="shared" si="53"/>
        <v>0.556389478859733-1.7738188820233i</v>
      </c>
      <c r="U165" s="227" t="str">
        <f t="shared" si="54"/>
        <v>77.4525798186146-40.0083646855574i</v>
      </c>
      <c r="V165" s="227">
        <f t="shared" si="66"/>
        <v>38.807890976882113</v>
      </c>
      <c r="W165" s="227">
        <f t="shared" si="67"/>
        <v>-27.318751945853279</v>
      </c>
      <c r="X165" s="227" t="str">
        <f t="shared" si="55"/>
        <v>0.999999019433802-0.000267551610964473i</v>
      </c>
      <c r="Y165" s="227" t="str">
        <f t="shared" si="56"/>
        <v>291.591246737475+181.70221929122i</v>
      </c>
      <c r="Z165" s="227" t="str">
        <f t="shared" si="57"/>
        <v>53.5087018916471+33.3235495022967i</v>
      </c>
      <c r="AA165" s="227" t="str">
        <f t="shared" si="58"/>
        <v>5.07214513959242-8.36127447048187i</v>
      </c>
      <c r="AB165" s="227">
        <f t="shared" si="68"/>
        <v>19.806285196209359</v>
      </c>
      <c r="AC165" s="227">
        <f t="shared" si="69"/>
        <v>-58.75801781977249</v>
      </c>
      <c r="AD165" s="229">
        <f t="shared" si="70"/>
        <v>8.6726330638268667</v>
      </c>
      <c r="AE165" s="229">
        <f t="shared" si="71"/>
        <v>117.50446181580266</v>
      </c>
      <c r="AF165" s="227">
        <f t="shared" si="59"/>
        <v>28.478918260036224</v>
      </c>
      <c r="AG165" s="227">
        <f t="shared" si="60"/>
        <v>58.746443996030166</v>
      </c>
      <c r="AH165" s="229" t="str">
        <f t="shared" si="61"/>
        <v>1.25343614561473-2.40737069703847i</v>
      </c>
    </row>
    <row r="166" spans="9:34" x14ac:dyDescent="0.2">
      <c r="I166" s="227">
        <v>162</v>
      </c>
      <c r="J166" s="227">
        <f t="shared" si="49"/>
        <v>2.5795198493389107</v>
      </c>
      <c r="K166" s="227">
        <f t="shared" si="72"/>
        <v>379.76929585131342</v>
      </c>
      <c r="L166" s="227">
        <f t="shared" si="62"/>
        <v>2386.1608598109096</v>
      </c>
      <c r="M166" s="227">
        <f t="shared" si="50"/>
        <v>6195.4537809468284</v>
      </c>
      <c r="N166" s="227">
        <f>SQRT((ABS(AC166)-171.5+'Small Signal'!C$59)^2)</f>
        <v>42.159292978083016</v>
      </c>
      <c r="O166" s="227">
        <f t="shared" si="63"/>
        <v>58.680019388482769</v>
      </c>
      <c r="P166" s="227">
        <f t="shared" si="64"/>
        <v>28.185135337440656</v>
      </c>
      <c r="Q166" s="227">
        <f t="shared" si="65"/>
        <v>379.76929585131342</v>
      </c>
      <c r="R166" s="227" t="str">
        <f t="shared" si="51"/>
        <v>0.0355+0.00310200911775418i</v>
      </c>
      <c r="S166" s="227" t="str">
        <f t="shared" si="52"/>
        <v>0.018-1.90492377190981i</v>
      </c>
      <c r="T166" s="227" t="str">
        <f t="shared" si="53"/>
        <v>0.534661855639829-1.74088844834545i</v>
      </c>
      <c r="U166" s="227" t="str">
        <f t="shared" si="54"/>
        <v>76.8028171687913-40.6574234880008i</v>
      </c>
      <c r="V166" s="227">
        <f t="shared" si="66"/>
        <v>38.78044660332116</v>
      </c>
      <c r="W166" s="227">
        <f t="shared" si="67"/>
        <v>-27.895586150416946</v>
      </c>
      <c r="X166" s="227" t="str">
        <f t="shared" si="55"/>
        <v>0.999998974402005-0.000273626208564027i</v>
      </c>
      <c r="Y166" s="227" t="str">
        <f t="shared" si="56"/>
        <v>295.512833988937+184.145844150792i</v>
      </c>
      <c r="Z166" s="227" t="str">
        <f t="shared" si="57"/>
        <v>54.2285389172044+33.7713708399113i</v>
      </c>
      <c r="AA166" s="227" t="str">
        <f t="shared" si="58"/>
        <v>4.90602055452968-8.27606880600467i</v>
      </c>
      <c r="AB166" s="227">
        <f t="shared" si="68"/>
        <v>19.664343841051924</v>
      </c>
      <c r="AC166" s="227">
        <f t="shared" si="69"/>
        <v>-59.340707021916991</v>
      </c>
      <c r="AD166" s="229">
        <f t="shared" si="70"/>
        <v>8.5207914963887319</v>
      </c>
      <c r="AE166" s="229">
        <f t="shared" si="71"/>
        <v>118.02072641039976</v>
      </c>
      <c r="AF166" s="227">
        <f t="shared" si="59"/>
        <v>28.185135337440656</v>
      </c>
      <c r="AG166" s="227">
        <f t="shared" si="60"/>
        <v>58.680019388482769</v>
      </c>
      <c r="AH166" s="229" t="str">
        <f t="shared" si="61"/>
        <v>1.25298019243003-2.35445791424983i</v>
      </c>
    </row>
    <row r="167" spans="9:34" x14ac:dyDescent="0.2">
      <c r="I167" s="227">
        <v>163</v>
      </c>
      <c r="J167" s="227">
        <f t="shared" si="49"/>
        <v>2.5892699718656944</v>
      </c>
      <c r="K167" s="227">
        <f t="shared" si="72"/>
        <v>388.39172815380175</v>
      </c>
      <c r="L167" s="227">
        <f t="shared" si="62"/>
        <v>2440.3371997660552</v>
      </c>
      <c r="M167" s="227">
        <f t="shared" si="50"/>
        <v>6186.6355815309289</v>
      </c>
      <c r="N167" s="227">
        <f>SQRT((ABS(AC167)-171.5+'Small Signal'!C$59)^2)</f>
        <v>41.582313009588717</v>
      </c>
      <c r="O167" s="227">
        <f t="shared" si="63"/>
        <v>58.625772382244129</v>
      </c>
      <c r="P167" s="227">
        <f t="shared" si="64"/>
        <v>27.891168281591803</v>
      </c>
      <c r="Q167" s="227">
        <f t="shared" si="65"/>
        <v>388.39172815380175</v>
      </c>
      <c r="R167" s="227" t="str">
        <f t="shared" si="51"/>
        <v>0.0355+0.00317243835969587i</v>
      </c>
      <c r="S167" s="227" t="str">
        <f t="shared" si="52"/>
        <v>0.018-1.86263379744828i</v>
      </c>
      <c r="T167" s="227" t="str">
        <f t="shared" si="53"/>
        <v>0.513736617703539-1.70831304402425i</v>
      </c>
      <c r="U167" s="227" t="str">
        <f t="shared" si="54"/>
        <v>76.1314716594888-41.3064608960046i</v>
      </c>
      <c r="V167" s="227">
        <f t="shared" si="66"/>
        <v>38.751900669650034</v>
      </c>
      <c r="W167" s="227">
        <f t="shared" si="67"/>
        <v>-28.482818330825307</v>
      </c>
      <c r="X167" s="227" t="str">
        <f t="shared" si="55"/>
        <v>0.999998927302155-0.000279838726230156i</v>
      </c>
      <c r="Y167" s="227" t="str">
        <f t="shared" si="56"/>
        <v>299.560029587528+186.54973057387i</v>
      </c>
      <c r="Z167" s="227" t="str">
        <f t="shared" si="57"/>
        <v>54.9714299157912+34.2118782788375i</v>
      </c>
      <c r="AA167" s="227" t="str">
        <f t="shared" si="58"/>
        <v>4.74333103917034-8.1885002916185i</v>
      </c>
      <c r="AB167" s="227">
        <f t="shared" si="68"/>
        <v>19.520691128930711</v>
      </c>
      <c r="AC167" s="227">
        <f t="shared" si="69"/>
        <v>-59.917686990411291</v>
      </c>
      <c r="AD167" s="229">
        <f t="shared" si="70"/>
        <v>8.3704771526610937</v>
      </c>
      <c r="AE167" s="229">
        <f t="shared" si="71"/>
        <v>118.54345937265542</v>
      </c>
      <c r="AF167" s="227">
        <f t="shared" si="59"/>
        <v>27.891168281591803</v>
      </c>
      <c r="AG167" s="227">
        <f t="shared" si="60"/>
        <v>58.625772382244129</v>
      </c>
      <c r="AH167" s="229" t="str">
        <f t="shared" si="61"/>
        <v>1.25254379655117-2.30273171490962i</v>
      </c>
    </row>
    <row r="168" spans="9:34" x14ac:dyDescent="0.2">
      <c r="I168" s="227">
        <v>164</v>
      </c>
      <c r="J168" s="227">
        <f t="shared" si="49"/>
        <v>2.5990200943924777</v>
      </c>
      <c r="K168" s="227">
        <f t="shared" si="72"/>
        <v>397.20992756970054</v>
      </c>
      <c r="L168" s="227">
        <f t="shared" si="62"/>
        <v>2495.7435807718102</v>
      </c>
      <c r="M168" s="227">
        <f t="shared" si="50"/>
        <v>6177.6171702276451</v>
      </c>
      <c r="N168" s="227">
        <f>SQRT((ABS(AC168)-171.5+'Small Signal'!C$59)^2)</f>
        <v>41.011193972018162</v>
      </c>
      <c r="O168" s="227">
        <f t="shared" si="63"/>
        <v>58.583732919827604</v>
      </c>
      <c r="P168" s="227">
        <f t="shared" si="64"/>
        <v>27.597090936839123</v>
      </c>
      <c r="Q168" s="227">
        <f t="shared" si="65"/>
        <v>397.20992756970054</v>
      </c>
      <c r="R168" s="227" t="str">
        <f t="shared" si="51"/>
        <v>0.0355+0.00324446665500335i</v>
      </c>
      <c r="S168" s="227" t="str">
        <f t="shared" si="52"/>
        <v>0.018-1.82128267522133i</v>
      </c>
      <c r="T168" s="227" t="str">
        <f t="shared" si="53"/>
        <v>0.493590067478955-1.6761050300492i</v>
      </c>
      <c r="U168" s="227" t="str">
        <f t="shared" si="54"/>
        <v>75.4381643854178-41.9547743325198i</v>
      </c>
      <c r="V168" s="227">
        <f t="shared" si="66"/>
        <v>38.722215423118477</v>
      </c>
      <c r="W168" s="227">
        <f t="shared" si="67"/>
        <v>-29.080530596404849</v>
      </c>
      <c r="X168" s="227" t="str">
        <f t="shared" si="55"/>
        <v>0.999998878039278-0.000286192295354603i</v>
      </c>
      <c r="Y168" s="227" t="str">
        <f t="shared" si="56"/>
        <v>303.734569285844+188.90850551011i</v>
      </c>
      <c r="Z168" s="227" t="str">
        <f t="shared" si="57"/>
        <v>55.7376932148862+34.6440849899504i</v>
      </c>
      <c r="AA168" s="227" t="str">
        <f t="shared" si="58"/>
        <v>4.58413000652392-8.09873010769459i</v>
      </c>
      <c r="AB168" s="227">
        <f t="shared" si="68"/>
        <v>19.37536332963041</v>
      </c>
      <c r="AC168" s="227">
        <f t="shared" si="69"/>
        <v>-60.488806027981845</v>
      </c>
      <c r="AD168" s="229">
        <f t="shared" si="70"/>
        <v>8.2217276072087149</v>
      </c>
      <c r="AE168" s="229">
        <f t="shared" si="71"/>
        <v>119.07253894780945</v>
      </c>
      <c r="AF168" s="227">
        <f t="shared" si="59"/>
        <v>27.597090936839123</v>
      </c>
      <c r="AG168" s="227">
        <f t="shared" si="60"/>
        <v>58.583732919827604</v>
      </c>
      <c r="AH168" s="229" t="str">
        <f t="shared" si="61"/>
        <v>1.25212607810964-2.25216603714731i</v>
      </c>
    </row>
    <row r="169" spans="9:34" x14ac:dyDescent="0.2">
      <c r="I169" s="227">
        <v>165</v>
      </c>
      <c r="J169" s="227">
        <f t="shared" si="49"/>
        <v>2.608770216919261</v>
      </c>
      <c r="K169" s="227">
        <f t="shared" si="72"/>
        <v>406.22833887298515</v>
      </c>
      <c r="L169" s="227">
        <f t="shared" si="62"/>
        <v>2552.4079301667102</v>
      </c>
      <c r="M169" s="227">
        <f t="shared" si="50"/>
        <v>6168.3940013470938</v>
      </c>
      <c r="N169" s="227">
        <f>SQRT((ABS(AC169)-171.5+'Small Signal'!C$59)^2)</f>
        <v>40.446076366565677</v>
      </c>
      <c r="O169" s="227">
        <f t="shared" si="63"/>
        <v>58.553908857243052</v>
      </c>
      <c r="P169" s="227">
        <f t="shared" si="64"/>
        <v>27.30297743087484</v>
      </c>
      <c r="Q169" s="227">
        <f t="shared" si="65"/>
        <v>406.22833887298515</v>
      </c>
      <c r="R169" s="227" t="str">
        <f t="shared" si="51"/>
        <v>0.0355+0.00331813030921672i</v>
      </c>
      <c r="S169" s="227" t="str">
        <f t="shared" si="52"/>
        <v>0.018-1.78084956238075i</v>
      </c>
      <c r="T169" s="227" t="str">
        <f t="shared" si="53"/>
        <v>0.474198726730622-1.6442755693763i</v>
      </c>
      <c r="U169" s="227" t="str">
        <f t="shared" si="54"/>
        <v>74.7225375694439-42.6016256246955i</v>
      </c>
      <c r="V169" s="227">
        <f t="shared" si="66"/>
        <v>38.691352326472682</v>
      </c>
      <c r="W169" s="227">
        <f t="shared" si="67"/>
        <v>-29.68879953812192</v>
      </c>
      <c r="X169" s="227" t="str">
        <f t="shared" si="55"/>
        <v>0.999998826514039-0.000292690118425468i</v>
      </c>
      <c r="Y169" s="227" t="str">
        <f t="shared" si="56"/>
        <v>308.038015883935+191.21655645912i</v>
      </c>
      <c r="Z169" s="227" t="str">
        <f t="shared" si="57"/>
        <v>56.5276153718831+35.0669601789932i</v>
      </c>
      <c r="AA169" s="227" t="str">
        <f t="shared" si="58"/>
        <v>4.42846172616955-8.00691897700133i</v>
      </c>
      <c r="AB169" s="227">
        <f t="shared" si="68"/>
        <v>19.228397229320368</v>
      </c>
      <c r="AC169" s="227">
        <f t="shared" si="69"/>
        <v>-61.053923633434316</v>
      </c>
      <c r="AD169" s="229">
        <f t="shared" si="70"/>
        <v>8.0745802015544736</v>
      </c>
      <c r="AE169" s="229">
        <f t="shared" si="71"/>
        <v>119.60783249067737</v>
      </c>
      <c r="AF169" s="227">
        <f t="shared" si="59"/>
        <v>27.30297743087484</v>
      </c>
      <c r="AG169" s="227">
        <f t="shared" si="60"/>
        <v>58.553908857243052</v>
      </c>
      <c r="AH169" s="229" t="str">
        <f t="shared" si="61"/>
        <v>1.25172619489164-2.20273540332186i</v>
      </c>
    </row>
    <row r="170" spans="9:34" x14ac:dyDescent="0.2">
      <c r="I170" s="227">
        <v>166</v>
      </c>
      <c r="J170" s="227">
        <f t="shared" si="49"/>
        <v>2.6185203394460448</v>
      </c>
      <c r="K170" s="227">
        <f t="shared" si="72"/>
        <v>415.45150775353579</v>
      </c>
      <c r="L170" s="227">
        <f t="shared" si="62"/>
        <v>2610.3588093626222</v>
      </c>
      <c r="M170" s="227">
        <f t="shared" si="50"/>
        <v>6158.9614259922564</v>
      </c>
      <c r="N170" s="227">
        <f>SQRT((ABS(AC170)-171.5+'Small Signal'!C$59)^2)</f>
        <v>39.887089546631984</v>
      </c>
      <c r="O170" s="227">
        <f t="shared" si="63"/>
        <v>58.536285882923146</v>
      </c>
      <c r="P170" s="227">
        <f t="shared" si="64"/>
        <v>27.008901992607218</v>
      </c>
      <c r="Q170" s="227">
        <f t="shared" si="65"/>
        <v>415.45150775353579</v>
      </c>
      <c r="R170" s="227" t="str">
        <f t="shared" si="51"/>
        <v>0.0355+0.00339346645217141i</v>
      </c>
      <c r="S170" s="227" t="str">
        <f t="shared" si="52"/>
        <v>0.018-1.74131407879686i</v>
      </c>
      <c r="T170" s="227" t="str">
        <f t="shared" si="53"/>
        <v>0.455539378854189-1.61283467909859i</v>
      </c>
      <c r="U170" s="227" t="str">
        <f t="shared" si="54"/>
        <v>73.9842571444952-43.2462410493141i</v>
      </c>
      <c r="V170" s="227">
        <f t="shared" si="66"/>
        <v>38.659272081427702</v>
      </c>
      <c r="W170" s="227">
        <f t="shared" si="67"/>
        <v>-30.307695887542248</v>
      </c>
      <c r="X170" s="227" t="str">
        <f t="shared" si="55"/>
        <v>0.99999877262254-0.000299335470641406i</v>
      </c>
      <c r="Y170" s="227" t="str">
        <f t="shared" si="56"/>
        <v>312.471740888922+193.468032556324i</v>
      </c>
      <c r="Z170" s="227" t="str">
        <f t="shared" si="57"/>
        <v>57.3414478061579+35.479429286321i</v>
      </c>
      <c r="AA170" s="227" t="str">
        <f t="shared" si="58"/>
        <v>4.27636156517371-7.91322660534895i</v>
      </c>
      <c r="AB170" s="227">
        <f t="shared" si="68"/>
        <v>19.079830036745097</v>
      </c>
      <c r="AC170" s="227">
        <f t="shared" si="69"/>
        <v>-61.612910453368023</v>
      </c>
      <c r="AD170" s="229">
        <f t="shared" si="70"/>
        <v>7.9290719558621205</v>
      </c>
      <c r="AE170" s="229">
        <f t="shared" si="71"/>
        <v>120.14919633629117</v>
      </c>
      <c r="AF170" s="227">
        <f t="shared" si="59"/>
        <v>27.008901992607218</v>
      </c>
      <c r="AG170" s="227">
        <f t="shared" si="60"/>
        <v>58.536285882923146</v>
      </c>
      <c r="AH170" s="229" t="str">
        <f t="shared" si="61"/>
        <v>1.2513433406406-2.15441490722419i</v>
      </c>
    </row>
    <row r="171" spans="9:34" x14ac:dyDescent="0.2">
      <c r="I171" s="227">
        <v>167</v>
      </c>
      <c r="J171" s="227">
        <f t="shared" si="49"/>
        <v>2.6282704619728277</v>
      </c>
      <c r="K171" s="227">
        <f t="shared" si="72"/>
        <v>424.88408310837343</v>
      </c>
      <c r="L171" s="227">
        <f t="shared" si="62"/>
        <v>2669.6254282410023</v>
      </c>
      <c r="M171" s="227">
        <f t="shared" si="50"/>
        <v>6149.3146897157112</v>
      </c>
      <c r="N171" s="227">
        <f>SQRT((ABS(AC171)-171.5+'Small Signal'!C$59)^2)</f>
        <v>39.334351803368307</v>
      </c>
      <c r="O171" s="227">
        <f t="shared" si="63"/>
        <v>58.530827508633337</v>
      </c>
      <c r="P171" s="227">
        <f t="shared" si="64"/>
        <v>26.714938769689169</v>
      </c>
      <c r="Q171" s="227">
        <f t="shared" si="65"/>
        <v>424.88408310837343</v>
      </c>
      <c r="R171" s="227" t="str">
        <f t="shared" si="51"/>
        <v>0.0355+0.0034705130567133i</v>
      </c>
      <c r="S171" s="227" t="str">
        <f t="shared" si="52"/>
        <v>0.018-1.70265629678599i</v>
      </c>
      <c r="T171" s="227" t="str">
        <f t="shared" si="53"/>
        <v>0.437589106796073-1.58179128253958i</v>
      </c>
      <c r="U171" s="227" t="str">
        <f t="shared" si="54"/>
        <v>73.2230154248221-43.8878115520276i</v>
      </c>
      <c r="V171" s="227">
        <f t="shared" si="66"/>
        <v>38.625934655691189</v>
      </c>
      <c r="W171" s="227">
        <f t="shared" si="67"/>
        <v>-30.937284175477203</v>
      </c>
      <c r="X171" s="227" t="str">
        <f t="shared" si="55"/>
        <v>0.999998716256113-0.000306131701562479i</v>
      </c>
      <c r="Y171" s="227" t="str">
        <f t="shared" si="56"/>
        <v>317.036905554718+195.656846883118i</v>
      </c>
      <c r="Z171" s="227" t="str">
        <f t="shared" si="57"/>
        <v>58.179403317309+35.8803744114638i</v>
      </c>
      <c r="AA171" s="227" t="str">
        <f t="shared" si="58"/>
        <v>4.12785626359602-7.81781115655963i</v>
      </c>
      <c r="AB171" s="227">
        <f t="shared" si="68"/>
        <v>18.929699292126049</v>
      </c>
      <c r="AC171" s="227">
        <f t="shared" si="69"/>
        <v>-62.165648196631693</v>
      </c>
      <c r="AD171" s="229">
        <f t="shared" si="70"/>
        <v>7.7852394775631204</v>
      </c>
      <c r="AE171" s="229">
        <f t="shared" si="71"/>
        <v>120.69647570526503</v>
      </c>
      <c r="AF171" s="227">
        <f t="shared" si="59"/>
        <v>26.714938769689169</v>
      </c>
      <c r="AG171" s="227">
        <f t="shared" si="60"/>
        <v>58.530827508633337</v>
      </c>
      <c r="AH171" s="229" t="str">
        <f t="shared" si="61"/>
        <v>1.25097674343205-2.10718020156446i</v>
      </c>
    </row>
    <row r="172" spans="9:34" x14ac:dyDescent="0.2">
      <c r="I172" s="227">
        <v>168</v>
      </c>
      <c r="J172" s="227">
        <f t="shared" si="49"/>
        <v>2.6380205844996114</v>
      </c>
      <c r="K172" s="227">
        <f t="shared" si="72"/>
        <v>434.53081938491835</v>
      </c>
      <c r="L172" s="227">
        <f t="shared" si="62"/>
        <v>2730.2376598760256</v>
      </c>
      <c r="M172" s="227">
        <f t="shared" si="50"/>
        <v>6139.4489301231888</v>
      </c>
      <c r="N172" s="227">
        <f>SQRT((ABS(AC172)-171.5+'Small Signal'!C$59)^2)</f>
        <v>38.787970486057333</v>
      </c>
      <c r="O172" s="227">
        <f t="shared" si="63"/>
        <v>58.537475132370737</v>
      </c>
      <c r="P172" s="227">
        <f t="shared" si="64"/>
        <v>26.421161646380149</v>
      </c>
      <c r="Q172" s="227">
        <f t="shared" si="65"/>
        <v>434.53081938491835</v>
      </c>
      <c r="R172" s="227" t="str">
        <f t="shared" si="51"/>
        <v>0.0355+0.00354930895783883i</v>
      </c>
      <c r="S172" s="227" t="str">
        <f t="shared" si="52"/>
        <v>0.018-1.66485673106602i</v>
      </c>
      <c r="T172" s="227" t="str">
        <f t="shared" si="53"/>
        <v>0.420325326819124-1.55115326102059i</v>
      </c>
      <c r="U172" s="227" t="str">
        <f t="shared" si="54"/>
        <v>72.4385338566156-44.5254931545143i</v>
      </c>
      <c r="V172" s="227">
        <f t="shared" si="66"/>
        <v>38.59129931365635</v>
      </c>
      <c r="W172" s="227">
        <f t="shared" si="67"/>
        <v>-31.577622391940512</v>
      </c>
      <c r="X172" s="227" t="str">
        <f t="shared" si="55"/>
        <v>0.999998657301099-0.000313082236798486i</v>
      </c>
      <c r="Y172" s="227" t="str">
        <f t="shared" si="56"/>
        <v>321.734441369451+197.776680099429i</v>
      </c>
      <c r="Z172" s="227" t="str">
        <f t="shared" si="57"/>
        <v>59.04165250198+36.268634980522i</v>
      </c>
      <c r="AA172" s="227" t="str">
        <f t="shared" si="58"/>
        <v>3.98296424043278-7.72082876353171i</v>
      </c>
      <c r="AB172" s="227">
        <f t="shared" si="68"/>
        <v>18.778042779114934</v>
      </c>
      <c r="AC172" s="227">
        <f t="shared" si="69"/>
        <v>-62.71202951394266</v>
      </c>
      <c r="AD172" s="229">
        <f t="shared" si="70"/>
        <v>7.6431188672652173</v>
      </c>
      <c r="AE172" s="229">
        <f t="shared" si="71"/>
        <v>121.2495046463134</v>
      </c>
      <c r="AF172" s="227">
        <f t="shared" si="59"/>
        <v>26.421161646380149</v>
      </c>
      <c r="AG172" s="227">
        <f t="shared" si="60"/>
        <v>58.537475132370737</v>
      </c>
      <c r="AH172" s="229" t="str">
        <f t="shared" si="61"/>
        <v>1.25062566411767-2.06100748573825i</v>
      </c>
    </row>
    <row r="173" spans="9:34" x14ac:dyDescent="0.2">
      <c r="I173" s="227">
        <v>169</v>
      </c>
      <c r="J173" s="227">
        <f t="shared" si="49"/>
        <v>2.6477707070263943</v>
      </c>
      <c r="K173" s="227">
        <f t="shared" si="72"/>
        <v>444.39657897744132</v>
      </c>
      <c r="L173" s="227">
        <f t="shared" si="62"/>
        <v>2792.226055591932</v>
      </c>
      <c r="M173" s="227">
        <f t="shared" si="50"/>
        <v>6129.3591744226887</v>
      </c>
      <c r="N173" s="227">
        <f>SQRT((ABS(AC173)-171.5+'Small Signal'!C$59)^2)</f>
        <v>38.248042154795598</v>
      </c>
      <c r="O173" s="227">
        <f t="shared" si="63"/>
        <v>58.556148173013099</v>
      </c>
      <c r="P173" s="227">
        <f t="shared" si="64"/>
        <v>26.127644062418106</v>
      </c>
      <c r="Q173" s="227">
        <f t="shared" si="65"/>
        <v>444.39657897744132</v>
      </c>
      <c r="R173" s="227" t="str">
        <f t="shared" si="51"/>
        <v>0.0355+0.00362989387226951i</v>
      </c>
      <c r="S173" s="227" t="str">
        <f t="shared" si="52"/>
        <v>0.018-1.62789632893492i</v>
      </c>
      <c r="T173" s="227" t="str">
        <f t="shared" si="53"/>
        <v>0.403725818338803-1.52092750508157i</v>
      </c>
      <c r="U173" s="227" t="str">
        <f t="shared" si="54"/>
        <v>71.6305658362524-45.1584075634271i</v>
      </c>
      <c r="V173" s="227">
        <f t="shared" si="66"/>
        <v>38.555324650867341</v>
      </c>
      <c r="W173" s="227">
        <f t="shared" si="67"/>
        <v>-32.22876164917836</v>
      </c>
      <c r="X173" s="227" t="str">
        <f t="shared" si="55"/>
        <v>0.999998595638618-0.000320190579735623i</v>
      </c>
      <c r="Y173" s="227" t="str">
        <f t="shared" si="56"/>
        <v>326.565030070052+199.820985495199i</v>
      </c>
      <c r="Z173" s="227" t="str">
        <f t="shared" si="57"/>
        <v>59.9283200838578+36.6430086741214i</v>
      </c>
      <c r="AA173" s="227" t="str">
        <f t="shared" si="58"/>
        <v>3.84169592584468-7.62243307669179i</v>
      </c>
      <c r="AB173" s="227">
        <f t="shared" si="68"/>
        <v>18.624898440095489</v>
      </c>
      <c r="AC173" s="227">
        <f t="shared" si="69"/>
        <v>-63.251957845204402</v>
      </c>
      <c r="AD173" s="229">
        <f t="shared" si="70"/>
        <v>7.5027456223226183</v>
      </c>
      <c r="AE173" s="229">
        <f t="shared" si="71"/>
        <v>121.8081060182175</v>
      </c>
      <c r="AF173" s="227">
        <f t="shared" si="59"/>
        <v>26.127644062418106</v>
      </c>
      <c r="AG173" s="227">
        <f t="shared" si="60"/>
        <v>58.556148173013099</v>
      </c>
      <c r="AH173" s="229" t="str">
        <f t="shared" si="61"/>
        <v>1.2502893948355-2.01587349386557i</v>
      </c>
    </row>
    <row r="174" spans="9:34" x14ac:dyDescent="0.2">
      <c r="I174" s="227">
        <v>170</v>
      </c>
      <c r="J174" s="227">
        <f t="shared" si="49"/>
        <v>2.657520829553178</v>
      </c>
      <c r="K174" s="227">
        <f t="shared" si="72"/>
        <v>454.4863346779407</v>
      </c>
      <c r="L174" s="227">
        <f t="shared" si="62"/>
        <v>2855.6218603623411</v>
      </c>
      <c r="M174" s="227">
        <f t="shared" si="50"/>
        <v>6119.040336917983</v>
      </c>
      <c r="N174" s="227">
        <f>SQRT((ABS(AC174)-171.5+'Small Signal'!C$59)^2)</f>
        <v>37.714652762872959</v>
      </c>
      <c r="O174" s="227">
        <f t="shared" si="63"/>
        <v>58.586744276229197</v>
      </c>
      <c r="P174" s="227">
        <f t="shared" si="64"/>
        <v>25.834458833575212</v>
      </c>
      <c r="Q174" s="227">
        <f t="shared" si="65"/>
        <v>454.4863346779407</v>
      </c>
      <c r="R174" s="227" t="str">
        <f t="shared" si="51"/>
        <v>0.0355+0.00371230841847104i</v>
      </c>
      <c r="S174" s="227" t="str">
        <f t="shared" si="52"/>
        <v>0.018-1.59175646066731i</v>
      </c>
      <c r="T174" s="227" t="str">
        <f t="shared" si="53"/>
        <v>0.387768750055767-1.49111996496177i</v>
      </c>
      <c r="U174" s="227" t="str">
        <f t="shared" si="54"/>
        <v>70.798899582628-45.7856429945205i</v>
      </c>
      <c r="V174" s="227">
        <f t="shared" si="66"/>
        <v>38.517968632340796</v>
      </c>
      <c r="W174" s="227">
        <f t="shared" si="67"/>
        <v>-32.890745849649711</v>
      </c>
      <c r="X174" s="227" t="str">
        <f t="shared" si="55"/>
        <v>0.999998531144331-0.000327460313302356i</v>
      </c>
      <c r="Y174" s="227" t="str">
        <f t="shared" si="56"/>
        <v>331.529083275662+201.782995554455i</v>
      </c>
      <c r="Z174" s="227" t="str">
        <f t="shared" si="57"/>
        <v>60.8394811736738+37.0022526331235i</v>
      </c>
      <c r="AA174" s="227" t="str">
        <f t="shared" si="58"/>
        <v>3.70405411556439-7.52277485067337i</v>
      </c>
      <c r="AB174" s="227">
        <f t="shared" si="68"/>
        <v>18.470304295086191</v>
      </c>
      <c r="AC174" s="227">
        <f t="shared" si="69"/>
        <v>-63.785347237127041</v>
      </c>
      <c r="AD174" s="229">
        <f t="shared" si="70"/>
        <v>7.3641545384890232</v>
      </c>
      <c r="AE174" s="229">
        <f t="shared" si="71"/>
        <v>122.37209151335624</v>
      </c>
      <c r="AF174" s="227">
        <f t="shared" si="59"/>
        <v>25.834458833575212</v>
      </c>
      <c r="AG174" s="227">
        <f t="shared" si="60"/>
        <v>58.586744276229197</v>
      </c>
      <c r="AH174" s="229" t="str">
        <f t="shared" si="61"/>
        <v>1.24996725758303-1.97175548309669i</v>
      </c>
    </row>
    <row r="175" spans="9:34" x14ac:dyDescent="0.2">
      <c r="I175" s="227">
        <v>171</v>
      </c>
      <c r="J175" s="227">
        <f t="shared" si="49"/>
        <v>2.6672709520799618</v>
      </c>
      <c r="K175" s="227">
        <f t="shared" si="72"/>
        <v>464.80517218264703</v>
      </c>
      <c r="L175" s="227">
        <f t="shared" si="62"/>
        <v>2920.4570285590858</v>
      </c>
      <c r="M175" s="227">
        <f t="shared" si="50"/>
        <v>6108.487216445179</v>
      </c>
      <c r="N175" s="227">
        <f>SQRT((ABS(AC175)-171.5+'Small Signal'!C$59)^2)</f>
        <v>37.187877866203834</v>
      </c>
      <c r="O175" s="227">
        <f t="shared" si="63"/>
        <v>58.629139590923629</v>
      </c>
      <c r="P175" s="227">
        <f t="shared" si="64"/>
        <v>25.541677974573432</v>
      </c>
      <c r="Q175" s="227">
        <f t="shared" si="65"/>
        <v>464.80517218264703</v>
      </c>
      <c r="R175" s="227" t="str">
        <f t="shared" si="51"/>
        <v>0.0355+0.00379659413712681i</v>
      </c>
      <c r="S175" s="227" t="str">
        <f t="shared" si="52"/>
        <v>0.018-1.55641891012422i</v>
      </c>
      <c r="T175" s="227" t="str">
        <f t="shared" si="53"/>
        <v>0.372432702610066-1.46173570017202i</v>
      </c>
      <c r="U175" s="227" t="str">
        <f t="shared" si="54"/>
        <v>69.9433610482112-46.4062552246862i</v>
      </c>
      <c r="V175" s="227">
        <f t="shared" si="66"/>
        <v>38.479188634807777</v>
      </c>
      <c r="W175" s="227">
        <f t="shared" si="67"/>
        <v>-33.563611360957744</v>
      </c>
      <c r="X175" s="227" t="str">
        <f t="shared" si="55"/>
        <v>0.999998463688191-0.000334895101775373i</v>
      </c>
      <c r="Y175" s="227" t="str">
        <f t="shared" si="56"/>
        <v>336.626721844091+203.655730121286i</v>
      </c>
      <c r="Z175" s="227" t="str">
        <f t="shared" si="57"/>
        <v>61.7751574783464+37.3450849584951i</v>
      </c>
      <c r="AA175" s="227" t="str">
        <f t="shared" si="58"/>
        <v>3.5700343434763-7.42200156963565i</v>
      </c>
      <c r="AB175" s="227">
        <f t="shared" si="68"/>
        <v>18.314298364455524</v>
      </c>
      <c r="AC175" s="227">
        <f t="shared" si="69"/>
        <v>-64.312122133796166</v>
      </c>
      <c r="AD175" s="229">
        <f t="shared" si="70"/>
        <v>7.2273796101179073</v>
      </c>
      <c r="AE175" s="229">
        <f t="shared" si="71"/>
        <v>122.94126172471979</v>
      </c>
      <c r="AF175" s="227">
        <f t="shared" si="59"/>
        <v>25.541677974573432</v>
      </c>
      <c r="AG175" s="227">
        <f t="shared" si="60"/>
        <v>58.629139590923629</v>
      </c>
      <c r="AH175" s="229" t="str">
        <f t="shared" si="61"/>
        <v>1.24965860285062-1.92863122217942i</v>
      </c>
    </row>
    <row r="176" spans="9:34" x14ac:dyDescent="0.2">
      <c r="I176" s="227">
        <v>172</v>
      </c>
      <c r="J176" s="227">
        <f t="shared" si="49"/>
        <v>2.6770210746067447</v>
      </c>
      <c r="K176" s="227">
        <f t="shared" si="72"/>
        <v>475.35829265545095</v>
      </c>
      <c r="L176" s="227">
        <f t="shared" si="62"/>
        <v>2986.7642400587033</v>
      </c>
      <c r="M176" s="227">
        <f t="shared" si="50"/>
        <v>6097.6944937511016</v>
      </c>
      <c r="N176" s="227">
        <f>SQRT((ABS(AC176)-171.5+'Small Signal'!C$59)^2)</f>
        <v>36.667782857150343</v>
      </c>
      <c r="O176" s="227">
        <f t="shared" si="63"/>
        <v>58.683189115232054</v>
      </c>
      <c r="P176" s="227">
        <f t="shared" si="64"/>
        <v>25.249372525029344</v>
      </c>
      <c r="Q176" s="227">
        <f t="shared" si="65"/>
        <v>475.35829265545095</v>
      </c>
      <c r="R176" s="227" t="str">
        <f t="shared" si="51"/>
        <v>0.0355+0.00388279351207631i</v>
      </c>
      <c r="S176" s="227" t="str">
        <f t="shared" si="52"/>
        <v>0.018-1.52186586557137i</v>
      </c>
      <c r="T176" s="227" t="str">
        <f t="shared" si="53"/>
        <v>0.357696687979762-1.43277892801378i</v>
      </c>
      <c r="U176" s="227" t="str">
        <f t="shared" si="54"/>
        <v>69.0638168515859-47.0192688837248i</v>
      </c>
      <c r="V176" s="227">
        <f t="shared" si="66"/>
        <v>38.438941492916328</v>
      </c>
      <c r="W176" s="227">
        <f t="shared" si="67"/>
        <v>-34.247386699846942</v>
      </c>
      <c r="X176" s="227" t="str">
        <f t="shared" si="55"/>
        <v>0.999998393134177-0.000342498692626549i</v>
      </c>
      <c r="Y176" s="227" t="str">
        <f t="shared" si="56"/>
        <v>341.857755068196+205.432006251202i</v>
      </c>
      <c r="Z176" s="227" t="str">
        <f t="shared" si="57"/>
        <v>62.7353134807244+37.6701865206653i</v>
      </c>
      <c r="AA176" s="227" t="str">
        <f t="shared" si="58"/>
        <v>3.43962526849646-7.32025711124055i</v>
      </c>
      <c r="AB176" s="227">
        <f t="shared" si="68"/>
        <v>18.156918595620088</v>
      </c>
      <c r="AC176" s="227">
        <f t="shared" si="69"/>
        <v>-64.832217142849657</v>
      </c>
      <c r="AD176" s="229">
        <f t="shared" si="70"/>
        <v>7.0924539294092543</v>
      </c>
      <c r="AE176" s="229">
        <f t="shared" si="71"/>
        <v>123.51540625808171</v>
      </c>
      <c r="AF176" s="227">
        <f t="shared" si="59"/>
        <v>25.249372525029344</v>
      </c>
      <c r="AG176" s="227">
        <f t="shared" si="60"/>
        <v>58.683189115232054</v>
      </c>
      <c r="AH176" s="229" t="str">
        <f t="shared" si="61"/>
        <v>1.24936280831228-1.88647898028171i</v>
      </c>
    </row>
    <row r="177" spans="9:34" x14ac:dyDescent="0.2">
      <c r="I177" s="227">
        <v>173</v>
      </c>
      <c r="J177" s="227">
        <f t="shared" si="49"/>
        <v>2.6867711971335284</v>
      </c>
      <c r="K177" s="227">
        <f t="shared" si="72"/>
        <v>486.15101534952782</v>
      </c>
      <c r="L177" s="227">
        <f t="shared" si="62"/>
        <v>3054.5769167145909</v>
      </c>
      <c r="M177" s="227">
        <f t="shared" si="50"/>
        <v>6086.6567288121532</v>
      </c>
      <c r="N177" s="227">
        <f>SQRT((ABS(AC177)-171.5+'Small Signal'!C$59)^2)</f>
        <v>36.154423220077248</v>
      </c>
      <c r="O177" s="227">
        <f t="shared" si="63"/>
        <v>58.748727110804651</v>
      </c>
      <c r="P177" s="227">
        <f t="shared" si="64"/>
        <v>24.957612379096307</v>
      </c>
      <c r="Q177" s="227">
        <f t="shared" si="65"/>
        <v>486.15101534952782</v>
      </c>
      <c r="R177" s="227" t="str">
        <f t="shared" si="51"/>
        <v>0.0355+0.00397094999172897i</v>
      </c>
      <c r="S177" s="227" t="str">
        <f t="shared" si="52"/>
        <v>0.018-1.48807991070118i</v>
      </c>
      <c r="T177" s="227" t="str">
        <f t="shared" si="53"/>
        <v>0.343540165842874-1.40425307092207i</v>
      </c>
      <c r="U177" s="227" t="str">
        <f t="shared" si="54"/>
        <v>68.1601772123938-47.623678996519i</v>
      </c>
      <c r="V177" s="227">
        <f t="shared" si="66"/>
        <v>38.397183549407245</v>
      </c>
      <c r="W177" s="227">
        <f t="shared" si="67"/>
        <v>-34.942092227471939</v>
      </c>
      <c r="X177" s="227" t="str">
        <f t="shared" si="55"/>
        <v>0.99999831934002-0.000350274918411847i</v>
      </c>
      <c r="Y177" s="227" t="str">
        <f t="shared" si="56"/>
        <v>347.221659841602+207.10444982401i</v>
      </c>
      <c r="Z177" s="227" t="str">
        <f t="shared" si="57"/>
        <v>63.7198526136945+37.9762030923508i</v>
      </c>
      <c r="AA177" s="227" t="str">
        <f t="shared" si="58"/>
        <v>3.31280907204947-7.21768144894473i</v>
      </c>
      <c r="AB177" s="227">
        <f t="shared" si="68"/>
        <v>17.998202793855437</v>
      </c>
      <c r="AC177" s="227">
        <f t="shared" si="69"/>
        <v>-65.345576779922752</v>
      </c>
      <c r="AD177" s="229">
        <f t="shared" si="70"/>
        <v>6.9594095852408708</v>
      </c>
      <c r="AE177" s="229">
        <f t="shared" si="71"/>
        <v>124.0943038907274</v>
      </c>
      <c r="AF177" s="227">
        <f t="shared" si="59"/>
        <v>24.957612379096307</v>
      </c>
      <c r="AG177" s="227">
        <f t="shared" si="60"/>
        <v>58.748727110804651</v>
      </c>
      <c r="AH177" s="229" t="str">
        <f t="shared" si="61"/>
        <v>1.24907927757123-1.84527751606452i</v>
      </c>
    </row>
    <row r="178" spans="9:34" x14ac:dyDescent="0.2">
      <c r="I178" s="227">
        <v>174</v>
      </c>
      <c r="J178" s="227">
        <f t="shared" si="49"/>
        <v>2.6965213196603117</v>
      </c>
      <c r="K178" s="227">
        <f t="shared" si="72"/>
        <v>497.18878028847678</v>
      </c>
      <c r="L178" s="227">
        <f t="shared" si="62"/>
        <v>3123.9292392030966</v>
      </c>
      <c r="M178" s="227">
        <f t="shared" si="50"/>
        <v>6075.3683580922825</v>
      </c>
      <c r="N178" s="227">
        <f>SQRT((ABS(AC178)-171.5+'Small Signal'!C$59)^2)</f>
        <v>35.647844806037398</v>
      </c>
      <c r="O178" s="227">
        <f t="shared" si="63"/>
        <v>58.825567583875639</v>
      </c>
      <c r="P178" s="227">
        <f t="shared" si="64"/>
        <v>24.666466119465369</v>
      </c>
      <c r="Q178" s="227">
        <f t="shared" si="65"/>
        <v>497.18878028847678</v>
      </c>
      <c r="R178" s="227" t="str">
        <f t="shared" si="51"/>
        <v>0.0355+0.00406110801096403i</v>
      </c>
      <c r="S178" s="227" t="str">
        <f t="shared" si="52"/>
        <v>0.018-1.45504401585424i</v>
      </c>
      <c r="T178" s="227" t="str">
        <f t="shared" si="53"/>
        <v>0.329943057116597-1.37616080252991i</v>
      </c>
      <c r="U178" s="227" t="str">
        <f t="shared" si="54"/>
        <v>67.232398867805-48.2184527849083i</v>
      </c>
      <c r="V178" s="227">
        <f t="shared" si="66"/>
        <v>38.353870709250309</v>
      </c>
      <c r="W178" s="227">
        <f t="shared" si="67"/>
        <v>-35.647739858241351</v>
      </c>
      <c r="X178" s="227" t="str">
        <f t="shared" si="55"/>
        <v>0.999998242156919-0.00035822769870309i</v>
      </c>
      <c r="Y178" s="227" t="str">
        <f t="shared" si="56"/>
        <v>352.717559935782+208.665508985078i</v>
      </c>
      <c r="Z178" s="227" t="str">
        <f t="shared" si="57"/>
        <v>64.7286134547295+38.2617478171299i</v>
      </c>
      <c r="AA178" s="227" t="str">
        <f t="shared" si="58"/>
        <v>3.18956186264199-7.11441039193799i</v>
      </c>
      <c r="AB178" s="227">
        <f t="shared" si="68"/>
        <v>17.838188557313529</v>
      </c>
      <c r="AC178" s="227">
        <f t="shared" si="69"/>
        <v>-65.852155193962602</v>
      </c>
      <c r="AD178" s="229">
        <f t="shared" si="70"/>
        <v>6.8282775621518415</v>
      </c>
      <c r="AE178" s="229">
        <f t="shared" si="71"/>
        <v>124.67772277783824</v>
      </c>
      <c r="AF178" s="227">
        <f t="shared" si="59"/>
        <v>24.666466119465369</v>
      </c>
      <c r="AG178" s="227">
        <f t="shared" si="60"/>
        <v>58.825567583875639</v>
      </c>
      <c r="AH178" s="229" t="str">
        <f t="shared" si="61"/>
        <v>1.24880743895774-1.80500606699927i</v>
      </c>
    </row>
    <row r="179" spans="9:34" x14ac:dyDescent="0.2">
      <c r="I179" s="227">
        <v>175</v>
      </c>
      <c r="J179" s="227">
        <f t="shared" si="49"/>
        <v>2.706271442187095</v>
      </c>
      <c r="K179" s="227">
        <f t="shared" si="72"/>
        <v>508.47715100834768</v>
      </c>
      <c r="L179" s="227">
        <f t="shared" si="62"/>
        <v>3194.8561642521859</v>
      </c>
      <c r="M179" s="227">
        <f t="shared" si="50"/>
        <v>6063.8236917387185</v>
      </c>
      <c r="N179" s="227">
        <f>SQRT((ABS(AC179)-171.5+'Small Signal'!C$59)^2)</f>
        <v>35.148084124015966</v>
      </c>
      <c r="O179" s="227">
        <f t="shared" si="63"/>
        <v>58.913504831303598</v>
      </c>
      <c r="P179" s="227">
        <f t="shared" si="64"/>
        <v>24.376000856377665</v>
      </c>
      <c r="Q179" s="227">
        <f t="shared" si="65"/>
        <v>508.47715100834768</v>
      </c>
      <c r="R179" s="227" t="str">
        <f t="shared" si="51"/>
        <v>0.0355+0.00415331301352784i</v>
      </c>
      <c r="S179" s="227" t="str">
        <f t="shared" si="52"/>
        <v>0.018-1.42274152943549i</v>
      </c>
      <c r="T179" s="227" t="str">
        <f t="shared" si="53"/>
        <v>0.31688575488136-1.34850409237004i</v>
      </c>
      <c r="U179" s="227" t="str">
        <f t="shared" si="54"/>
        <v>66.2804879478753-48.8025317368718i</v>
      </c>
      <c r="V179" s="227">
        <f t="shared" si="66"/>
        <v>38.308958497692828</v>
      </c>
      <c r="W179" s="227">
        <f t="shared" si="67"/>
        <v>-36.364332784603533</v>
      </c>
      <c r="X179" s="227" t="str">
        <f t="shared" si="55"/>
        <v>0.99999816142924-0.000366361042063614i</v>
      </c>
      <c r="Y179" s="227" t="str">
        <f t="shared" si="56"/>
        <v>358.344205542256+210.107469471143i</v>
      </c>
      <c r="Z179" s="227" t="str">
        <f t="shared" si="57"/>
        <v>65.7613659691102+38.5254040240785i</v>
      </c>
      <c r="AA179" s="227" t="str">
        <f t="shared" si="58"/>
        <v>3.06985408425034-7.01057536177112i</v>
      </c>
      <c r="AB179" s="227">
        <f t="shared" si="68"/>
        <v>17.676913216302754</v>
      </c>
      <c r="AC179" s="227">
        <f t="shared" si="69"/>
        <v>-66.351915875984034</v>
      </c>
      <c r="AD179" s="229">
        <f t="shared" si="70"/>
        <v>6.6990876400749109</v>
      </c>
      <c r="AE179" s="229">
        <f t="shared" si="71"/>
        <v>125.26542070728763</v>
      </c>
      <c r="AF179" s="227">
        <f t="shared" si="59"/>
        <v>24.376000856377665</v>
      </c>
      <c r="AG179" s="227">
        <f t="shared" si="60"/>
        <v>58.913504831303598</v>
      </c>
      <c r="AH179" s="229" t="str">
        <f t="shared" si="61"/>
        <v>1.24854674437683-1.76564433892484i</v>
      </c>
    </row>
    <row r="180" spans="9:34" x14ac:dyDescent="0.2">
      <c r="I180" s="227">
        <v>176</v>
      </c>
      <c r="J180" s="227">
        <f t="shared" si="49"/>
        <v>2.7160215647138783</v>
      </c>
      <c r="K180" s="227">
        <f t="shared" si="72"/>
        <v>520.02181736191153</v>
      </c>
      <c r="L180" s="227">
        <f t="shared" si="62"/>
        <v>3267.3934422611887</v>
      </c>
      <c r="M180" s="227">
        <f t="shared" si="50"/>
        <v>6052.0169107140218</v>
      </c>
      <c r="N180" s="227">
        <f>SQRT((ABS(AC180)-171.5+'Small Signal'!C$59)^2)</f>
        <v>34.65516864625485</v>
      </c>
      <c r="O180" s="227">
        <f t="shared" si="63"/>
        <v>59.012314049503317</v>
      </c>
      <c r="P180" s="227">
        <f t="shared" si="64"/>
        <v>24.086282072292661</v>
      </c>
      <c r="Q180" s="227">
        <f t="shared" si="65"/>
        <v>520.02181736191153</v>
      </c>
      <c r="R180" s="227" t="str">
        <f t="shared" si="51"/>
        <v>0.0355+0.00424761147493955i</v>
      </c>
      <c r="S180" s="227" t="str">
        <f t="shared" si="52"/>
        <v>0.018-1.39115616952113i</v>
      </c>
      <c r="T180" s="227" t="str">
        <f t="shared" si="53"/>
        <v>0.304349132890631-1.32128424914709i</v>
      </c>
      <c r="U180" s="227" t="str">
        <f t="shared" si="54"/>
        <v>65.3045027855458-49.3748339487338i</v>
      </c>
      <c r="V180" s="227">
        <f t="shared" si="66"/>
        <v>38.262402122142163</v>
      </c>
      <c r="W180" s="227">
        <f t="shared" si="67"/>
        <v>-37.091865220203296</v>
      </c>
      <c r="X180" s="227" t="str">
        <f t="shared" si="55"/>
        <v>0.999998076994201-0.000374679048068763i</v>
      </c>
      <c r="Y180" s="227" t="str">
        <f t="shared" si="56"/>
        <v>364.099953245059+211.422471864017i</v>
      </c>
      <c r="Z180" s="227" t="str">
        <f t="shared" si="57"/>
        <v>66.8178078321444+38.7657283964305i</v>
      </c>
      <c r="AA180" s="227" t="str">
        <f t="shared" si="58"/>
        <v>2.95365092548314-6.90630320446812i</v>
      </c>
      <c r="AB180" s="227">
        <f t="shared" si="68"/>
        <v>17.51441377685758</v>
      </c>
      <c r="AC180" s="227">
        <f t="shared" si="69"/>
        <v>-66.84483135374515</v>
      </c>
      <c r="AD180" s="229">
        <f t="shared" si="70"/>
        <v>6.5718682954350811</v>
      </c>
      <c r="AE180" s="229">
        <f t="shared" si="71"/>
        <v>125.85714540324847</v>
      </c>
      <c r="AF180" s="227">
        <f t="shared" si="59"/>
        <v>24.086282072292661</v>
      </c>
      <c r="AG180" s="227">
        <f t="shared" si="60"/>
        <v>59.012314049503317</v>
      </c>
      <c r="AH180" s="229" t="str">
        <f t="shared" si="61"/>
        <v>1.24829666820345-1.72717249583861i</v>
      </c>
    </row>
    <row r="181" spans="9:34" x14ac:dyDescent="0.2">
      <c r="I181" s="227">
        <v>177</v>
      </c>
      <c r="J181" s="227">
        <f t="shared" si="49"/>
        <v>2.7257716872406617</v>
      </c>
      <c r="K181" s="227">
        <f t="shared" si="72"/>
        <v>531.82859838660806</v>
      </c>
      <c r="L181" s="227">
        <f t="shared" si="62"/>
        <v>3341.5776353206488</v>
      </c>
      <c r="M181" s="227">
        <f t="shared" si="50"/>
        <v>6039.9420638630245</v>
      </c>
      <c r="N181" s="227">
        <f>SQRT((ABS(AC181)-171.5+'Small Signal'!C$59)^2)</f>
        <v>34.16911712526327</v>
      </c>
      <c r="O181" s="227">
        <f t="shared" si="63"/>
        <v>59.121752003879919</v>
      </c>
      <c r="P181" s="227">
        <f t="shared" si="64"/>
        <v>23.797373472841841</v>
      </c>
      <c r="Q181" s="227">
        <f t="shared" si="65"/>
        <v>531.82859838660806</v>
      </c>
      <c r="R181" s="227" t="str">
        <f t="shared" si="51"/>
        <v>0.0355+0.00434405092591684i</v>
      </c>
      <c r="S181" s="227" t="str">
        <f t="shared" si="52"/>
        <v>0.018-1.36027201565178i</v>
      </c>
      <c r="T181" s="227" t="str">
        <f t="shared" si="53"/>
        <v>0.292314551859472-1.29450196252869i</v>
      </c>
      <c r="U181" s="227" t="str">
        <f t="shared" si="54"/>
        <v>64.304556635543-49.9342567438968i</v>
      </c>
      <c r="V181" s="227">
        <f t="shared" si="66"/>
        <v>38.214156537766051</v>
      </c>
      <c r="W181" s="227">
        <f t="shared" si="67"/>
        <v>-37.830322163864643</v>
      </c>
      <c r="X181" s="227" t="str">
        <f t="shared" si="55"/>
        <v>0.999997988681543-0.000383185909372259i</v>
      </c>
      <c r="Y181" s="227" t="str">
        <f t="shared" si="56"/>
        <v>369.982746598962+212.602530801256i</v>
      </c>
      <c r="Z181" s="227" t="str">
        <f t="shared" si="57"/>
        <v>67.8975608626049+38.9812544996013i</v>
      </c>
      <c r="AA181" s="227" t="str">
        <f t="shared" si="58"/>
        <v>2.84091272672943-6.80171603670186i</v>
      </c>
      <c r="AB181" s="227">
        <f t="shared" si="68"/>
        <v>17.350726868590403</v>
      </c>
      <c r="AC181" s="227">
        <f t="shared" si="69"/>
        <v>-67.33088287473673</v>
      </c>
      <c r="AD181" s="229">
        <f t="shared" si="70"/>
        <v>6.4466466042514368</v>
      </c>
      <c r="AE181" s="229">
        <f t="shared" si="71"/>
        <v>126.45263487861665</v>
      </c>
      <c r="AF181" s="227">
        <f t="shared" si="59"/>
        <v>23.797373472841841</v>
      </c>
      <c r="AG181" s="227">
        <f t="shared" si="60"/>
        <v>59.121752003879919</v>
      </c>
      <c r="AH181" s="229" t="str">
        <f t="shared" si="61"/>
        <v>1.24805670622302-1.68957114991691i</v>
      </c>
    </row>
    <row r="182" spans="9:34" x14ac:dyDescent="0.2">
      <c r="I182" s="227">
        <v>178</v>
      </c>
      <c r="J182" s="227">
        <f t="shared" si="49"/>
        <v>2.7355218097674454</v>
      </c>
      <c r="K182" s="227">
        <f t="shared" si="72"/>
        <v>543.90344523760564</v>
      </c>
      <c r="L182" s="227">
        <f t="shared" si="62"/>
        <v>3417.4461356412803</v>
      </c>
      <c r="M182" s="227">
        <f t="shared" si="50"/>
        <v>6027.5930649131797</v>
      </c>
      <c r="N182" s="227">
        <f>SQRT((ABS(AC182)-171.5+'Small Signal'!C$59)^2)</f>
        <v>33.689939920220453</v>
      </c>
      <c r="O182" s="227">
        <f t="shared" si="63"/>
        <v>59.241557756074386</v>
      </c>
      <c r="P182" s="227">
        <f t="shared" si="64"/>
        <v>23.509336844679083</v>
      </c>
      <c r="Q182" s="227">
        <f t="shared" si="65"/>
        <v>543.90344523760564</v>
      </c>
      <c r="R182" s="227" t="str">
        <f t="shared" si="51"/>
        <v>0.0355+0.00444267997633366i</v>
      </c>
      <c r="S182" s="227" t="str">
        <f t="shared" si="52"/>
        <v>0.018-1.33007350080782i</v>
      </c>
      <c r="T182" s="227" t="str">
        <f t="shared" si="53"/>
        <v>0.28076386371688-1.26815734341786i</v>
      </c>
      <c r="U182" s="227" t="str">
        <f t="shared" si="54"/>
        <v>63.2808202751384-50.4796795691754i</v>
      </c>
      <c r="V182" s="227">
        <f t="shared" si="66"/>
        <v>38.164176516657264</v>
      </c>
      <c r="W182" s="227">
        <f t="shared" si="67"/>
        <v>-38.579679186874245</v>
      </c>
      <c r="X182" s="227" t="str">
        <f t="shared" si="55"/>
        <v>0.999997896313189-0.000391885913819494i</v>
      </c>
      <c r="Y182" s="227" t="str">
        <f t="shared" si="56"/>
        <v>375.990097498062+213.639556156653i</v>
      </c>
      <c r="Z182" s="227" t="str">
        <f t="shared" si="57"/>
        <v>69.0001676012865+39.1704966709399i</v>
      </c>
      <c r="AA182" s="227" t="str">
        <f t="shared" si="58"/>
        <v>2.73159538276194-6.69693112443729i</v>
      </c>
      <c r="AB182" s="227">
        <f t="shared" si="68"/>
        <v>17.185888696792084</v>
      </c>
      <c r="AC182" s="227">
        <f t="shared" si="69"/>
        <v>-67.810060079779547</v>
      </c>
      <c r="AD182" s="229">
        <f t="shared" si="70"/>
        <v>6.3234481478869986</v>
      </c>
      <c r="AE182" s="229">
        <f t="shared" si="71"/>
        <v>127.05161783585393</v>
      </c>
      <c r="AF182" s="227">
        <f t="shared" si="59"/>
        <v>23.509336844679083</v>
      </c>
      <c r="AG182" s="227">
        <f t="shared" si="60"/>
        <v>59.241557756074386</v>
      </c>
      <c r="AH182" s="229" t="str">
        <f t="shared" si="61"/>
        <v>1.24782637461507-1.65282135175961i</v>
      </c>
    </row>
    <row r="183" spans="9:34" x14ac:dyDescent="0.2">
      <c r="I183" s="227">
        <v>179</v>
      </c>
      <c r="J183" s="227">
        <f t="shared" si="49"/>
        <v>2.7452719322942287</v>
      </c>
      <c r="K183" s="227">
        <f t="shared" si="72"/>
        <v>556.25244418745012</v>
      </c>
      <c r="L183" s="227">
        <f t="shared" si="62"/>
        <v>3495.0371844013193</v>
      </c>
      <c r="M183" s="227">
        <f t="shared" si="50"/>
        <v>6014.9636894067999</v>
      </c>
      <c r="N183" s="227">
        <f>SQRT((ABS(AC183)-171.5+'Small Signal'!C$59)^2)</f>
        <v>33.217639330601017</v>
      </c>
      <c r="O183" s="227">
        <f t="shared" si="63"/>
        <v>59.371453446030884</v>
      </c>
      <c r="P183" s="227">
        <f t="shared" si="64"/>
        <v>23.222231920822004</v>
      </c>
      <c r="Q183" s="227">
        <f t="shared" si="65"/>
        <v>556.25244418745012</v>
      </c>
      <c r="R183" s="227" t="str">
        <f t="shared" si="51"/>
        <v>0.0355+0.00454354833972172i</v>
      </c>
      <c r="S183" s="227" t="str">
        <f t="shared" si="52"/>
        <v>0.018-1.3005454035629i</v>
      </c>
      <c r="T183" s="227" t="str">
        <f t="shared" si="53"/>
        <v>0.269679413998428-1.24224996268173i</v>
      </c>
      <c r="U183" s="227" t="str">
        <f t="shared" si="54"/>
        <v>62.2335244586606-51.0099671671077i</v>
      </c>
      <c r="V183" s="227">
        <f t="shared" si="66"/>
        <v>38.112416720370284</v>
      </c>
      <c r="W183" s="227">
        <f t="shared" si="67"/>
        <v>-39.339902246020102</v>
      </c>
      <c r="X183" s="227" t="str">
        <f t="shared" si="55"/>
        <v>0.999997799702886-0.000400783446608796i</v>
      </c>
      <c r="Y183" s="227" t="str">
        <f t="shared" si="56"/>
        <v>382.119068526993+214.525376185575i</v>
      </c>
      <c r="Z183" s="227" t="str">
        <f t="shared" si="57"/>
        <v>70.1250880699809+39.3319542702954i</v>
      </c>
      <c r="AA183" s="227" t="str">
        <f t="shared" si="58"/>
        <v>2.62565073852921-6.5920607923059i</v>
      </c>
      <c r="AB183" s="227">
        <f t="shared" si="68"/>
        <v>17.019934998724558</v>
      </c>
      <c r="AC183" s="227">
        <f t="shared" si="69"/>
        <v>-68.282360669398983</v>
      </c>
      <c r="AD183" s="229">
        <f t="shared" si="70"/>
        <v>6.2022969220974478</v>
      </c>
      <c r="AE183" s="229">
        <f t="shared" si="71"/>
        <v>127.65381411542987</v>
      </c>
      <c r="AF183" s="227">
        <f t="shared" si="59"/>
        <v>23.222231920822004</v>
      </c>
      <c r="AG183" s="227">
        <f t="shared" si="60"/>
        <v>59.371453446030884</v>
      </c>
      <c r="AH183" s="229" t="str">
        <f t="shared" si="61"/>
        <v>1.24760520897805-1.61690458085414i</v>
      </c>
    </row>
    <row r="184" spans="9:34" x14ac:dyDescent="0.2">
      <c r="I184" s="227">
        <v>180</v>
      </c>
      <c r="J184" s="227">
        <f t="shared" si="49"/>
        <v>2.755022054821012</v>
      </c>
      <c r="K184" s="227">
        <f t="shared" si="72"/>
        <v>568.88181969383027</v>
      </c>
      <c r="L184" s="227">
        <f t="shared" si="62"/>
        <v>3574.3898910218609</v>
      </c>
      <c r="M184" s="227">
        <f t="shared" si="50"/>
        <v>6002.0475715636485</v>
      </c>
      <c r="N184" s="227">
        <f>SQRT((ABS(AC184)-171.5+'Small Signal'!C$59)^2)</f>
        <v>32.752209934964228</v>
      </c>
      <c r="O184" s="227">
        <f t="shared" si="63"/>
        <v>59.511145125572554</v>
      </c>
      <c r="P184" s="227">
        <f t="shared" si="64"/>
        <v>22.936116254048578</v>
      </c>
      <c r="Q184" s="227">
        <f t="shared" si="65"/>
        <v>568.88181969383027</v>
      </c>
      <c r="R184" s="227" t="str">
        <f t="shared" si="51"/>
        <v>0.0355+0.00464670685832842i</v>
      </c>
      <c r="S184" s="227" t="str">
        <f t="shared" si="52"/>
        <v>0.018-1.27167284041168i</v>
      </c>
      <c r="T184" s="227" t="str">
        <f t="shared" si="53"/>
        <v>0.259044042547012-1.21677888832304i</v>
      </c>
      <c r="U184" s="227" t="str">
        <f t="shared" si="54"/>
        <v>61.162962196851-51.5239730197003i</v>
      </c>
      <c r="V184" s="227">
        <f t="shared" si="66"/>
        <v>38.058831775596879</v>
      </c>
      <c r="W184" s="227">
        <f t="shared" si="67"/>
        <v>-40.110947524796138</v>
      </c>
      <c r="X184" s="227" t="str">
        <f t="shared" si="55"/>
        <v>0.999997698655824-0.000409882992501772i</v>
      </c>
      <c r="Y184" s="227" t="str">
        <f t="shared" si="56"/>
        <v>388.366256493022+215.251762610957i</v>
      </c>
      <c r="Z184" s="227" t="str">
        <f t="shared" si="57"/>
        <v>71.2716967472756+39.464116286963i</v>
      </c>
      <c r="AA184" s="227" t="str">
        <f t="shared" si="58"/>
        <v>2.52302697612847-6.48721236186453i</v>
      </c>
      <c r="AB184" s="227">
        <f t="shared" si="68"/>
        <v>16.85290100402306</v>
      </c>
      <c r="AC184" s="227">
        <f t="shared" si="69"/>
        <v>-68.747790065035772</v>
      </c>
      <c r="AD184" s="229">
        <f t="shared" si="70"/>
        <v>6.0832152500255177</v>
      </c>
      <c r="AE184" s="229">
        <f t="shared" si="71"/>
        <v>128.25893519060833</v>
      </c>
      <c r="AF184" s="227">
        <f t="shared" si="59"/>
        <v>22.936116254048578</v>
      </c>
      <c r="AG184" s="227">
        <f t="shared" si="60"/>
        <v>59.511145125572554</v>
      </c>
      <c r="AH184" s="229" t="str">
        <f t="shared" si="61"/>
        <v>1.24739276339327-1.58180273625419i</v>
      </c>
    </row>
    <row r="185" spans="9:34" x14ac:dyDescent="0.2">
      <c r="I185" s="227">
        <v>181</v>
      </c>
      <c r="J185" s="227">
        <f t="shared" si="49"/>
        <v>2.7647721773477953</v>
      </c>
      <c r="K185" s="227">
        <f t="shared" si="72"/>
        <v>581.79793753698118</v>
      </c>
      <c r="L185" s="227">
        <f t="shared" si="62"/>
        <v>3655.5442528797466</v>
      </c>
      <c r="M185" s="227">
        <f t="shared" si="50"/>
        <v>5988.8382010722971</v>
      </c>
      <c r="N185" s="227">
        <f>SQRT((ABS(AC185)-171.5+'Small Signal'!C$59)^2)</f>
        <v>32.293638932992849</v>
      </c>
      <c r="O185" s="227">
        <f t="shared" si="63"/>
        <v>59.660323639882733</v>
      </c>
      <c r="P185" s="227">
        <f t="shared" si="64"/>
        <v>22.65104509888695</v>
      </c>
      <c r="Q185" s="227">
        <f t="shared" si="65"/>
        <v>581.79793753698118</v>
      </c>
      <c r="R185" s="227" t="str">
        <f t="shared" si="51"/>
        <v>0.0355+0.00475220752874367i</v>
      </c>
      <c r="S185" s="227" t="str">
        <f t="shared" si="52"/>
        <v>0.018-1.24344125826784i</v>
      </c>
      <c r="T185" s="227" t="str">
        <f t="shared" si="53"/>
        <v>0.248841082680582-1.19174272109023i</v>
      </c>
      <c r="U185" s="227" t="str">
        <f t="shared" si="54"/>
        <v>60.0694908316418-52.0205430559471i</v>
      </c>
      <c r="V185" s="227">
        <f t="shared" si="66"/>
        <v>38.003376352705331</v>
      </c>
      <c r="W185" s="227">
        <f t="shared" si="67"/>
        <v>-40.892761305121788</v>
      </c>
      <c r="X185" s="227" t="str">
        <f t="shared" si="55"/>
        <v>0.999997592968248-0.000419189138083829i</v>
      </c>
      <c r="Y185" s="227" t="str">
        <f t="shared" si="56"/>
        <v>394.727777341137+215.810457604851i</v>
      </c>
      <c r="Z185" s="227" t="str">
        <f t="shared" si="57"/>
        <v>72.4392797982884+39.5654662947282i</v>
      </c>
      <c r="AA185" s="227" t="str">
        <f t="shared" si="58"/>
        <v>2.42366899121081-6.38248811681619i</v>
      </c>
      <c r="AB185" s="227">
        <f t="shared" si="68"/>
        <v>16.684821399109161</v>
      </c>
      <c r="AC185" s="227">
        <f t="shared" si="69"/>
        <v>-69.206361067007151</v>
      </c>
      <c r="AD185" s="229">
        <f t="shared" si="70"/>
        <v>5.9662236997777898</v>
      </c>
      <c r="AE185" s="229">
        <f t="shared" si="71"/>
        <v>128.86668470688988</v>
      </c>
      <c r="AF185" s="227">
        <f t="shared" si="59"/>
        <v>22.65104509888695</v>
      </c>
      <c r="AG185" s="227">
        <f t="shared" si="60"/>
        <v>59.660323639882733</v>
      </c>
      <c r="AH185" s="229" t="str">
        <f t="shared" si="61"/>
        <v>1.24718860952611-1.5474981274685i</v>
      </c>
    </row>
    <row r="186" spans="9:34" x14ac:dyDescent="0.2">
      <c r="I186" s="227">
        <v>182</v>
      </c>
      <c r="J186" s="227">
        <f t="shared" si="49"/>
        <v>2.7745222998745787</v>
      </c>
      <c r="K186" s="227">
        <f t="shared" si="72"/>
        <v>595.00730802833243</v>
      </c>
      <c r="L186" s="227">
        <f t="shared" si="62"/>
        <v>3738.5411754680968</v>
      </c>
      <c r="M186" s="227">
        <f t="shared" si="50"/>
        <v>5975.3289198086304</v>
      </c>
      <c r="N186" s="227">
        <f>SQRT((ABS(AC186)-171.5+'Small Signal'!C$59)^2)</f>
        <v>31.841906488986396</v>
      </c>
      <c r="O186" s="227">
        <f t="shared" si="63"/>
        <v>59.818665552976867</v>
      </c>
      <c r="P186" s="227">
        <f t="shared" si="64"/>
        <v>22.367071302698392</v>
      </c>
      <c r="Q186" s="227">
        <f t="shared" si="65"/>
        <v>595.00730802833243</v>
      </c>
      <c r="R186" s="227" t="str">
        <f t="shared" si="51"/>
        <v>0.0355+0.00486010352810853i</v>
      </c>
      <c r="S186" s="227" t="str">
        <f t="shared" si="52"/>
        <v>0.018-1.21583642712867i</v>
      </c>
      <c r="T186" s="227" t="str">
        <f t="shared" si="53"/>
        <v>0.239054358976951-1.16713962853154i</v>
      </c>
      <c r="U186" s="227" t="str">
        <f t="shared" si="54"/>
        <v>58.9535338768097-52.4985196121678i</v>
      </c>
      <c r="V186" s="227">
        <f t="shared" si="66"/>
        <v>37.946005246828015</v>
      </c>
      <c r="W186" s="227">
        <f t="shared" si="67"/>
        <v>-41.685279871811076</v>
      </c>
      <c r="X186" s="227" t="str">
        <f t="shared" si="55"/>
        <v>0.999997482427046-0.000428706574076024i</v>
      </c>
      <c r="Y186" s="227" t="str">
        <f t="shared" si="56"/>
        <v>401.199252656007+216.193202598764i</v>
      </c>
      <c r="Z186" s="227" t="str">
        <f t="shared" si="57"/>
        <v>73.6270325957725+39.634487742756i</v>
      </c>
      <c r="AA186" s="227" t="str">
        <f t="shared" si="58"/>
        <v>2.32751875731693-6.27798529322058i</v>
      </c>
      <c r="AB186" s="227">
        <f t="shared" si="68"/>
        <v>16.51573029549651</v>
      </c>
      <c r="AC186" s="227">
        <f t="shared" si="69"/>
        <v>-69.658093511013604</v>
      </c>
      <c r="AD186" s="229">
        <f t="shared" si="70"/>
        <v>5.8513410072018832</v>
      </c>
      <c r="AE186" s="229">
        <f t="shared" si="71"/>
        <v>129.47675906399047</v>
      </c>
      <c r="AF186" s="227">
        <f t="shared" si="59"/>
        <v>22.367071302698392</v>
      </c>
      <c r="AG186" s="227">
        <f t="shared" si="60"/>
        <v>59.818665552976867</v>
      </c>
      <c r="AH186" s="229" t="str">
        <f t="shared" si="61"/>
        <v>1.24699233576272-1.51397346555505i</v>
      </c>
    </row>
    <row r="187" spans="9:34" x14ac:dyDescent="0.2">
      <c r="I187" s="227">
        <v>183</v>
      </c>
      <c r="J187" s="227">
        <f t="shared" si="49"/>
        <v>2.7842724224013624</v>
      </c>
      <c r="K187" s="227">
        <f t="shared" si="72"/>
        <v>608.51658929199937</v>
      </c>
      <c r="L187" s="227">
        <f t="shared" si="62"/>
        <v>3823.4224930145251</v>
      </c>
      <c r="M187" s="227">
        <f t="shared" si="50"/>
        <v>5961.5129184798525</v>
      </c>
      <c r="N187" s="227">
        <f>SQRT((ABS(AC187)-171.5+'Small Signal'!C$59)^2)</f>
        <v>31.396986075165458</v>
      </c>
      <c r="O187" s="227">
        <f t="shared" si="63"/>
        <v>59.985834112969386</v>
      </c>
      <c r="P187" s="227">
        <f t="shared" si="64"/>
        <v>22.084245206316197</v>
      </c>
      <c r="Q187" s="227">
        <f t="shared" si="65"/>
        <v>608.51658929199937</v>
      </c>
      <c r="R187" s="227" t="str">
        <f t="shared" si="51"/>
        <v>0.0355+0.00497044924091888i</v>
      </c>
      <c r="S187" s="227" t="str">
        <f t="shared" si="52"/>
        <v>0.018-1.18884443290251i</v>
      </c>
      <c r="T187" s="227" t="str">
        <f t="shared" si="53"/>
        <v>0.229668183816865-1.14296737750554i</v>
      </c>
      <c r="U187" s="227" t="str">
        <f t="shared" si="54"/>
        <v>57.8155825951735-52.9567456307823i</v>
      </c>
      <c r="V187" s="227">
        <f t="shared" si="66"/>
        <v>37.886673461138876</v>
      </c>
      <c r="W187" s="227">
        <f t="shared" si="67"/>
        <v>-42.488429451894532</v>
      </c>
      <c r="X187" s="227" t="str">
        <f t="shared" si="55"/>
        <v>0.999997366809319-0.000438440097699402i</v>
      </c>
      <c r="Y187" s="227" t="str">
        <f t="shared" si="56"/>
        <v>407.775797953676+216.391768833036i</v>
      </c>
      <c r="Z187" s="227" t="str">
        <f t="shared" si="57"/>
        <v>74.8340575698442+39.6696695658479i</v>
      </c>
      <c r="AA187" s="227" t="str">
        <f t="shared" si="58"/>
        <v>2.23451567688363-6.17379609270026i</v>
      </c>
      <c r="AB187" s="227">
        <f t="shared" si="68"/>
        <v>16.345661201859141</v>
      </c>
      <c r="AC187" s="227">
        <f t="shared" si="69"/>
        <v>-70.103013924834542</v>
      </c>
      <c r="AD187" s="229">
        <f t="shared" si="70"/>
        <v>5.7385840044570564</v>
      </c>
      <c r="AE187" s="229">
        <f t="shared" si="71"/>
        <v>130.08884803780393</v>
      </c>
      <c r="AF187" s="227">
        <f t="shared" si="59"/>
        <v>22.084245206316197</v>
      </c>
      <c r="AG187" s="227">
        <f t="shared" si="60"/>
        <v>59.985834112969386</v>
      </c>
      <c r="AH187" s="229" t="str">
        <f t="shared" si="61"/>
        <v>1.24680354638039-1.48121185441639i</v>
      </c>
    </row>
    <row r="188" spans="9:34" x14ac:dyDescent="0.2">
      <c r="I188" s="227">
        <v>184</v>
      </c>
      <c r="J188" s="227">
        <f t="shared" si="49"/>
        <v>2.7940225449281457</v>
      </c>
      <c r="K188" s="227">
        <f t="shared" si="72"/>
        <v>622.33259062077764</v>
      </c>
      <c r="L188" s="227">
        <f t="shared" si="62"/>
        <v>3910.2309895674784</v>
      </c>
      <c r="M188" s="227">
        <f t="shared" si="50"/>
        <v>5947.3832331922858</v>
      </c>
      <c r="N188" s="227">
        <f>SQRT((ABS(AC188)-171.5+'Small Signal'!C$59)^2)</f>
        <v>30.958844813265188</v>
      </c>
      <c r="O188" s="227">
        <f t="shared" si="63"/>
        <v>60.161480252659288</v>
      </c>
      <c r="P188" s="227">
        <f t="shared" si="64"/>
        <v>21.802614554656088</v>
      </c>
      <c r="Q188" s="227">
        <f t="shared" si="65"/>
        <v>622.33259062077764</v>
      </c>
      <c r="R188" s="227" t="str">
        <f t="shared" si="51"/>
        <v>0.0355+0.00508330028643772i</v>
      </c>
      <c r="S188" s="227" t="str">
        <f t="shared" si="52"/>
        <v>0.018-1.16245167039539i</v>
      </c>
      <c r="T188" s="227" t="str">
        <f t="shared" si="53"/>
        <v>0.2206673528178-1.11922336516761i</v>
      </c>
      <c r="U188" s="227" t="str">
        <f t="shared" si="54"/>
        <v>56.6561972836625-53.3940690796456i</v>
      </c>
      <c r="V188" s="227">
        <f t="shared" si="66"/>
        <v>37.82533629192362</v>
      </c>
      <c r="W188" s="227">
        <f t="shared" si="67"/>
        <v>-43.302126190732203</v>
      </c>
      <c r="X188" s="227" t="str">
        <f t="shared" si="55"/>
        <v>0.999997245881932-0.000448394615093007i</v>
      </c>
      <c r="Y188" s="227" t="str">
        <f t="shared" si="56"/>
        <v>414.452012962508+216.397989532243i</v>
      </c>
      <c r="Z188" s="227" t="str">
        <f t="shared" si="57"/>
        <v>76.0593624229683+39.66951209332i</v>
      </c>
      <c r="AA188" s="227" t="str">
        <f t="shared" si="58"/>
        <v>2.14459691788648-6.07000771664796i</v>
      </c>
      <c r="AB188" s="227">
        <f t="shared" si="68"/>
        <v>16.174646999718142</v>
      </c>
      <c r="AC188" s="227">
        <f t="shared" si="69"/>
        <v>-70.541155186734812</v>
      </c>
      <c r="AD188" s="229">
        <f t="shared" si="70"/>
        <v>5.6279675549379444</v>
      </c>
      <c r="AE188" s="229">
        <f t="shared" si="71"/>
        <v>130.7026354393941</v>
      </c>
      <c r="AF188" s="227">
        <f t="shared" si="59"/>
        <v>21.802614554656088</v>
      </c>
      <c r="AG188" s="227">
        <f t="shared" si="60"/>
        <v>60.161480252659288</v>
      </c>
      <c r="AH188" s="229" t="str">
        <f t="shared" si="61"/>
        <v>1.24662186075007-1.44919678229175i</v>
      </c>
    </row>
    <row r="189" spans="9:34" x14ac:dyDescent="0.2">
      <c r="I189" s="227">
        <v>185</v>
      </c>
      <c r="J189" s="227">
        <f t="shared" si="49"/>
        <v>2.803772667454929</v>
      </c>
      <c r="K189" s="227">
        <f t="shared" si="72"/>
        <v>636.46227590834371</v>
      </c>
      <c r="L189" s="227">
        <f t="shared" si="62"/>
        <v>3999.0104205613852</v>
      </c>
      <c r="M189" s="227">
        <f t="shared" si="50"/>
        <v>5932.9327419412621</v>
      </c>
      <c r="N189" s="227">
        <f>SQRT((ABS(AC189)-171.5+'Small Signal'!C$59)^2)</f>
        <v>30.527443813048137</v>
      </c>
      <c r="O189" s="227">
        <f t="shared" si="63"/>
        <v>60.345243620717952</v>
      </c>
      <c r="P189" s="227">
        <f t="shared" si="64"/>
        <v>21.522224417663018</v>
      </c>
      <c r="Q189" s="227">
        <f t="shared" si="65"/>
        <v>636.46227590834371</v>
      </c>
      <c r="R189" s="227" t="str">
        <f t="shared" si="51"/>
        <v>0.0355+0.0051987135467298i</v>
      </c>
      <c r="S189" s="227" t="str">
        <f t="shared" si="52"/>
        <v>0.018-1.13664483645343i</v>
      </c>
      <c r="T189" s="227" t="str">
        <f t="shared" si="53"/>
        <v>0.212037139282413-1.0959046484575i</v>
      </c>
      <c r="U189" s="227" t="str">
        <f t="shared" si="54"/>
        <v>55.4760082386698-53.8093475705041i</v>
      </c>
      <c r="V189" s="227">
        <f t="shared" si="66"/>
        <v>37.761949415005141</v>
      </c>
      <c r="W189" s="227">
        <f t="shared" si="67"/>
        <v>-44.12627616664134</v>
      </c>
      <c r="X189" s="227" t="str">
        <f t="shared" si="55"/>
        <v>0.999997119401041-0.00045857514378681i</v>
      </c>
      <c r="Y189" s="227" t="str">
        <f t="shared" si="56"/>
        <v>421.221974086286+216.203793569852i</v>
      </c>
      <c r="Z189" s="227" t="str">
        <f t="shared" si="57"/>
        <v>77.3018587456242+39.632533231392i</v>
      </c>
      <c r="AA189" s="227" t="str">
        <f t="shared" si="58"/>
        <v>2.05769773530038-5.96670241946202i</v>
      </c>
      <c r="AB189" s="227">
        <f t="shared" si="68"/>
        <v>16.002719922594387</v>
      </c>
      <c r="AC189" s="227">
        <f t="shared" si="69"/>
        <v>-70.972556186951863</v>
      </c>
      <c r="AD189" s="229">
        <f t="shared" si="70"/>
        <v>5.5195044950686301</v>
      </c>
      <c r="AE189" s="229">
        <f t="shared" si="71"/>
        <v>131.31779980766981</v>
      </c>
      <c r="AF189" s="227">
        <f t="shared" si="59"/>
        <v>21.522224417663018</v>
      </c>
      <c r="AG189" s="227">
        <f t="shared" si="60"/>
        <v>60.345243620717952</v>
      </c>
      <c r="AH189" s="229" t="str">
        <f t="shared" si="61"/>
        <v>1.24644691256921-1.41791211344144i</v>
      </c>
    </row>
    <row r="190" spans="9:34" x14ac:dyDescent="0.2">
      <c r="I190" s="227">
        <v>186</v>
      </c>
      <c r="J190" s="227">
        <f t="shared" si="49"/>
        <v>2.8135227899817123</v>
      </c>
      <c r="K190" s="227">
        <f t="shared" si="72"/>
        <v>650.91276715936772</v>
      </c>
      <c r="L190" s="227">
        <f t="shared" si="62"/>
        <v>4089.8055348713465</v>
      </c>
      <c r="M190" s="227">
        <f t="shared" si="50"/>
        <v>5918.154161021298</v>
      </c>
      <c r="N190" s="227">
        <f>SQRT((ABS(AC190)-171.5+'Small Signal'!C$59)^2)</f>
        <v>30.102738506489942</v>
      </c>
      <c r="O190" s="227">
        <f t="shared" si="63"/>
        <v>60.536753638524772</v>
      </c>
      <c r="P190" s="227">
        <f t="shared" si="64"/>
        <v>21.243117121906888</v>
      </c>
      <c r="Q190" s="227">
        <f t="shared" si="65"/>
        <v>650.91276715936772</v>
      </c>
      <c r="R190" s="227" t="str">
        <f t="shared" si="51"/>
        <v>0.0355+0.00531674719533275i</v>
      </c>
      <c r="S190" s="227" t="str">
        <f t="shared" si="52"/>
        <v>0.018-1.11141092325739i</v>
      </c>
      <c r="T190" s="227" t="str">
        <f t="shared" si="53"/>
        <v>0.203763287777209-1.07300797211793i</v>
      </c>
      <c r="U190" s="227" t="str">
        <f t="shared" si="54"/>
        <v>54.2757163756493-54.2014531516334i</v>
      </c>
      <c r="V190" s="227">
        <f t="shared" si="66"/>
        <v>37.696468973050415</v>
      </c>
      <c r="W190" s="227">
        <f t="shared" si="67"/>
        <v>-44.960775445534239</v>
      </c>
      <c r="X190" s="227" t="str">
        <f t="shared" si="55"/>
        <v>0.999996987111606-0.000468986815230763i</v>
      </c>
      <c r="Y190" s="227" t="str">
        <f t="shared" si="56"/>
        <v>428.079229233024+215.801240461819i</v>
      </c>
      <c r="Z190" s="227" t="str">
        <f t="shared" si="57"/>
        <v>78.5603610663602+39.5572748896578i</v>
      </c>
      <c r="AA190" s="227" t="str">
        <f t="shared" si="58"/>
        <v>1.97375177675789-5.86395757887563i</v>
      </c>
      <c r="AB190" s="227">
        <f t="shared" si="68"/>
        <v>15.829911538466643</v>
      </c>
      <c r="AC190" s="227">
        <f t="shared" si="69"/>
        <v>-71.397261493510058</v>
      </c>
      <c r="AD190" s="229">
        <f t="shared" si="70"/>
        <v>5.4132055834402451</v>
      </c>
      <c r="AE190" s="229">
        <f t="shared" si="71"/>
        <v>131.93401513203483</v>
      </c>
      <c r="AF190" s="227">
        <f t="shared" si="59"/>
        <v>21.243117121906888</v>
      </c>
      <c r="AG190" s="227">
        <f t="shared" si="60"/>
        <v>60.536753638524772</v>
      </c>
      <c r="AH190" s="229" t="str">
        <f t="shared" si="61"/>
        <v>1.24627834912364-1.38734208001978i</v>
      </c>
    </row>
    <row r="191" spans="9:34" x14ac:dyDescent="0.2">
      <c r="I191" s="227">
        <v>187</v>
      </c>
      <c r="J191" s="227">
        <f t="shared" si="49"/>
        <v>2.8232729125084957</v>
      </c>
      <c r="K191" s="227">
        <f t="shared" si="72"/>
        <v>665.6913480793321</v>
      </c>
      <c r="L191" s="227">
        <f t="shared" si="62"/>
        <v>4182.6620973686313</v>
      </c>
      <c r="M191" s="227">
        <f t="shared" si="50"/>
        <v>5903.0400413547795</v>
      </c>
      <c r="N191" s="227">
        <f>SQRT((ABS(AC191)-171.5+'Small Signal'!C$59)^2)</f>
        <v>29.684678976527749</v>
      </c>
      <c r="O191" s="227">
        <f t="shared" si="63"/>
        <v>60.735630577508488</v>
      </c>
      <c r="P191" s="227">
        <f t="shared" si="64"/>
        <v>20.965332193077227</v>
      </c>
      <c r="Q191" s="227">
        <f t="shared" si="65"/>
        <v>665.6913480793321</v>
      </c>
      <c r="R191" s="227" t="str">
        <f t="shared" si="51"/>
        <v>0.0355+0.00543746072657922i</v>
      </c>
      <c r="S191" s="227" t="str">
        <f t="shared" si="52"/>
        <v>0.018-1.0867372117662i</v>
      </c>
      <c r="T191" s="227" t="str">
        <f t="shared" si="53"/>
        <v>0.195832006948936-1.0505297952785i</v>
      </c>
      <c r="U191" s="227" t="str">
        <f t="shared" si="54"/>
        <v>53.0560934789445-54.5692772462788i</v>
      </c>
      <c r="V191" s="227">
        <f t="shared" si="66"/>
        <v>37.628851663251908</v>
      </c>
      <c r="W191" s="227">
        <f t="shared" si="67"/>
        <v>-45.805510176780842</v>
      </c>
      <c r="X191" s="227" t="str">
        <f t="shared" si="55"/>
        <v>0.999996848746874-0.00047963487738129i</v>
      </c>
      <c r="Y191" s="227" t="str">
        <f t="shared" si="56"/>
        <v>435.016795180431+215.18255650578i</v>
      </c>
      <c r="Z191" s="227" t="str">
        <f t="shared" si="57"/>
        <v>79.8335863676259+39.4423096179739i</v>
      </c>
      <c r="AA191" s="227" t="str">
        <f t="shared" si="58"/>
        <v>1.89269137197035-5.76184578150044i</v>
      </c>
      <c r="AB191" s="227">
        <f t="shared" si="68"/>
        <v>15.656252735370304</v>
      </c>
      <c r="AC191" s="227">
        <f t="shared" si="69"/>
        <v>-71.815321023472251</v>
      </c>
      <c r="AD191" s="229">
        <f t="shared" si="70"/>
        <v>5.3090794577069245</v>
      </c>
      <c r="AE191" s="229">
        <f t="shared" si="71"/>
        <v>132.55095160098074</v>
      </c>
      <c r="AF191" s="227">
        <f t="shared" si="59"/>
        <v>20.965332193077227</v>
      </c>
      <c r="AG191" s="227">
        <f t="shared" si="60"/>
        <v>60.735630577508488</v>
      </c>
      <c r="AH191" s="229" t="str">
        <f t="shared" si="61"/>
        <v>1.24611583057675-1.35747127413211i</v>
      </c>
    </row>
    <row r="192" spans="9:34" x14ac:dyDescent="0.2">
      <c r="I192" s="227">
        <v>188</v>
      </c>
      <c r="J192" s="227">
        <f t="shared" si="49"/>
        <v>2.8330230350352794</v>
      </c>
      <c r="K192" s="227">
        <f t="shared" si="72"/>
        <v>680.80546774585071</v>
      </c>
      <c r="L192" s="227">
        <f t="shared" si="62"/>
        <v>4277.6269119882545</v>
      </c>
      <c r="M192" s="227">
        <f t="shared" si="50"/>
        <v>5887.5827647372926</v>
      </c>
      <c r="N192" s="227">
        <f>SQRT((ABS(AC192)-171.5+'Small Signal'!C$59)^2)</f>
        <v>29.273210279388223</v>
      </c>
      <c r="O192" s="227">
        <f t="shared" si="63"/>
        <v>60.941486651692799</v>
      </c>
      <c r="P192" s="227">
        <f t="shared" si="64"/>
        <v>20.688906309564977</v>
      </c>
      <c r="Q192" s="227">
        <f t="shared" si="65"/>
        <v>680.80546774585071</v>
      </c>
      <c r="R192" s="227" t="str">
        <f t="shared" si="51"/>
        <v>0.0355+0.00556091498558473i</v>
      </c>
      <c r="S192" s="227" t="str">
        <f t="shared" si="52"/>
        <v>0.018-1.06261126530593i</v>
      </c>
      <c r="T192" s="227" t="str">
        <f t="shared" si="53"/>
        <v>0.188229961678377-1.02846631664232i</v>
      </c>
      <c r="U192" s="227" t="str">
        <f t="shared" si="54"/>
        <v>51.8179820603166-54.9117357052495i</v>
      </c>
      <c r="V192" s="227">
        <f t="shared" si="66"/>
        <v>37.559054824845092</v>
      </c>
      <c r="W192" s="227">
        <f t="shared" si="67"/>
        <v>-46.660356731215494</v>
      </c>
      <c r="X192" s="227" t="str">
        <f t="shared" si="55"/>
        <v>0.999996704027841-0.000490524697346492i</v>
      </c>
      <c r="Y192" s="227" t="str">
        <f t="shared" si="56"/>
        <v>442.027157633421+214.340171860372i</v>
      </c>
      <c r="Z192" s="227" t="str">
        <f t="shared" si="57"/>
        <v>81.1201540959187+39.2862474160457i</v>
      </c>
      <c r="AA192" s="227" t="str">
        <f t="shared" si="58"/>
        <v>1.81444780564468-5.66043492177058i</v>
      </c>
      <c r="AB192" s="227">
        <f t="shared" si="68"/>
        <v>15.481773709966202</v>
      </c>
      <c r="AC192" s="227">
        <f t="shared" si="69"/>
        <v>-72.226789720611777</v>
      </c>
      <c r="AD192" s="229">
        <f t="shared" si="70"/>
        <v>5.2071325995987756</v>
      </c>
      <c r="AE192" s="229">
        <f t="shared" si="71"/>
        <v>133.16827637230458</v>
      </c>
      <c r="AF192" s="227">
        <f t="shared" si="59"/>
        <v>20.688906309564977</v>
      </c>
      <c r="AG192" s="227">
        <f t="shared" si="60"/>
        <v>60.941486651692799</v>
      </c>
      <c r="AH192" s="229" t="str">
        <f t="shared" si="61"/>
        <v>1.24595902928478-1.32828464007216i</v>
      </c>
    </row>
    <row r="193" spans="9:34" x14ac:dyDescent="0.2">
      <c r="I193" s="227">
        <v>189</v>
      </c>
      <c r="J193" s="227">
        <f t="shared" si="49"/>
        <v>2.8427731575620623</v>
      </c>
      <c r="K193" s="227">
        <f t="shared" si="72"/>
        <v>696.26274436333722</v>
      </c>
      <c r="L193" s="227">
        <f t="shared" si="62"/>
        <v>4374.7478453202566</v>
      </c>
      <c r="M193" s="227">
        <f t="shared" si="50"/>
        <v>5871.774539997692</v>
      </c>
      <c r="N193" s="227">
        <f>SQRT((ABS(AC193)-171.5+'Small Signal'!C$59)^2)</f>
        <v>28.868272759632731</v>
      </c>
      <c r="O193" s="227">
        <f t="shared" si="63"/>
        <v>61.153927120019347</v>
      </c>
      <c r="P193" s="227">
        <f t="shared" si="64"/>
        <v>20.413873267252036</v>
      </c>
      <c r="Q193" s="227">
        <f t="shared" si="65"/>
        <v>696.26274436333722</v>
      </c>
      <c r="R193" s="227" t="str">
        <f t="shared" si="51"/>
        <v>0.0355+0.00568717219891633i</v>
      </c>
      <c r="S193" s="227" t="str">
        <f t="shared" si="52"/>
        <v>0.018-1.03902092330119i</v>
      </c>
      <c r="T193" s="227" t="str">
        <f t="shared" si="53"/>
        <v>0.180944264663782-1.00681349831577i</v>
      </c>
      <c r="U193" s="227" t="str">
        <f t="shared" si="54"/>
        <v>50.5622948076171-55.2277739389582i</v>
      </c>
      <c r="V193" s="227">
        <f t="shared" si="66"/>
        <v>37.487036525899036</v>
      </c>
      <c r="W193" s="227">
        <f t="shared" si="67"/>
        <v>-47.525181881859488</v>
      </c>
      <c r="X193" s="227" t="str">
        <f t="shared" si="55"/>
        <v>0.99999655266269-0.000501661764091414i</v>
      </c>
      <c r="Y193" s="227" t="str">
        <f t="shared" si="56"/>
        <v>449.102274110225+213.266758338571i</v>
      </c>
      <c r="Z193" s="227" t="str">
        <f t="shared" si="57"/>
        <v>82.4185866913259+39.0877426741978i</v>
      </c>
      <c r="AA193" s="227" t="str">
        <f t="shared" si="58"/>
        <v>1.73895157378174-5.55978831255214i</v>
      </c>
      <c r="AB193" s="227">
        <f t="shared" si="68"/>
        <v>15.30650395890939</v>
      </c>
      <c r="AC193" s="227">
        <f t="shared" si="69"/>
        <v>-72.631727240367269</v>
      </c>
      <c r="AD193" s="229">
        <f t="shared" si="70"/>
        <v>5.107369308342645</v>
      </c>
      <c r="AE193" s="229">
        <f t="shared" si="71"/>
        <v>133.78565436038662</v>
      </c>
      <c r="AF193" s="227">
        <f t="shared" si="59"/>
        <v>20.413873267252036</v>
      </c>
      <c r="AG193" s="227">
        <f t="shared" si="60"/>
        <v>61.153927120019347</v>
      </c>
      <c r="AH193" s="229" t="str">
        <f t="shared" si="61"/>
        <v>1.24580762913662-1.29976746673574i</v>
      </c>
    </row>
    <row r="194" spans="9:34" x14ac:dyDescent="0.2">
      <c r="I194" s="227">
        <v>190</v>
      </c>
      <c r="J194" s="227">
        <f t="shared" si="49"/>
        <v>2.852523280088846</v>
      </c>
      <c r="K194" s="227">
        <f t="shared" si="72"/>
        <v>712.07096910293831</v>
      </c>
      <c r="L194" s="227">
        <f t="shared" si="62"/>
        <v>4474.0738507367114</v>
      </c>
      <c r="M194" s="227">
        <f t="shared" si="50"/>
        <v>5855.6073990710038</v>
      </c>
      <c r="N194" s="227">
        <f>SQRT((ABS(AC194)-171.5+'Small Signal'!C$59)^2)</f>
        <v>28.469802357174459</v>
      </c>
      <c r="O194" s="227">
        <f t="shared" si="63"/>
        <v>61.372551392950996</v>
      </c>
      <c r="P194" s="227">
        <f t="shared" si="64"/>
        <v>20.140263955560204</v>
      </c>
      <c r="Q194" s="227">
        <f t="shared" si="65"/>
        <v>712.07096910293831</v>
      </c>
      <c r="R194" s="227" t="str">
        <f t="shared" si="51"/>
        <v>0.0355+0.00581629600595773i</v>
      </c>
      <c r="S194" s="227" t="str">
        <f t="shared" si="52"/>
        <v>0.018-1.01595429514559i</v>
      </c>
      <c r="T194" s="227" t="str">
        <f t="shared" si="53"/>
        <v>0.173962467518953-0.985567088323742i</v>
      </c>
      <c r="U194" s="227" t="str">
        <f t="shared" si="54"/>
        <v>49.2900136084313-55.5163720914536i</v>
      </c>
      <c r="V194" s="227">
        <f t="shared" si="66"/>
        <v>37.412755648795326</v>
      </c>
      <c r="W194" s="227">
        <f t="shared" si="67"/>
        <v>-48.399843027588815</v>
      </c>
      <c r="X194" s="227" t="str">
        <f t="shared" si="55"/>
        <v>0.999996394346204-0.000513051691204739i</v>
      </c>
      <c r="Y194" s="227" t="str">
        <f t="shared" si="56"/>
        <v>456.233579772168+211.955267670063i</v>
      </c>
      <c r="Z194" s="227" t="str">
        <f t="shared" si="57"/>
        <v>83.7273106575916+38.8455012003499i</v>
      </c>
      <c r="AA194" s="227" t="str">
        <f t="shared" si="58"/>
        <v>1.66613262337837-5.45996480576746i</v>
      </c>
      <c r="AB194" s="227">
        <f t="shared" si="68"/>
        <v>15.130472272845783</v>
      </c>
      <c r="AC194" s="227">
        <f t="shared" si="69"/>
        <v>-73.030197642825541</v>
      </c>
      <c r="AD194" s="229">
        <f t="shared" si="70"/>
        <v>5.0097916827144218</v>
      </c>
      <c r="AE194" s="229">
        <f t="shared" si="71"/>
        <v>134.40274903577654</v>
      </c>
      <c r="AF194" s="227">
        <f t="shared" si="59"/>
        <v>20.140263955560204</v>
      </c>
      <c r="AG194" s="227">
        <f t="shared" si="60"/>
        <v>61.372551392950996</v>
      </c>
      <c r="AH194" s="229" t="str">
        <f t="shared" si="61"/>
        <v>1.24566132491698-1.27190538020704i</v>
      </c>
    </row>
    <row r="195" spans="9:34" x14ac:dyDescent="0.2">
      <c r="I195" s="227">
        <v>191</v>
      </c>
      <c r="J195" s="227">
        <f t="shared" si="49"/>
        <v>2.8622734026156298</v>
      </c>
      <c r="K195" s="227">
        <f t="shared" si="72"/>
        <v>728.23811002962589</v>
      </c>
      <c r="L195" s="227">
        <f t="shared" si="62"/>
        <v>4575.6549930663759</v>
      </c>
      <c r="M195" s="227">
        <f t="shared" si="50"/>
        <v>5839.0731929821577</v>
      </c>
      <c r="N195" s="227">
        <f>SQRT((ABS(AC195)-171.5+'Small Signal'!C$59)^2)</f>
        <v>28.077730905636912</v>
      </c>
      <c r="O195" s="227">
        <f t="shared" si="63"/>
        <v>61.59695413782984</v>
      </c>
      <c r="P195" s="227">
        <f t="shared" si="64"/>
        <v>19.868106344738987</v>
      </c>
      <c r="Q195" s="227">
        <f t="shared" si="65"/>
        <v>728.23811002962589</v>
      </c>
      <c r="R195" s="227" t="str">
        <f t="shared" si="51"/>
        <v>0.0355+0.00594835149098629i</v>
      </c>
      <c r="S195" s="227" t="str">
        <f t="shared" si="52"/>
        <v>0.018-0.993399754208396i</v>
      </c>
      <c r="T195" s="227" t="str">
        <f t="shared" si="53"/>
        <v>0.167272551464274-0.964722641854677i</v>
      </c>
      <c r="U195" s="227" t="str">
        <f t="shared" si="54"/>
        <v>48.0021881373791-55.776550216576i</v>
      </c>
      <c r="V195" s="227">
        <f t="shared" si="66"/>
        <v>37.336171973796262</v>
      </c>
      <c r="W195" s="227">
        <f t="shared" si="67"/>
        <v>-49.284188459559196</v>
      </c>
      <c r="X195" s="227" t="str">
        <f t="shared" si="55"/>
        <v>0.999996228759147-0.000524700219728282i</v>
      </c>
      <c r="Y195" s="227" t="str">
        <f t="shared" si="56"/>
        <v>463.41199628764+210.398969971278i</v>
      </c>
      <c r="Z195" s="227" t="str">
        <f t="shared" si="57"/>
        <v>85.0446581893387+38.5582872852107i</v>
      </c>
      <c r="AA195" s="227" t="str">
        <f t="shared" si="58"/>
        <v>1.5959205756771-5.36101892147617i</v>
      </c>
      <c r="AB195" s="227">
        <f t="shared" si="68"/>
        <v>14.953706732866788</v>
      </c>
      <c r="AC195" s="227">
        <f t="shared" si="69"/>
        <v>-73.422269094363088</v>
      </c>
      <c r="AD195" s="229">
        <f t="shared" si="70"/>
        <v>4.9143996118721986</v>
      </c>
      <c r="AE195" s="229">
        <f t="shared" si="71"/>
        <v>135.01922323219293</v>
      </c>
      <c r="AF195" s="227">
        <f t="shared" si="59"/>
        <v>19.868106344738987</v>
      </c>
      <c r="AG195" s="227">
        <f t="shared" si="60"/>
        <v>61.59695413782984</v>
      </c>
      <c r="AH195" s="229" t="str">
        <f t="shared" si="61"/>
        <v>1.2455198216915-1.24468433651364i</v>
      </c>
    </row>
    <row r="196" spans="9:34" x14ac:dyDescent="0.2">
      <c r="I196" s="227">
        <v>192</v>
      </c>
      <c r="J196" s="227">
        <f t="shared" ref="J196:J259" si="73">1+I196*(LOG(fsw)-1)/500</f>
        <v>2.8720235251424127</v>
      </c>
      <c r="K196" s="227">
        <f t="shared" si="72"/>
        <v>744.77231611847253</v>
      </c>
      <c r="L196" s="227">
        <f t="shared" si="62"/>
        <v>4679.542473829697</v>
      </c>
      <c r="M196" s="227">
        <f t="shared" ref="M196:M259" si="74">SQRT((Fco_target-K197)^2)</f>
        <v>5822.1635877385224</v>
      </c>
      <c r="N196" s="227">
        <f>SQRT((ABS(AC196)-171.5+'Small Signal'!C$59)^2)</f>
        <v>27.691986421513604</v>
      </c>
      <c r="O196" s="227">
        <f t="shared" si="63"/>
        <v>61.826726377466713</v>
      </c>
      <c r="P196" s="227">
        <f t="shared" si="64"/>
        <v>19.597425484299428</v>
      </c>
      <c r="Q196" s="227">
        <f t="shared" si="65"/>
        <v>744.77231611847253</v>
      </c>
      <c r="R196" s="227" t="str">
        <f t="shared" ref="R196:R259" si="75">IMSUM(COMPLEX(DCRss,Lss*L196),COMPLEX(Rdsonss,0),COMPLEX(40/3*Risense,0))</f>
        <v>0.0355+0.00608340521597861i</v>
      </c>
      <c r="S196" s="227" t="str">
        <f t="shared" ref="S196:S259" si="76">IMSUM(COMPLEX(ESRss,0),IMDIV(COMPLEX(1,0),COMPLEX(0,L196*Cbulkss)))</f>
        <v>0.018-0.971345931974114i</v>
      </c>
      <c r="T196" s="227" t="str">
        <f t="shared" ref="T196:T259" si="77">IMDIV(IMPRODUCT(S196,COMPLEX(Ross,0)),IMSUM(S196,COMPLEX(Ross,0)))</f>
        <v>0.160862917682369-0.944275541280473i</v>
      </c>
      <c r="U196" s="227" t="str">
        <f t="shared" ref="U196:U259" si="78">IMPRODUCT(COMPLEX(Vinss,0),COMPLEX(M^2,0),IMDIV(IMSUB(COMPLEX(1,0),IMDIV(IMPRODUCT(R196,COMPLEX(M^2,0)),COMPLEX(Ross,0))),IMSUM(COMPLEX(1,0),IMDIV(IMPRODUCT(R196,COMPLEX(M^2,0)),T196))))</f>
        <v>46.6999339999144-56.0073734144259i</v>
      </c>
      <c r="V196" s="227">
        <f t="shared" si="66"/>
        <v>37.257246260093154</v>
      </c>
      <c r="W196" s="227">
        <f t="shared" si="67"/>
        <v>-50.178057669831887</v>
      </c>
      <c r="X196" s="227" t="str">
        <f t="shared" ref="X196:X259" si="79">IMSUM(COMPLEX(1,L196/(wn*q0)),IMPOWER(COMPLEX(0,L196/wn),2))</f>
        <v>0.999996055567624-0.000536613221050744i</v>
      </c>
      <c r="Y196" s="227" t="str">
        <f t="shared" ref="Y196:Y259" si="80">IMPRODUCT(COMPLEX(2*Ioutss*M^2,0),IMDIV(IMSUM(COMPLEX(1,0),IMDIV(COMPLEX(Ross,0),IMPRODUCT(COMPLEX(2,0),S196))),IMSUM(COMPLEX(1,0),IMDIV(IMPRODUCT(R196,COMPLEX(M^2,0)),T196))))</f>
        <v>470.627943794086+208.591492147864i</v>
      </c>
      <c r="Z196" s="227" t="str">
        <f t="shared" ref="Z196:Z259" si="81">IMPRODUCT(COMPLEX(Fm*40/3*Risense,0),Y196,X196)</f>
        <v>86.3688693681737+38.2249307551601i</v>
      </c>
      <c r="AA196" s="227" t="str">
        <f t="shared" ref="AA196:AA259" si="82">IMDIV(IMPRODUCT(COMPLEX(Fm,0),U196),IMSUM(COMPLEX(1,0),Z196))</f>
        <v>1.52824493321183-5.26300098394979i</v>
      </c>
      <c r="AB196" s="227">
        <f t="shared" si="68"/>
        <v>14.776234709252003</v>
      </c>
      <c r="AC196" s="227">
        <f t="shared" si="69"/>
        <v>-73.808013578486396</v>
      </c>
      <c r="AD196" s="229">
        <f t="shared" si="70"/>
        <v>4.821190775047425</v>
      </c>
      <c r="AE196" s="229">
        <f t="shared" si="71"/>
        <v>135.63473995595311</v>
      </c>
      <c r="AF196" s="227">
        <f t="shared" ref="AF196:AF259" si="83">AD196+AB196</f>
        <v>19.597425484299428</v>
      </c>
      <c r="AG196" s="227">
        <f t="shared" ref="AG196:AG259" si="84">AE196+AC196</f>
        <v>61.826726377466713</v>
      </c>
      <c r="AH196" s="229" t="str">
        <f t="shared" ref="AH196:AH259" si="85">IMDIV(IMPRODUCT(COMPLEX(gea*Rea*Rslss/(Rslss+Rshss),0),COMPLEX(1,L196*Ccompss*Rcompss),COMPLEX(1,k_3*L196*Cffss*Rshss)),IMPRODUCT(COMPLEX(1,L196*Rea*Ccompss),COMPLEX(1,L196*Rcompss*Chfss),COMPLEX(1,k_3*L196*Rffss*Cffss)))</f>
        <v>1.24538283421271-1.21809061454686i</v>
      </c>
    </row>
    <row r="197" spans="9:34" x14ac:dyDescent="0.2">
      <c r="I197" s="227">
        <v>193</v>
      </c>
      <c r="J197" s="227">
        <f t="shared" si="73"/>
        <v>2.8817736476691964</v>
      </c>
      <c r="K197" s="227">
        <f t="shared" si="72"/>
        <v>761.68192136210757</v>
      </c>
      <c r="L197" s="227">
        <f t="shared" ref="L197:L260" si="86">2*PI()*K197</f>
        <v>4785.7886570467117</v>
      </c>
      <c r="M197" s="227">
        <f t="shared" si="74"/>
        <v>5804.8700601292112</v>
      </c>
      <c r="N197" s="227">
        <f>SQRT((ABS(AC197)-171.5+'Small Signal'!C$59)^2)</f>
        <v>27.312493383709665</v>
      </c>
      <c r="O197" s="227">
        <f t="shared" ref="O197:O260" si="87">ABS(AG197)</f>
        <v>62.061456576537665</v>
      </c>
      <c r="P197" s="227">
        <f t="shared" ref="P197:P260" si="88">ABS(AF197)</f>
        <v>19.32824351242915</v>
      </c>
      <c r="Q197" s="227">
        <f t="shared" ref="Q197:Q260" si="89">K197</f>
        <v>761.68192136210757</v>
      </c>
      <c r="R197" s="227" t="str">
        <f t="shared" si="75"/>
        <v>0.0355+0.00622152525416073i</v>
      </c>
      <c r="S197" s="227" t="str">
        <f t="shared" si="76"/>
        <v>0.018-0.949781712312284i</v>
      </c>
      <c r="T197" s="227" t="str">
        <f t="shared" si="77"/>
        <v>0.154722377404088-0.924221014997622i</v>
      </c>
      <c r="U197" s="227" t="str">
        <f t="shared" si="78"/>
        <v>45.3844304300371-56.207956884845i</v>
      </c>
      <c r="V197" s="227">
        <f t="shared" ref="V197:V260" si="90">20*LOG(IMABS(U197))</f>
        <v>37.17594032372584</v>
      </c>
      <c r="W197" s="227">
        <f t="shared" ref="W197:W260" si="91">IF(DEGREES(IMARGUMENT(U197))&gt;0,DEGREES(IMARGUMENT(U197))-360, DEGREES(IMARGUMENT(U197)))</f>
        <v>-51.081281701186576</v>
      </c>
      <c r="X197" s="227" t="str">
        <f t="shared" si="79"/>
        <v>0.999995874422405-0.000548796699867162i</v>
      </c>
      <c r="Y197" s="227" t="str">
        <f t="shared" si="80"/>
        <v>477.871355992772+206.526855943826i</v>
      </c>
      <c r="Z197" s="227" t="str">
        <f t="shared" si="81"/>
        <v>87.69809493406+37.8443339603501i</v>
      </c>
      <c r="AA197" s="227" t="str">
        <f t="shared" si="82"/>
        <v>1.46303527099245-5.16595726337692i</v>
      </c>
      <c r="AB197" s="227">
        <f t="shared" ref="AB197:AB260" si="92">20*LOG(IMABS(AA197))</f>
        <v>14.598082862336689</v>
      </c>
      <c r="AC197" s="227">
        <f t="shared" ref="AC197:AC260" si="93">IF(DEGREES(IMARGUMENT(AA197))&gt;0,DEGREES(IMARGUMENT(AA197))-360, DEGREES(IMARGUMENT(AA197)))</f>
        <v>-74.187506616290335</v>
      </c>
      <c r="AD197" s="229">
        <f t="shared" ref="AD197:AD260" si="94">20*LOG(IMABS(AH197))</f>
        <v>4.7301606500924622</v>
      </c>
      <c r="AE197" s="229">
        <f t="shared" ref="AE197:AE260" si="95">180+DEGREES(IMARGUMENT(AH197))</f>
        <v>136.248963192828</v>
      </c>
      <c r="AF197" s="227">
        <f t="shared" si="83"/>
        <v>19.32824351242915</v>
      </c>
      <c r="AG197" s="227">
        <f t="shared" si="84"/>
        <v>62.061456576537665</v>
      </c>
      <c r="AH197" s="229" t="str">
        <f t="shared" si="85"/>
        <v>1.2452500863455-1.19211080914354i</v>
      </c>
    </row>
    <row r="198" spans="9:34" x14ac:dyDescent="0.2">
      <c r="I198" s="227">
        <v>194</v>
      </c>
      <c r="J198" s="227">
        <f t="shared" si="73"/>
        <v>2.8915237701959793</v>
      </c>
      <c r="K198" s="227">
        <f t="shared" si="72"/>
        <v>778.97544897141847</v>
      </c>
      <c r="L198" s="227">
        <f t="shared" si="86"/>
        <v>4894.4470956308378</v>
      </c>
      <c r="M198" s="227">
        <f t="shared" si="74"/>
        <v>5787.1838934289781</v>
      </c>
      <c r="N198" s="227">
        <f>SQRT((ABS(AC198)-171.5+'Small Signal'!C$59)^2)</f>
        <v>26.939173003111733</v>
      </c>
      <c r="O198" s="227">
        <f t="shared" si="87"/>
        <v>62.300731710447195</v>
      </c>
      <c r="P198" s="227">
        <f t="shared" si="88"/>
        <v>19.06057967615158</v>
      </c>
      <c r="Q198" s="227">
        <f t="shared" si="89"/>
        <v>778.97544897141847</v>
      </c>
      <c r="R198" s="227" t="str">
        <f t="shared" si="75"/>
        <v>0.0355+0.00636278122432009i</v>
      </c>
      <c r="S198" s="227" t="str">
        <f t="shared" si="76"/>
        <v>0.018-0.928696225874458i</v>
      </c>
      <c r="T198" s="227" t="str">
        <f t="shared" si="77"/>
        <v>0.148840141784639-0.904554155135948i</v>
      </c>
      <c r="U198" s="227" t="str">
        <f t="shared" si="78"/>
        <v>44.0569175440823-56.3774708536767i</v>
      </c>
      <c r="V198" s="227">
        <f t="shared" si="90"/>
        <v>37.092217111766558</v>
      </c>
      <c r="W198" s="227">
        <f t="shared" si="91"/>
        <v>-51.993683536693943</v>
      </c>
      <c r="X198" s="227" t="str">
        <f t="shared" si="79"/>
        <v>0.999995684958222-0.000561256797205536i</v>
      </c>
      <c r="Y198" s="227" t="str">
        <f t="shared" si="80"/>
        <v>485.131698380309+204.199515344524i</v>
      </c>
      <c r="Z198" s="227" t="str">
        <f t="shared" si="81"/>
        <v>89.0303996327042+37.4154786442637i</v>
      </c>
      <c r="AA198" s="227" t="str">
        <f t="shared" si="82"/>
        <v>1.4002214122464-5.06993012193457i</v>
      </c>
      <c r="AB198" s="227">
        <f t="shared" si="92"/>
        <v>14.419277145341487</v>
      </c>
      <c r="AC198" s="227">
        <f t="shared" si="93"/>
        <v>-74.560826996888267</v>
      </c>
      <c r="AD198" s="229">
        <f t="shared" si="94"/>
        <v>4.6413025308100924</v>
      </c>
      <c r="AE198" s="229">
        <f t="shared" si="95"/>
        <v>136.86155870733546</v>
      </c>
      <c r="AF198" s="227">
        <f t="shared" si="83"/>
        <v>19.06057967615158</v>
      </c>
      <c r="AG198" s="227">
        <f t="shared" si="84"/>
        <v>62.300731710447195</v>
      </c>
      <c r="AH198" s="229" t="str">
        <f t="shared" si="85"/>
        <v>1.24512131051104-1.16673182432607i</v>
      </c>
    </row>
    <row r="199" spans="9:34" x14ac:dyDescent="0.2">
      <c r="I199" s="227">
        <v>195</v>
      </c>
      <c r="J199" s="227">
        <f t="shared" si="73"/>
        <v>2.901273892722763</v>
      </c>
      <c r="K199" s="227">
        <f t="shared" si="72"/>
        <v>796.6616156716517</v>
      </c>
      <c r="L199" s="227">
        <f t="shared" si="86"/>
        <v>5005.5725583820722</v>
      </c>
      <c r="M199" s="227">
        <f t="shared" si="74"/>
        <v>5769.0961730046056</v>
      </c>
      <c r="N199" s="227">
        <f>SQRT((ABS(AC199)-171.5+'Small Signal'!C$59)^2)</f>
        <v>26.571943481931086</v>
      </c>
      <c r="O199" s="227">
        <f t="shared" si="87"/>
        <v>62.544138311513208</v>
      </c>
      <c r="P199" s="227">
        <f t="shared" si="88"/>
        <v>18.794450361921655</v>
      </c>
      <c r="Q199" s="227">
        <f t="shared" si="89"/>
        <v>796.6616156716517</v>
      </c>
      <c r="R199" s="227" t="str">
        <f t="shared" si="75"/>
        <v>0.0355+0.00650724432589669i</v>
      </c>
      <c r="S199" s="227" t="str">
        <f t="shared" si="76"/>
        <v>0.018-0.908078844615477i</v>
      </c>
      <c r="T199" s="227" t="str">
        <f t="shared" si="77"/>
        <v>0.143205811624242-0.885269934181534i</v>
      </c>
      <c r="U199" s="227" t="str">
        <f t="shared" si="78"/>
        <v>42.7186931577395-56.515145327256i</v>
      </c>
      <c r="V199" s="227">
        <f t="shared" si="90"/>
        <v>37.00604077217686</v>
      </c>
      <c r="W199" s="227">
        <f t="shared" si="91"/>
        <v>-52.915078527186672</v>
      </c>
      <c r="X199" s="227" t="str">
        <f t="shared" si="79"/>
        <v>0.999995486793032-0.000573999793522202i</v>
      </c>
      <c r="Y199" s="227" t="str">
        <f t="shared" si="80"/>
        <v>492.397989589185+201.604393037367i</v>
      </c>
      <c r="Z199" s="227" t="str">
        <f t="shared" si="81"/>
        <v>90.3637661338657+36.9374326403564i</v>
      </c>
      <c r="AA199" s="227" t="str">
        <f t="shared" si="82"/>
        <v>1.33973358920218-4.9749581630612i</v>
      </c>
      <c r="AB199" s="227">
        <f t="shared" si="92"/>
        <v>14.239842809007669</v>
      </c>
      <c r="AC199" s="227">
        <f t="shared" si="93"/>
        <v>-74.928056518068914</v>
      </c>
      <c r="AD199" s="229">
        <f t="shared" si="94"/>
        <v>4.5546075529139847</v>
      </c>
      <c r="AE199" s="229">
        <f t="shared" si="95"/>
        <v>137.47219482958212</v>
      </c>
      <c r="AF199" s="227">
        <f t="shared" si="83"/>
        <v>18.794450361921655</v>
      </c>
      <c r="AG199" s="227">
        <f t="shared" si="84"/>
        <v>62.544138311513208</v>
      </c>
      <c r="AH199" s="229" t="str">
        <f t="shared" si="85"/>
        <v>1.24499624714806-1.14194086669702i</v>
      </c>
    </row>
    <row r="200" spans="9:34" x14ac:dyDescent="0.2">
      <c r="I200" s="227">
        <v>196</v>
      </c>
      <c r="J200" s="227">
        <f t="shared" si="73"/>
        <v>2.9110240152495463</v>
      </c>
      <c r="K200" s="227">
        <f>10^(J200)</f>
        <v>814.74933609602397</v>
      </c>
      <c r="L200" s="227">
        <f t="shared" si="86"/>
        <v>5119.2210575928602</v>
      </c>
      <c r="M200" s="227">
        <f t="shared" si="74"/>
        <v>5750.5977818215142</v>
      </c>
      <c r="N200" s="227">
        <f>SQRT((ABS(AC200)-171.5+'Small Signal'!C$59)^2)</f>
        <v>26.210720262643534</v>
      </c>
      <c r="O200" s="227">
        <f t="shared" si="87"/>
        <v>62.791263487534778</v>
      </c>
      <c r="P200" s="227">
        <f t="shared" si="88"/>
        <v>18.529869136286166</v>
      </c>
      <c r="Q200" s="227">
        <f t="shared" si="89"/>
        <v>814.74933609602397</v>
      </c>
      <c r="R200" s="227" t="str">
        <f t="shared" si="75"/>
        <v>0.0355+0.00665498737487072i</v>
      </c>
      <c r="S200" s="227" t="str">
        <f t="shared" si="76"/>
        <v>0.018-0.887919176436559i</v>
      </c>
      <c r="T200" s="227" t="str">
        <f t="shared" si="77"/>
        <v>0.137809366982709-0.866363220560525i</v>
      </c>
      <c r="U200" s="227" t="str">
        <f t="shared" si="78"/>
        <v>41.3711091785544-56.6202746308514i</v>
      </c>
      <c r="V200" s="227">
        <f t="shared" si="90"/>
        <v>36.917376718766455</v>
      </c>
      <c r="W200" s="227">
        <f t="shared" si="91"/>
        <v>-53.845274854312677</v>
      </c>
      <c r="X200" s="227" t="str">
        <f t="shared" si="79"/>
        <v>0.999995279527249-0.000587032111867455i</v>
      </c>
      <c r="Y200" s="227" t="str">
        <f t="shared" si="80"/>
        <v>499.658825776589+198.73691563484i</v>
      </c>
      <c r="Z200" s="227" t="str">
        <f t="shared" si="81"/>
        <v>91.696099509454+36.409356341549i</v>
      </c>
      <c r="AA200" s="227" t="str">
        <f t="shared" si="82"/>
        <v>1.28150258945373-4.88107638286706i</v>
      </c>
      <c r="AB200" s="227">
        <f t="shared" si="92"/>
        <v>14.05980440788916</v>
      </c>
      <c r="AC200" s="227">
        <f t="shared" si="93"/>
        <v>-75.289279737356466</v>
      </c>
      <c r="AD200" s="229">
        <f t="shared" si="94"/>
        <v>4.4700647283970065</v>
      </c>
      <c r="AE200" s="229">
        <f t="shared" si="95"/>
        <v>138.08054322489124</v>
      </c>
      <c r="AF200" s="227">
        <f t="shared" si="83"/>
        <v>18.529869136286166</v>
      </c>
      <c r="AG200" s="227">
        <f t="shared" si="84"/>
        <v>62.791263487534778</v>
      </c>
      <c r="AH200" s="229" t="str">
        <f t="shared" si="85"/>
        <v>1.24487464419028-1.11772543898511i</v>
      </c>
    </row>
    <row r="201" spans="9:34" x14ac:dyDescent="0.2">
      <c r="I201" s="227">
        <v>197</v>
      </c>
      <c r="J201" s="227">
        <f t="shared" si="73"/>
        <v>2.9207741377763297</v>
      </c>
      <c r="K201" s="227">
        <f>10^(J201)</f>
        <v>833.24772727911602</v>
      </c>
      <c r="L201" s="227">
        <f t="shared" si="86"/>
        <v>5235.4498772809247</v>
      </c>
      <c r="M201" s="227">
        <f t="shared" si="74"/>
        <v>5731.6793958483649</v>
      </c>
      <c r="N201" s="227">
        <f>SQRT((ABS(AC201)-171.5+'Small Signal'!C$59)^2)</f>
        <v>25.855416266401676</v>
      </c>
      <c r="O201" s="227">
        <f t="shared" si="87"/>
        <v>63.041695908057164</v>
      </c>
      <c r="P201" s="227">
        <f t="shared" si="88"/>
        <v>18.266846796168679</v>
      </c>
      <c r="Q201" s="227">
        <f t="shared" si="89"/>
        <v>833.24772727911602</v>
      </c>
      <c r="R201" s="227" t="str">
        <f t="shared" si="75"/>
        <v>0.0355+0.0068060848404652i</v>
      </c>
      <c r="S201" s="227" t="str">
        <f t="shared" si="76"/>
        <v>0.018-0.868207059947116i</v>
      </c>
      <c r="T201" s="227" t="str">
        <f t="shared" si="77"/>
        <v>0.132641156732362-0.847828793229503i</v>
      </c>
      <c r="U201" s="227" t="str">
        <f t="shared" si="78"/>
        <v>40.0155675912328-56.6922216877359i</v>
      </c>
      <c r="V201" s="227">
        <f t="shared" si="90"/>
        <v>36.826191690709585</v>
      </c>
      <c r="W201" s="227">
        <f t="shared" si="91"/>
        <v>-54.784074026456999</v>
      </c>
      <c r="X201" s="227" t="str">
        <f t="shared" si="79"/>
        <v>0.999995062742933-0.00060036032112307i</v>
      </c>
      <c r="Y201" s="227" t="str">
        <f t="shared" si="80"/>
        <v>506.902407968333+195.593047369476i</v>
      </c>
      <c r="Z201" s="227" t="str">
        <f t="shared" si="81"/>
        <v>93.0252322543112+35.8305088892532i</v>
      </c>
      <c r="AA201" s="227" t="str">
        <f t="shared" si="82"/>
        <v>1.22545988848457-4.78831632271106i</v>
      </c>
      <c r="AB201" s="227">
        <f t="shared" si="92"/>
        <v>13.879185808152769</v>
      </c>
      <c r="AC201" s="227">
        <f t="shared" si="93"/>
        <v>-75.644583733598324</v>
      </c>
      <c r="AD201" s="229">
        <f t="shared" si="94"/>
        <v>4.3876609880159094</v>
      </c>
      <c r="AE201" s="229">
        <f t="shared" si="95"/>
        <v>138.68627964165549</v>
      </c>
      <c r="AF201" s="227">
        <f t="shared" si="83"/>
        <v>18.266846796168679</v>
      </c>
      <c r="AG201" s="227">
        <f t="shared" si="84"/>
        <v>63.041695908057164</v>
      </c>
      <c r="AH201" s="229" t="str">
        <f t="shared" si="85"/>
        <v>1.24475625655909-1.09407333373927i</v>
      </c>
    </row>
    <row r="202" spans="9:34" x14ac:dyDescent="0.2">
      <c r="I202" s="227">
        <v>198</v>
      </c>
      <c r="J202" s="227">
        <f t="shared" si="73"/>
        <v>2.9305242603031134</v>
      </c>
      <c r="K202" s="227">
        <f>10^(J202)</f>
        <v>852.16611325226495</v>
      </c>
      <c r="L202" s="227">
        <f t="shared" si="86"/>
        <v>5354.3176020629662</v>
      </c>
      <c r="M202" s="227">
        <f t="shared" si="74"/>
        <v>5712.3314793573263</v>
      </c>
      <c r="N202" s="227">
        <f>SQRT((ABS(AC202)-171.5+'Small Signal'!C$59)^2)</f>
        <v>25.505942120886516</v>
      </c>
      <c r="O202" s="227">
        <f t="shared" si="87"/>
        <v>63.295026753976515</v>
      </c>
      <c r="P202" s="227">
        <f t="shared" si="88"/>
        <v>18.005391428286792</v>
      </c>
      <c r="Q202" s="227">
        <f t="shared" si="89"/>
        <v>852.16611325226495</v>
      </c>
      <c r="R202" s="227" t="str">
        <f t="shared" si="75"/>
        <v>0.0355+0.00696061288268186i</v>
      </c>
      <c r="S202" s="227" t="str">
        <f t="shared" si="76"/>
        <v>0.018-0.848932559342994i</v>
      </c>
      <c r="T202" s="227" t="str">
        <f t="shared" si="77"/>
        <v>0.127691888089472-0.829661355318171i</v>
      </c>
      <c r="U202" s="227" t="str">
        <f t="shared" si="78"/>
        <v>38.653516058134-56.7304219971628i</v>
      </c>
      <c r="V202" s="227">
        <f t="shared" si="90"/>
        <v>36.732453806113384</v>
      </c>
      <c r="W202" s="227">
        <f t="shared" si="91"/>
        <v>-55.731271404381509</v>
      </c>
      <c r="X202" s="227" t="str">
        <f t="shared" si="79"/>
        <v>0.999994836002954-0.000613991139313307i</v>
      </c>
      <c r="Y202" s="227" t="str">
        <f t="shared" si="80"/>
        <v>514.116572231962+192.169321979392i</v>
      </c>
      <c r="Z202" s="227" t="str">
        <f t="shared" si="81"/>
        <v>94.3489298265749+35.2002540302668i</v>
      </c>
      <c r="AA202" s="227" t="str">
        <f t="shared" si="82"/>
        <v>1.17153776896676-4.69670622207063i</v>
      </c>
      <c r="AB202" s="227">
        <f t="shared" si="92"/>
        <v>13.698010196751955</v>
      </c>
      <c r="AC202" s="227">
        <f t="shared" si="93"/>
        <v>-75.994057879113484</v>
      </c>
      <c r="AD202" s="229">
        <f t="shared" si="94"/>
        <v>4.3073812315348361</v>
      </c>
      <c r="AE202" s="229">
        <f t="shared" si="95"/>
        <v>139.28908463309</v>
      </c>
      <c r="AF202" s="227">
        <f t="shared" si="83"/>
        <v>18.005391428286792</v>
      </c>
      <c r="AG202" s="227">
        <f t="shared" si="84"/>
        <v>63.295026753976515</v>
      </c>
      <c r="AH202" s="229" t="str">
        <f t="shared" si="85"/>
        <v>1.24464084567039-1.07097262716756i</v>
      </c>
    </row>
    <row r="203" spans="9:34" x14ac:dyDescent="0.2">
      <c r="I203" s="227">
        <v>199</v>
      </c>
      <c r="J203" s="227">
        <f t="shared" si="73"/>
        <v>2.9402743828298967</v>
      </c>
      <c r="K203" s="227">
        <f>10^(J203)</f>
        <v>871.51402974330347</v>
      </c>
      <c r="L203" s="227">
        <f t="shared" si="86"/>
        <v>5475.8841466839976</v>
      </c>
      <c r="M203" s="227">
        <f t="shared" si="74"/>
        <v>5692.5442801176277</v>
      </c>
      <c r="N203" s="227">
        <f>SQRT((ABS(AC203)-171.5+'Small Signal'!C$59)^2)</f>
        <v>25.162206377597727</v>
      </c>
      <c r="O203" s="227">
        <f t="shared" si="87"/>
        <v>63.550850626448238</v>
      </c>
      <c r="P203" s="227">
        <f t="shared" si="88"/>
        <v>17.745508477148739</v>
      </c>
      <c r="Q203" s="227">
        <f t="shared" si="89"/>
        <v>871.51402974330347</v>
      </c>
      <c r="R203" s="227" t="str">
        <f t="shared" si="75"/>
        <v>0.0355+0.0071186493906892i</v>
      </c>
      <c r="S203" s="227" t="str">
        <f t="shared" si="76"/>
        <v>0.018-0.830085959398376i</v>
      </c>
      <c r="T203" s="227" t="str">
        <f t="shared" si="77"/>
        <v>0.122952616160091-0.811855546868778i</v>
      </c>
      <c r="U203" s="227" t="str">
        <f t="shared" si="78"/>
        <v>37.2864431621883-56.7343872717922i</v>
      </c>
      <c r="V203" s="227">
        <f t="shared" si="90"/>
        <v>36.63613260917603</v>
      </c>
      <c r="W203" s="227">
        <f t="shared" si="91"/>
        <v>-56.686656753056432</v>
      </c>
      <c r="X203" s="227" t="str">
        <f t="shared" si="79"/>
        <v>0.999994598850105-0.000627931436991108i</v>
      </c>
      <c r="Y203" s="227" t="str">
        <f t="shared" si="80"/>
        <v>521.288822522262+188.462872516641i</v>
      </c>
      <c r="Z203" s="227" t="str">
        <f t="shared" si="81"/>
        <v>95.6648966788427+34.5180655923745i</v>
      </c>
      <c r="AA203" s="227" t="str">
        <f t="shared" si="82"/>
        <v>1.11966942746977-4.60627117091769i</v>
      </c>
      <c r="AB203" s="227">
        <f t="shared" si="92"/>
        <v>13.516300091838788</v>
      </c>
      <c r="AC203" s="227">
        <f t="shared" si="93"/>
        <v>-76.337793622402273</v>
      </c>
      <c r="AD203" s="229">
        <f t="shared" si="94"/>
        <v>4.2292083853099527</v>
      </c>
      <c r="AE203" s="229">
        <f t="shared" si="95"/>
        <v>139.88864424885051</v>
      </c>
      <c r="AF203" s="227">
        <f t="shared" si="83"/>
        <v>17.745508477148739</v>
      </c>
      <c r="AG203" s="227">
        <f t="shared" si="84"/>
        <v>63.550850626448238</v>
      </c>
      <c r="AH203" s="229" t="str">
        <f t="shared" si="85"/>
        <v>1.24452817895457-1.04841167311771i</v>
      </c>
    </row>
    <row r="204" spans="9:34" x14ac:dyDescent="0.2">
      <c r="I204" s="227">
        <v>200</v>
      </c>
      <c r="J204" s="227">
        <f t="shared" si="73"/>
        <v>2.95002450535668</v>
      </c>
      <c r="K204" s="227">
        <f>10^(J204)</f>
        <v>891.30122898300249</v>
      </c>
      <c r="L204" s="227">
        <f t="shared" si="86"/>
        <v>5600.2107862171097</v>
      </c>
      <c r="M204" s="227">
        <f t="shared" si="74"/>
        <v>5672.3078244799954</v>
      </c>
      <c r="N204" s="227">
        <f>SQRT((ABS(AC204)-171.5+'Small Signal'!C$59)^2)</f>
        <v>24.824115718645061</v>
      </c>
      <c r="O204" s="227">
        <f t="shared" si="87"/>
        <v>63.80876641144809</v>
      </c>
      <c r="P204" s="227">
        <f t="shared" si="88"/>
        <v>17.487200821036154</v>
      </c>
      <c r="Q204" s="227">
        <f t="shared" si="89"/>
        <v>891.30122898300249</v>
      </c>
      <c r="R204" s="227" t="str">
        <f t="shared" si="75"/>
        <v>0.0355+0.00728027402208224i</v>
      </c>
      <c r="S204" s="227" t="str">
        <f t="shared" si="76"/>
        <v>0.018-0.811657760568861i</v>
      </c>
      <c r="T204" s="227" t="str">
        <f t="shared" si="77"/>
        <v>0.118414733532361-0.794405956716029i</v>
      </c>
      <c r="U204" s="227" t="str">
        <f t="shared" si="78"/>
        <v>35.9158733240599-56.7037086980056i</v>
      </c>
      <c r="V204" s="227">
        <f t="shared" si="90"/>
        <v>36.537199110522572</v>
      </c>
      <c r="W204" s="227">
        <f t="shared" si="91"/>
        <v>-57.650014815802642</v>
      </c>
      <c r="X204" s="227" t="str">
        <f t="shared" si="79"/>
        <v>0.999994350806181-0.000642188240701168i</v>
      </c>
      <c r="Y204" s="227" t="str">
        <f t="shared" si="80"/>
        <v>528.406366012438+184.471458827732i</v>
      </c>
      <c r="Z204" s="227" t="str">
        <f t="shared" si="81"/>
        <v>96.9707827458678+33.7835325326318i</v>
      </c>
      <c r="AA204" s="227" t="str">
        <f t="shared" si="82"/>
        <v>1.06978906923164-4.51703326090263i</v>
      </c>
      <c r="AB204" s="227">
        <f t="shared" si="92"/>
        <v>13.334077354291171</v>
      </c>
      <c r="AC204" s="227">
        <f t="shared" si="93"/>
        <v>-76.675884281354939</v>
      </c>
      <c r="AD204" s="229">
        <f t="shared" si="94"/>
        <v>4.1531234667449821</v>
      </c>
      <c r="AE204" s="229">
        <f t="shared" si="95"/>
        <v>140.48465069280303</v>
      </c>
      <c r="AF204" s="227">
        <f t="shared" si="83"/>
        <v>17.487200821036154</v>
      </c>
      <c r="AG204" s="227">
        <f t="shared" si="84"/>
        <v>63.80876641144809</v>
      </c>
      <c r="AH204" s="229" t="str">
        <f t="shared" si="85"/>
        <v>1.24441802938879-1.02637909719641i</v>
      </c>
    </row>
    <row r="205" spans="9:34" x14ac:dyDescent="0.2">
      <c r="I205" s="227">
        <v>201</v>
      </c>
      <c r="J205" s="227">
        <f t="shared" si="73"/>
        <v>2.9597746278834633</v>
      </c>
      <c r="K205" s="227">
        <f t="shared" ref="K205:K253" si="96">10^(J205)</f>
        <v>911.53768462063488</v>
      </c>
      <c r="L205" s="227">
        <f t="shared" si="86"/>
        <v>5727.360186948873</v>
      </c>
      <c r="M205" s="227">
        <f t="shared" si="74"/>
        <v>5651.6119123494755</v>
      </c>
      <c r="N205" s="227">
        <f>SQRT((ABS(AC205)-171.5+'Small Signal'!C$59)^2)</f>
        <v>24.491575153150279</v>
      </c>
      <c r="O205" s="227">
        <f t="shared" si="87"/>
        <v>64.06837809674596</v>
      </c>
      <c r="P205" s="227">
        <f t="shared" si="88"/>
        <v>17.230468855332177</v>
      </c>
      <c r="Q205" s="227">
        <f t="shared" si="89"/>
        <v>911.53768462063488</v>
      </c>
      <c r="R205" s="227" t="str">
        <f t="shared" si="75"/>
        <v>0.0355+0.00744556824303353i</v>
      </c>
      <c r="S205" s="227" t="str">
        <f t="shared" si="76"/>
        <v>0.018-0.793638674203245i</v>
      </c>
      <c r="T205" s="227" t="str">
        <f t="shared" si="77"/>
        <v>0.114069959943818-0.7773071335501i</v>
      </c>
      <c r="U205" s="227" t="str">
        <f t="shared" si="78"/>
        <v>34.5433614296508-56.6380597860556i</v>
      </c>
      <c r="V205" s="227">
        <f t="shared" si="90"/>
        <v>36.43562582036725</v>
      </c>
      <c r="W205" s="227">
        <f t="shared" si="91"/>
        <v>-58.621125906521605</v>
      </c>
      <c r="X205" s="227" t="str">
        <f t="shared" si="79"/>
        <v>0.999994091371019-0.000656768736521629i</v>
      </c>
      <c r="Y205" s="227" t="str">
        <f t="shared" si="80"/>
        <v>535.456150697288+180.193492477224i</v>
      </c>
      <c r="Z205" s="227" t="str">
        <f t="shared" si="81"/>
        <v>98.2641903495664+32.996363516264i</v>
      </c>
      <c r="AA205" s="227" t="str">
        <f t="shared" si="82"/>
        <v>1.02183199165232-4.42901173472774i</v>
      </c>
      <c r="AB205" s="227">
        <f t="shared" si="92"/>
        <v>13.151363200235116</v>
      </c>
      <c r="AC205" s="227">
        <f t="shared" si="93"/>
        <v>-77.008424846849721</v>
      </c>
      <c r="AD205" s="229">
        <f t="shared" si="94"/>
        <v>4.0791056550970612</v>
      </c>
      <c r="AE205" s="229">
        <f t="shared" si="95"/>
        <v>141.07680294359568</v>
      </c>
      <c r="AF205" s="227">
        <f t="shared" si="83"/>
        <v>17.230468855332177</v>
      </c>
      <c r="AG205" s="227">
        <f t="shared" si="84"/>
        <v>64.06837809674596</v>
      </c>
      <c r="AH205" s="229" t="str">
        <f t="shared" si="85"/>
        <v>1.24431017504047-1.00486379102412i</v>
      </c>
    </row>
    <row r="206" spans="9:34" x14ac:dyDescent="0.2">
      <c r="I206" s="227">
        <v>202</v>
      </c>
      <c r="J206" s="227">
        <f t="shared" si="73"/>
        <v>2.9695247504102467</v>
      </c>
      <c r="K206" s="227">
        <f t="shared" si="96"/>
        <v>932.23359675115444</v>
      </c>
      <c r="L206" s="227">
        <f t="shared" si="86"/>
        <v>5857.3964379660329</v>
      </c>
      <c r="M206" s="227">
        <f t="shared" si="74"/>
        <v>5630.4461120441265</v>
      </c>
      <c r="N206" s="227">
        <f>SQRT((ABS(AC206)-171.5+'Small Signal'!C$59)^2)</f>
        <v>24.164488203403323</v>
      </c>
      <c r="O206" s="227">
        <f t="shared" si="87"/>
        <v>64.329295538471115</v>
      </c>
      <c r="P206" s="227">
        <f t="shared" si="88"/>
        <v>16.975310582527353</v>
      </c>
      <c r="Q206" s="227">
        <f t="shared" si="89"/>
        <v>932.23359675115444</v>
      </c>
      <c r="R206" s="227" t="str">
        <f t="shared" si="75"/>
        <v>0.0355+0.00761461536935584i</v>
      </c>
      <c r="S206" s="227" t="str">
        <f t="shared" si="76"/>
        <v>0.018-0.776019617861641i</v>
      </c>
      <c r="T206" s="227" t="str">
        <f t="shared" si="77"/>
        <v>0.109910332048881-0.760553596204251i</v>
      </c>
      <c r="U206" s="227" t="str">
        <f t="shared" si="78"/>
        <v>33.1704872078144-56.5371987810538i</v>
      </c>
      <c r="V206" s="227">
        <f t="shared" si="90"/>
        <v>36.331386774213868</v>
      </c>
      <c r="W206" s="227">
        <f t="shared" si="91"/>
        <v>-59.599766515523676</v>
      </c>
      <c r="X206" s="227" t="str">
        <f t="shared" si="79"/>
        <v>0.999993820021483-0.000671680273686196i</v>
      </c>
      <c r="Y206" s="227" t="str">
        <f t="shared" si="80"/>
        <v>542.424905030004+175.628058909775i</v>
      </c>
      <c r="Z206" s="227" t="str">
        <f t="shared" si="81"/>
        <v>99.5426814775811+32.1563909886066i</v>
      </c>
      <c r="AA206" s="227" t="str">
        <f t="shared" si="82"/>
        <v>0.975734657170921-4.34222313317092i</v>
      </c>
      <c r="AB206" s="227">
        <f t="shared" si="92"/>
        <v>12.96817821445314</v>
      </c>
      <c r="AC206" s="227">
        <f t="shared" si="93"/>
        <v>-77.335511796596677</v>
      </c>
      <c r="AD206" s="229">
        <f t="shared" si="94"/>
        <v>4.0071323680742132</v>
      </c>
      <c r="AE206" s="229">
        <f t="shared" si="95"/>
        <v>141.66480733506779</v>
      </c>
      <c r="AF206" s="227">
        <f t="shared" si="83"/>
        <v>16.975310582527353</v>
      </c>
      <c r="AG206" s="227">
        <f t="shared" si="84"/>
        <v>64.329295538471115</v>
      </c>
      <c r="AH206" s="229" t="str">
        <f t="shared" si="85"/>
        <v>1.24420439862121-0.983854906622638i</v>
      </c>
    </row>
    <row r="207" spans="9:34" x14ac:dyDescent="0.2">
      <c r="I207" s="227">
        <v>203</v>
      </c>
      <c r="J207" s="227">
        <f t="shared" si="73"/>
        <v>2.9792748729370304</v>
      </c>
      <c r="K207" s="227">
        <f t="shared" si="96"/>
        <v>953.39939705650295</v>
      </c>
      <c r="L207" s="227">
        <f t="shared" si="86"/>
        <v>5990.3850834592959</v>
      </c>
      <c r="M207" s="227">
        <f t="shared" si="74"/>
        <v>5608.7997550369746</v>
      </c>
      <c r="N207" s="227">
        <f>SQRT((ABS(AC207)-171.5+'Small Signal'!C$59)^2)</f>
        <v>23.842757080954001</v>
      </c>
      <c r="O207" s="227">
        <f t="shared" si="87"/>
        <v>64.591135174901197</v>
      </c>
      <c r="P207" s="227">
        <f t="shared" si="88"/>
        <v>16.721721708202615</v>
      </c>
      <c r="Q207" s="227">
        <f t="shared" si="89"/>
        <v>953.39939705650295</v>
      </c>
      <c r="R207" s="227" t="str">
        <f t="shared" si="75"/>
        <v>0.0355+0.00778750060849708i</v>
      </c>
      <c r="S207" s="227" t="str">
        <f t="shared" si="76"/>
        <v>0.018-0.758791710737508i</v>
      </c>
      <c r="T207" s="227" t="str">
        <f t="shared" si="77"/>
        <v>0.105928193308688-0.744139843207232i</v>
      </c>
      <c r="U207" s="227" t="str">
        <f t="shared" si="78"/>
        <v>31.7988494014316-56.4009706103465i</v>
      </c>
      <c r="V207" s="227">
        <f t="shared" si="90"/>
        <v>36.22445755087633</v>
      </c>
      <c r="W207" s="227">
        <f t="shared" si="91"/>
        <v>-60.585709924223416</v>
      </c>
      <c r="X207" s="227" t="str">
        <f t="shared" si="79"/>
        <v>0.999993536210416-0.000686930368288482i</v>
      </c>
      <c r="Y207" s="227" t="str">
        <f t="shared" si="80"/>
        <v>549.299179333381+170.774936673929i</v>
      </c>
      <c r="Z207" s="227" t="str">
        <f t="shared" si="81"/>
        <v>100.803785387823+31.2635747076336i</v>
      </c>
      <c r="AA207" s="227" t="str">
        <f t="shared" si="82"/>
        <v>0.931434756184382-4.25668143929028i</v>
      </c>
      <c r="AB207" s="227">
        <f t="shared" si="92"/>
        <v>12.784542364572227</v>
      </c>
      <c r="AC207" s="227">
        <f t="shared" si="93"/>
        <v>-77.657242919045999</v>
      </c>
      <c r="AD207" s="229">
        <f t="shared" si="94"/>
        <v>3.9371793436303877</v>
      </c>
      <c r="AE207" s="229">
        <f t="shared" si="95"/>
        <v>142.2483780939472</v>
      </c>
      <c r="AF207" s="227">
        <f t="shared" si="83"/>
        <v>16.721721708202615</v>
      </c>
      <c r="AG207" s="227">
        <f t="shared" si="84"/>
        <v>64.591135174901197</v>
      </c>
      <c r="AH207" s="229" t="str">
        <f t="shared" si="85"/>
        <v>1.24410048705024-0.963341850932371i</v>
      </c>
    </row>
    <row r="208" spans="9:34" x14ac:dyDescent="0.2">
      <c r="I208" s="227">
        <v>204</v>
      </c>
      <c r="J208" s="227">
        <f t="shared" si="73"/>
        <v>2.9890249954638137</v>
      </c>
      <c r="K208" s="227">
        <f t="shared" si="96"/>
        <v>975.04575406365495</v>
      </c>
      <c r="L208" s="227">
        <f t="shared" si="86"/>
        <v>6126.3931557605974</v>
      </c>
      <c r="M208" s="227">
        <f t="shared" si="74"/>
        <v>5586.6619305785862</v>
      </c>
      <c r="N208" s="227">
        <f>SQRT((ABS(AC208)-171.5+'Small Signal'!C$59)^2)</f>
        <v>23.526282852851466</v>
      </c>
      <c r="O208" s="227">
        <f t="shared" si="87"/>
        <v>64.85352068555153</v>
      </c>
      <c r="P208" s="227">
        <f t="shared" si="88"/>
        <v>16.469695742274599</v>
      </c>
      <c r="Q208" s="227">
        <f t="shared" si="89"/>
        <v>975.04575406365495</v>
      </c>
      <c r="R208" s="227" t="str">
        <f t="shared" si="75"/>
        <v>0.0355+0.00796431110248878i</v>
      </c>
      <c r="S208" s="227" t="str">
        <f t="shared" si="76"/>
        <v>0.018-0.74194626918132i</v>
      </c>
      <c r="T208" s="227" t="str">
        <f t="shared" si="77"/>
        <v>0.10211618402262-0.728060361639426i</v>
      </c>
      <c r="U208" s="227" t="str">
        <f t="shared" si="78"/>
        <v>30.4300597776912-56.2293083477915i</v>
      </c>
      <c r="V208" s="227">
        <f t="shared" si="90"/>
        <v>36.114815282676901</v>
      </c>
      <c r="W208" s="227">
        <f t="shared" si="91"/>
        <v>-61.578726823780826</v>
      </c>
      <c r="X208" s="227" t="str">
        <f t="shared" si="79"/>
        <v>0.999993239365529-0.00070252670707046i</v>
      </c>
      <c r="Y208" s="227" t="str">
        <f t="shared" si="80"/>
        <v>556.065388708888+165.634613561252i</v>
      </c>
      <c r="Z208" s="227" t="str">
        <f t="shared" si="81"/>
        <v>102.045006488229+30.3180047101883i</v>
      </c>
      <c r="AA208" s="227" t="str">
        <f t="shared" si="82"/>
        <v>0.888871260657033-4.17239821940977i</v>
      </c>
      <c r="AB208" s="227">
        <f t="shared" si="92"/>
        <v>12.600475015935764</v>
      </c>
      <c r="AC208" s="227">
        <f t="shared" si="93"/>
        <v>-77.973717147148534</v>
      </c>
      <c r="AD208" s="229">
        <f t="shared" si="94"/>
        <v>3.8692207263388356</v>
      </c>
      <c r="AE208" s="229">
        <f t="shared" si="95"/>
        <v>142.82723783270006</v>
      </c>
      <c r="AF208" s="227">
        <f t="shared" si="83"/>
        <v>16.469695742274599</v>
      </c>
      <c r="AG208" s="227">
        <f t="shared" si="84"/>
        <v>64.85352068555153</v>
      </c>
      <c r="AH208" s="229" t="str">
        <f t="shared" si="85"/>
        <v>1.2439982310264-0.943314280456627i</v>
      </c>
    </row>
    <row r="209" spans="9:34" x14ac:dyDescent="0.2">
      <c r="I209" s="227">
        <v>205</v>
      </c>
      <c r="J209" s="227">
        <f t="shared" si="73"/>
        <v>2.998775117990597</v>
      </c>
      <c r="K209" s="227">
        <f t="shared" si="96"/>
        <v>997.1835785220436</v>
      </c>
      <c r="L209" s="227">
        <f t="shared" si="86"/>
        <v>6265.4892091304655</v>
      </c>
      <c r="M209" s="227">
        <f t="shared" si="74"/>
        <v>5564.0214801975608</v>
      </c>
      <c r="N209" s="227">
        <f>SQRT((ABS(AC209)-171.5+'Small Signal'!C$59)^2)</f>
        <v>23.214965598268563</v>
      </c>
      <c r="O209" s="227">
        <f t="shared" si="87"/>
        <v>65.116083594114613</v>
      </c>
      <c r="P209" s="227">
        <f t="shared" si="88"/>
        <v>16.219224104775108</v>
      </c>
      <c r="Q209" s="227">
        <f t="shared" si="89"/>
        <v>997.1835785220436</v>
      </c>
      <c r="R209" s="227" t="str">
        <f t="shared" si="75"/>
        <v>0.0355+0.00814513597186961i</v>
      </c>
      <c r="S209" s="227" t="str">
        <f t="shared" si="76"/>
        <v>0.018-0.725474802323597i</v>
      </c>
      <c r="T209" s="227" t="str">
        <f t="shared" si="77"/>
        <v>0.0984672315183001-0.71230963533031i</v>
      </c>
      <c r="U209" s="227" t="str">
        <f t="shared" si="78"/>
        <v>29.0657370254323-56.0222341807372i</v>
      </c>
      <c r="V209" s="227">
        <f t="shared" si="90"/>
        <v>36.002438657757175</v>
      </c>
      <c r="W209" s="227">
        <f t="shared" si="91"/>
        <v>-62.578585932648416</v>
      </c>
      <c r="X209" s="227" t="str">
        <f t="shared" si="79"/>
        <v>0.999992928888254-0.000718477151296937i</v>
      </c>
      <c r="Y209" s="227" t="str">
        <f t="shared" si="80"/>
        <v>562.70985715399+160.20829954661i</v>
      </c>
      <c r="Z209" s="227" t="str">
        <f t="shared" si="81"/>
        <v>103.263832438567+29.319903690939i</v>
      </c>
      <c r="AA209" s="227" t="str">
        <f t="shared" si="82"/>
        <v>0.847984469057504-4.0893827605472i</v>
      </c>
      <c r="AB209" s="227">
        <f t="shared" si="92"/>
        <v>12.415994947068491</v>
      </c>
      <c r="AC209" s="227">
        <f t="shared" si="93"/>
        <v>-78.285034401731437</v>
      </c>
      <c r="AD209" s="229">
        <f t="shared" si="94"/>
        <v>3.8032291577066166</v>
      </c>
      <c r="AE209" s="229">
        <f t="shared" si="95"/>
        <v>143.40111799584605</v>
      </c>
      <c r="AF209" s="227">
        <f t="shared" si="83"/>
        <v>16.219224104775108</v>
      </c>
      <c r="AG209" s="227">
        <f t="shared" si="84"/>
        <v>65.116083594114613</v>
      </c>
      <c r="AH209" s="229" t="str">
        <f t="shared" si="85"/>
        <v>1.24389742460797-0.923762096030037i</v>
      </c>
    </row>
    <row r="210" spans="9:34" x14ac:dyDescent="0.2">
      <c r="I210" s="227">
        <v>206</v>
      </c>
      <c r="J210" s="227">
        <f t="shared" si="73"/>
        <v>3.0085252405173804</v>
      </c>
      <c r="K210" s="227">
        <f t="shared" si="96"/>
        <v>1019.8240289030692</v>
      </c>
      <c r="L210" s="227">
        <f t="shared" si="86"/>
        <v>6407.7433543124544</v>
      </c>
      <c r="M210" s="227">
        <f t="shared" si="74"/>
        <v>5540.8669920761449</v>
      </c>
      <c r="N210" s="227">
        <f>SQRT((ABS(AC210)-171.5+'Small Signal'!C$59)^2)</f>
        <v>22.908704555771507</v>
      </c>
      <c r="O210" s="227">
        <f t="shared" si="87"/>
        <v>65.37846381424616</v>
      </c>
      <c r="P210" s="227">
        <f t="shared" si="88"/>
        <v>15.970296235432059</v>
      </c>
      <c r="Q210" s="227">
        <f t="shared" si="89"/>
        <v>1019.8240289030692</v>
      </c>
      <c r="R210" s="227" t="str">
        <f t="shared" si="75"/>
        <v>0.0355+0.00833006636060619i</v>
      </c>
      <c r="S210" s="227" t="str">
        <f t="shared" si="76"/>
        <v>0.018-0.709369007795143i</v>
      </c>
      <c r="T210" s="227" t="str">
        <f t="shared" si="77"/>
        <v>0.094974540514477-0.696882152433525i</v>
      </c>
      <c r="U210" s="227" t="str">
        <f t="shared" si="78"/>
        <v>27.7075005887525-55.7798598710322i</v>
      </c>
      <c r="V210" s="227">
        <f t="shared" si="90"/>
        <v>35.887307914518999</v>
      </c>
      <c r="W210" s="227">
        <f t="shared" si="91"/>
        <v>-63.585054607907225</v>
      </c>
      <c r="X210" s="227" t="str">
        <f t="shared" si="79"/>
        <v>0.999992604152534-0.000734789740717982i</v>
      </c>
      <c r="Y210" s="227" t="str">
        <f t="shared" si="80"/>
        <v>569.218862589477+154.49793644911i</v>
      </c>
      <c r="Z210" s="227" t="str">
        <f t="shared" si="81"/>
        <v>104.457742419562+28.2696287792714i</v>
      </c>
      <c r="AA210" s="227" t="str">
        <f t="shared" si="82"/>
        <v>0.808716043243414-4.00764220400373i</v>
      </c>
      <c r="AB210" s="227">
        <f t="shared" si="92"/>
        <v>12.231120365650177</v>
      </c>
      <c r="AC210" s="227">
        <f t="shared" si="93"/>
        <v>-78.591295444228493</v>
      </c>
      <c r="AD210" s="229">
        <f t="shared" si="94"/>
        <v>3.7391758697818811</v>
      </c>
      <c r="AE210" s="229">
        <f t="shared" si="95"/>
        <v>143.96975925847465</v>
      </c>
      <c r="AF210" s="227">
        <f t="shared" si="83"/>
        <v>15.970296235432059</v>
      </c>
      <c r="AG210" s="227">
        <f t="shared" si="84"/>
        <v>65.37846381424616</v>
      </c>
      <c r="AH210" s="229" t="str">
        <f t="shared" si="85"/>
        <v>1.24379786479939-0.90467543770848i</v>
      </c>
    </row>
    <row r="211" spans="9:34" x14ac:dyDescent="0.2">
      <c r="I211" s="227">
        <v>207</v>
      </c>
      <c r="J211" s="227">
        <f t="shared" si="73"/>
        <v>3.0182753630441641</v>
      </c>
      <c r="K211" s="227">
        <f t="shared" si="96"/>
        <v>1042.978517024485</v>
      </c>
      <c r="L211" s="227">
        <f t="shared" si="86"/>
        <v>6553.2272938721981</v>
      </c>
      <c r="M211" s="227">
        <f t="shared" si="74"/>
        <v>5517.1867952981684</v>
      </c>
      <c r="N211" s="227">
        <f>SQRT((ABS(AC211)-171.5+'Small Signal'!C$59)^2)</f>
        <v>22.607398261507754</v>
      </c>
      <c r="O211" s="227">
        <f t="shared" si="87"/>
        <v>65.640310137649024</v>
      </c>
      <c r="P211" s="227">
        <f t="shared" si="88"/>
        <v>15.722899706324775</v>
      </c>
      <c r="Q211" s="227">
        <f t="shared" si="89"/>
        <v>1042.978517024485</v>
      </c>
      <c r="R211" s="227" t="str">
        <f t="shared" si="75"/>
        <v>0.0355+0.00851919548203386i</v>
      </c>
      <c r="S211" s="227" t="str">
        <f t="shared" si="76"/>
        <v>0.018-0.693620767542265i</v>
      </c>
      <c r="T211" s="227" t="str">
        <f t="shared" si="77"/>
        <v>0.0916315836690458-0.681772412414282i</v>
      </c>
      <c r="U211" s="227" t="str">
        <f t="shared" si="78"/>
        <v>26.3569644866895-55.5023867070358i</v>
      </c>
      <c r="V211" s="227">
        <f t="shared" si="90"/>
        <v>35.7694048282941</v>
      </c>
      <c r="W211" s="227">
        <f t="shared" si="91"/>
        <v>-64.597899445266634</v>
      </c>
      <c r="X211" s="227" t="str">
        <f t="shared" si="79"/>
        <v>0.999992264503559-0.000751472697621334i</v>
      </c>
      <c r="Y211" s="227" t="str">
        <f t="shared" si="80"/>
        <v>575.578682494539+148.50620426744i</v>
      </c>
      <c r="Z211" s="227" t="str">
        <f t="shared" si="81"/>
        <v>105.624215513834+27.1676727056132i</v>
      </c>
      <c r="AA211" s="227" t="str">
        <f t="shared" si="82"/>
        <v>0.771009037895268-3.92718167488742i</v>
      </c>
      <c r="AB211" s="227">
        <f t="shared" si="92"/>
        <v>12.045868924921724</v>
      </c>
      <c r="AC211" s="227">
        <f t="shared" si="93"/>
        <v>-78.892601738492246</v>
      </c>
      <c r="AD211" s="229">
        <f t="shared" si="94"/>
        <v>3.6770307814030501</v>
      </c>
      <c r="AE211" s="229">
        <f t="shared" si="95"/>
        <v>144.53291187614127</v>
      </c>
      <c r="AF211" s="227">
        <f t="shared" si="83"/>
        <v>15.722899706324775</v>
      </c>
      <c r="AG211" s="227">
        <f t="shared" si="84"/>
        <v>65.640310137649024</v>
      </c>
      <c r="AH211" s="229" t="str">
        <f t="shared" si="85"/>
        <v>1.2436993511442-0.886044679777773i</v>
      </c>
    </row>
    <row r="212" spans="9:34" x14ac:dyDescent="0.2">
      <c r="I212" s="227">
        <v>208</v>
      </c>
      <c r="J212" s="227">
        <f t="shared" si="73"/>
        <v>3.0280254855709474</v>
      </c>
      <c r="K212" s="227">
        <f t="shared" si="96"/>
        <v>1066.6587138024611</v>
      </c>
      <c r="L212" s="227">
        <f t="shared" si="86"/>
        <v>6702.0143583386989</v>
      </c>
      <c r="M212" s="227">
        <f t="shared" si="74"/>
        <v>5492.9689539663586</v>
      </c>
      <c r="N212" s="227">
        <f>SQRT((ABS(AC212)-171.5+'Small Signal'!C$59)^2)</f>
        <v>22.310944678607882</v>
      </c>
      <c r="O212" s="227">
        <f t="shared" si="87"/>
        <v>65.901280664339964</v>
      </c>
      <c r="P212" s="227">
        <f t="shared" si="88"/>
        <v>15.477020336893933</v>
      </c>
      <c r="Q212" s="227">
        <f t="shared" si="89"/>
        <v>1066.6587138024611</v>
      </c>
      <c r="R212" s="227" t="str">
        <f t="shared" si="75"/>
        <v>0.0355+0.00871261866584031i</v>
      </c>
      <c r="S212" s="227" t="str">
        <f t="shared" si="76"/>
        <v>0.018-0.678222143734901i</v>
      </c>
      <c r="T212" s="227" t="str">
        <f t="shared" si="77"/>
        <v>0.0884320923224995-0.666974932482618i</v>
      </c>
      <c r="U212" s="227" t="str">
        <f t="shared" si="78"/>
        <v>25.0157311686495-55.1901049492822i</v>
      </c>
      <c r="V212" s="227">
        <f t="shared" si="90"/>
        <v>35.648712690423949</v>
      </c>
      <c r="W212" s="227">
        <f t="shared" si="91"/>
        <v>-65.616886862666902</v>
      </c>
      <c r="X212" s="227" t="str">
        <f t="shared" si="79"/>
        <v>0.99999190925645-0.000768534430976799i</v>
      </c>
      <c r="Y212" s="227" t="str">
        <f t="shared" si="80"/>
        <v>581.775639847713+142.236524177466i</v>
      </c>
      <c r="Z212" s="227" t="str">
        <f t="shared" si="81"/>
        <v>106.760739143258+26.0146643549453i</v>
      </c>
      <c r="AA212" s="227" t="str">
        <f t="shared" si="82"/>
        <v>0.734807923080164-3.84800440739085i</v>
      </c>
      <c r="AB212" s="227">
        <f t="shared" si="92"/>
        <v>11.860257740452273</v>
      </c>
      <c r="AC212" s="227">
        <f t="shared" si="93"/>
        <v>-79.189055321392118</v>
      </c>
      <c r="AD212" s="229">
        <f t="shared" si="94"/>
        <v>3.616762596441661</v>
      </c>
      <c r="AE212" s="229">
        <f t="shared" si="95"/>
        <v>145.09033598573208</v>
      </c>
      <c r="AF212" s="227">
        <f t="shared" si="83"/>
        <v>15.477020336893933</v>
      </c>
      <c r="AG212" s="227">
        <f t="shared" si="84"/>
        <v>65.901280664339964</v>
      </c>
      <c r="AH212" s="229" t="str">
        <f t="shared" si="85"/>
        <v>1.24360168532318-0.867860425878591i</v>
      </c>
    </row>
    <row r="213" spans="9:34" x14ac:dyDescent="0.2">
      <c r="I213" s="227">
        <v>209</v>
      </c>
      <c r="J213" s="227">
        <f t="shared" si="73"/>
        <v>3.0377756080977307</v>
      </c>
      <c r="K213" s="227">
        <f t="shared" si="96"/>
        <v>1090.876555134271</v>
      </c>
      <c r="L213" s="227">
        <f t="shared" si="86"/>
        <v>6854.1795431663331</v>
      </c>
      <c r="M213" s="227">
        <f t="shared" si="74"/>
        <v>5468.2012611861101</v>
      </c>
      <c r="N213" s="227">
        <f>SQRT((ABS(AC213)-171.5+'Small Signal'!C$59)^2)</f>
        <v>22.019241318102004</v>
      </c>
      <c r="O213" s="227">
        <f t="shared" si="87"/>
        <v>66.161043175409915</v>
      </c>
      <c r="P213" s="227">
        <f t="shared" si="88"/>
        <v>15.232642310605296</v>
      </c>
      <c r="Q213" s="227">
        <f t="shared" si="89"/>
        <v>1090.876555134271</v>
      </c>
      <c r="R213" s="227" t="str">
        <f t="shared" si="75"/>
        <v>0.0355+0.00891043340611623i</v>
      </c>
      <c r="S213" s="227" t="str">
        <f t="shared" si="76"/>
        <v>0.018-0.663165374765592i</v>
      </c>
      <c r="T213" s="227" t="str">
        <f t="shared" si="77"/>
        <v>0.0853700474453051-0.652484253504514i</v>
      </c>
      <c r="U213" s="227" t="str">
        <f t="shared" si="78"/>
        <v>23.6853854544184-54.8433927780437i</v>
      </c>
      <c r="V213" s="227">
        <f t="shared" si="90"/>
        <v>35.525216280014895</v>
      </c>
      <c r="W213" s="227">
        <f t="shared" si="91"/>
        <v>-66.641783662521462</v>
      </c>
      <c r="X213" s="227" t="str">
        <f t="shared" si="79"/>
        <v>0.999991537694873-0.000785983540674763i</v>
      </c>
      <c r="Y213" s="227" t="str">
        <f t="shared" si="80"/>
        <v>587.796149077226+135.693058213631i</v>
      </c>
      <c r="Z213" s="227" t="str">
        <f t="shared" si="81"/>
        <v>107.864817508313+24.8113687114414i</v>
      </c>
      <c r="AA213" s="227" t="str">
        <f t="shared" si="82"/>
        <v>0.700058600502677-3.77011186568691i</v>
      </c>
      <c r="AB213" s="227">
        <f t="shared" si="92"/>
        <v>11.674303407202489</v>
      </c>
      <c r="AC213" s="227">
        <f t="shared" si="93"/>
        <v>-79.480758681897996</v>
      </c>
      <c r="AD213" s="229">
        <f t="shared" si="94"/>
        <v>3.5583389034028086</v>
      </c>
      <c r="AE213" s="229">
        <f t="shared" si="95"/>
        <v>145.64180185730791</v>
      </c>
      <c r="AF213" s="227">
        <f t="shared" si="83"/>
        <v>15.232642310605296</v>
      </c>
      <c r="AG213" s="227">
        <f t="shared" si="84"/>
        <v>66.161043175409915</v>
      </c>
      <c r="AH213" s="229" t="str">
        <f t="shared" si="85"/>
        <v>1.24350467075712-0.850113504244976i</v>
      </c>
    </row>
    <row r="214" spans="9:34" x14ac:dyDescent="0.2">
      <c r="I214" s="227">
        <v>210</v>
      </c>
      <c r="J214" s="227">
        <f t="shared" si="73"/>
        <v>3.047525730624514</v>
      </c>
      <c r="K214" s="227">
        <f t="shared" si="96"/>
        <v>1115.6442479145194</v>
      </c>
      <c r="L214" s="227">
        <f t="shared" si="86"/>
        <v>7009.7995465359281</v>
      </c>
      <c r="M214" s="227">
        <f t="shared" si="74"/>
        <v>5442.8712329126583</v>
      </c>
      <c r="N214" s="227">
        <f>SQRT((ABS(AC214)-171.5+'Small Signal'!C$59)^2)</f>
        <v>21.732185351661315</v>
      </c>
      <c r="O214" s="227">
        <f t="shared" si="87"/>
        <v>66.419275448974304</v>
      </c>
      <c r="P214" s="227">
        <f t="shared" si="88"/>
        <v>14.989748292588022</v>
      </c>
      <c r="Q214" s="227">
        <f t="shared" si="89"/>
        <v>1115.6442479145194</v>
      </c>
      <c r="R214" s="227" t="str">
        <f t="shared" si="75"/>
        <v>0.0355+0.00911273941049671i</v>
      </c>
      <c r="S214" s="227" t="str">
        <f t="shared" si="76"/>
        <v>0.018-0.648442871337285i</v>
      </c>
      <c r="T214" s="227" t="str">
        <f t="shared" si="77"/>
        <v>0.0824396707960775-0.63829494542155i</v>
      </c>
      <c r="U214" s="227" t="str">
        <f t="shared" si="78"/>
        <v>22.3674886059993-54.4627147564429i</v>
      </c>
      <c r="V214" s="227">
        <f t="shared" si="90"/>
        <v>35.398901828711573</v>
      </c>
      <c r="W214" s="227">
        <f t="shared" si="91"/>
        <v>-67.672357567834752</v>
      </c>
      <c r="X214" s="227" t="str">
        <f t="shared" si="79"/>
        <v>0.999991149069597-0.000803828821860927i</v>
      </c>
      <c r="Y214" s="227" t="str">
        <f t="shared" si="80"/>
        <v>593.626761733468+128.880705687523i</v>
      </c>
      <c r="Z214" s="227" t="str">
        <f t="shared" si="81"/>
        <v>108.933979976689+23.5586862040173i</v>
      </c>
      <c r="AA214" s="227" t="str">
        <f t="shared" si="82"/>
        <v>0.6667084139762-3.6935038603464i</v>
      </c>
      <c r="AB214" s="227">
        <f t="shared" si="92"/>
        <v>11.488022016825372</v>
      </c>
      <c r="AC214" s="227">
        <f t="shared" si="93"/>
        <v>-79.767814648338685</v>
      </c>
      <c r="AD214" s="229">
        <f t="shared" si="94"/>
        <v>3.5017262757626506</v>
      </c>
      <c r="AE214" s="229">
        <f t="shared" si="95"/>
        <v>146.18709009731299</v>
      </c>
      <c r="AF214" s="227">
        <f t="shared" si="83"/>
        <v>14.989748292588022</v>
      </c>
      <c r="AG214" s="227">
        <f t="shared" si="84"/>
        <v>66.419275448974304</v>
      </c>
      <c r="AH214" s="229" t="str">
        <f t="shared" si="85"/>
        <v>1.2434081122133-0.832794963053984i</v>
      </c>
    </row>
    <row r="215" spans="9:34" x14ac:dyDescent="0.2">
      <c r="I215" s="227">
        <v>211</v>
      </c>
      <c r="J215" s="227">
        <f t="shared" si="73"/>
        <v>3.0572758531512974</v>
      </c>
      <c r="K215" s="227">
        <f t="shared" si="96"/>
        <v>1140.9742761879713</v>
      </c>
      <c r="L215" s="227">
        <f t="shared" si="86"/>
        <v>7168.9528080141245</v>
      </c>
      <c r="M215" s="227">
        <f t="shared" si="74"/>
        <v>5416.9661016585433</v>
      </c>
      <c r="N215" s="227">
        <f>SQRT((ABS(AC215)-171.5+'Small Signal'!C$59)^2)</f>
        <v>21.449673716483019</v>
      </c>
      <c r="O215" s="227">
        <f t="shared" si="87"/>
        <v>66.67566552038808</v>
      </c>
      <c r="P215" s="227">
        <f t="shared" si="88"/>
        <v>14.748319547595933</v>
      </c>
      <c r="Q215" s="227">
        <f t="shared" si="89"/>
        <v>1140.9742761879713</v>
      </c>
      <c r="R215" s="227" t="str">
        <f t="shared" si="75"/>
        <v>0.0355+0.00931963865041836i</v>
      </c>
      <c r="S215" s="227" t="str">
        <f t="shared" si="76"/>
        <v>0.018-0.634047212637975i</v>
      </c>
      <c r="T215" s="227" t="str">
        <f t="shared" si="77"/>
        <v>0.0796354162959451-0.624401612208372i</v>
      </c>
      <c r="U215" s="227" t="str">
        <f t="shared" si="78"/>
        <v>21.0635725762999-54.0486198278877i</v>
      </c>
      <c r="V215" s="227">
        <f t="shared" si="90"/>
        <v>35.269756978909889</v>
      </c>
      <c r="W215" s="227">
        <f t="shared" si="91"/>
        <v>-68.708377727651197</v>
      </c>
      <c r="X215" s="227" t="str">
        <f t="shared" si="79"/>
        <v>0.999990742596985-0.000822079269369453i</v>
      </c>
      <c r="Y215" s="227" t="str">
        <f t="shared" si="80"/>
        <v>599.254211610115+121.805096427187i</v>
      </c>
      <c r="Z215" s="227" t="str">
        <f t="shared" si="81"/>
        <v>109.96578937096+22.2576514681143i</v>
      </c>
      <c r="AA215" s="227" t="str">
        <f t="shared" si="82"/>
        <v>0.63470615462284-3.61817866021602i</v>
      </c>
      <c r="AB215" s="227">
        <f t="shared" si="92"/>
        <v>11.301429175150568</v>
      </c>
      <c r="AC215" s="227">
        <f t="shared" si="93"/>
        <v>-80.050326283516981</v>
      </c>
      <c r="AD215" s="229">
        <f t="shared" si="94"/>
        <v>3.4468903724453654</v>
      </c>
      <c r="AE215" s="229">
        <f t="shared" si="95"/>
        <v>146.72599180390506</v>
      </c>
      <c r="AF215" s="227">
        <f t="shared" si="83"/>
        <v>14.748319547595933</v>
      </c>
      <c r="AG215" s="227">
        <f t="shared" si="84"/>
        <v>66.67566552038808</v>
      </c>
      <c r="AH215" s="229" t="str">
        <f t="shared" si="85"/>
        <v>1.24331181541493-0.815896065883981i</v>
      </c>
    </row>
    <row r="216" spans="9:34" x14ac:dyDescent="0.2">
      <c r="I216" s="227">
        <v>212</v>
      </c>
      <c r="J216" s="227">
        <f t="shared" si="73"/>
        <v>3.0670259756780807</v>
      </c>
      <c r="K216" s="227">
        <f t="shared" si="96"/>
        <v>1166.8794074420862</v>
      </c>
      <c r="L216" s="227">
        <f t="shared" si="86"/>
        <v>7331.7195480905375</v>
      </c>
      <c r="M216" s="227">
        <f t="shared" si="74"/>
        <v>5390.4728100582251</v>
      </c>
      <c r="N216" s="227">
        <f>SQRT((ABS(AC216)-171.5+'Small Signal'!C$59)^2)</f>
        <v>21.171603212639965</v>
      </c>
      <c r="O216" s="227">
        <f t="shared" si="87"/>
        <v>66.929911888139983</v>
      </c>
      <c r="P216" s="227">
        <f t="shared" si="88"/>
        <v>14.508336057674855</v>
      </c>
      <c r="Q216" s="227">
        <f t="shared" si="89"/>
        <v>1166.8794074420862</v>
      </c>
      <c r="R216" s="227" t="str">
        <f t="shared" si="75"/>
        <v>0.0355+0.0095312354125177i</v>
      </c>
      <c r="S216" s="227" t="str">
        <f t="shared" si="76"/>
        <v>0.018-0.619971142600286i</v>
      </c>
      <c r="T216" s="227" t="str">
        <f t="shared" si="77"/>
        <v>0.0769519616231798-0.610798896395914i</v>
      </c>
      <c r="U216" s="227" t="str">
        <f t="shared" si="78"/>
        <v>19.7751344768169-53.6017388713473i</v>
      </c>
      <c r="V216" s="227">
        <f t="shared" si="90"/>
        <v>35.137770735902393</v>
      </c>
      <c r="W216" s="227">
        <f t="shared" si="91"/>
        <v>-69.74961518760071</v>
      </c>
      <c r="X216" s="227" t="str">
        <f t="shared" si="79"/>
        <v>0.999990317457412-0.00084074408225678i</v>
      </c>
      <c r="Y216" s="227" t="str">
        <f t="shared" si="80"/>
        <v>604.66545905756+114.472580947925i</v>
      </c>
      <c r="Z216" s="227" t="str">
        <f t="shared" si="81"/>
        <v>110.95785010826+20.9094315440289i</v>
      </c>
      <c r="AA216" s="227" t="str">
        <f t="shared" si="82"/>
        <v>0.604002061284408-3.5441330997276i</v>
      </c>
      <c r="AB216" s="227">
        <f t="shared" si="92"/>
        <v>11.114540019804977</v>
      </c>
      <c r="AC216" s="227">
        <f t="shared" si="93"/>
        <v>-80.328396787360035</v>
      </c>
      <c r="AD216" s="229">
        <f t="shared" si="94"/>
        <v>3.3937960378698779</v>
      </c>
      <c r="AE216" s="229">
        <f t="shared" si="95"/>
        <v>147.25830867550002</v>
      </c>
      <c r="AF216" s="227">
        <f t="shared" si="83"/>
        <v>14.508336057674855</v>
      </c>
      <c r="AG216" s="227">
        <f t="shared" si="84"/>
        <v>66.929911888139983</v>
      </c>
      <c r="AH216" s="229" t="str">
        <f t="shared" si="85"/>
        <v>1.2432155866529-0.799408287279155i</v>
      </c>
    </row>
    <row r="217" spans="9:34" x14ac:dyDescent="0.2">
      <c r="I217" s="227">
        <v>213</v>
      </c>
      <c r="J217" s="227">
        <f t="shared" si="73"/>
        <v>3.0767760982048644</v>
      </c>
      <c r="K217" s="227">
        <f t="shared" si="96"/>
        <v>1193.3726990424052</v>
      </c>
      <c r="L217" s="227">
        <f t="shared" si="86"/>
        <v>7498.1818086124867</v>
      </c>
      <c r="M217" s="227">
        <f t="shared" si="74"/>
        <v>5363.3780042865683</v>
      </c>
      <c r="N217" s="227">
        <f>SQRT((ABS(AC217)-171.5+'Small Signal'!C$59)^2)</f>
        <v>20.897870593215373</v>
      </c>
      <c r="O217" s="227">
        <f t="shared" si="87"/>
        <v>67.181723667139352</v>
      </c>
      <c r="P217" s="227">
        <f t="shared" si="88"/>
        <v>14.269776638953189</v>
      </c>
      <c r="Q217" s="227">
        <f t="shared" si="89"/>
        <v>1193.3726990424052</v>
      </c>
      <c r="R217" s="227" t="str">
        <f t="shared" si="75"/>
        <v>0.0355+0.00974763635119623i</v>
      </c>
      <c r="S217" s="227" t="str">
        <f t="shared" si="76"/>
        <v>0.018-0.60620756624407i</v>
      </c>
      <c r="T217" s="227" t="str">
        <f t="shared" si="77"/>
        <v>0.0743842000309595-0.597481483187016i</v>
      </c>
      <c r="U217" s="227" t="str">
        <f t="shared" si="78"/>
        <v>18.5036313030659-53.1227818422752i</v>
      </c>
      <c r="V217" s="227">
        <f t="shared" si="90"/>
        <v>35.002933414517024</v>
      </c>
      <c r="W217" s="227">
        <f t="shared" si="91"/>
        <v>-70.795843321638671</v>
      </c>
      <c r="X217" s="227" t="str">
        <f t="shared" si="79"/>
        <v>0.999989872793608-0.000859832668438362i</v>
      </c>
      <c r="Y217" s="227" t="str">
        <f t="shared" si="80"/>
        <v>609.847734252892+106.890217689738i</v>
      </c>
      <c r="Z217" s="227" t="str">
        <f t="shared" si="81"/>
        <v>111.907816148685+19.5153235365814i</v>
      </c>
      <c r="AA217" s="227" t="str">
        <f t="shared" si="82"/>
        <v>0.574547816600691-3.47136268163679i</v>
      </c>
      <c r="AB217" s="227">
        <f t="shared" si="92"/>
        <v>10.927369237926243</v>
      </c>
      <c r="AC217" s="227">
        <f t="shared" si="93"/>
        <v>-80.602129406784627</v>
      </c>
      <c r="AD217" s="229">
        <f t="shared" si="94"/>
        <v>3.342407401026946</v>
      </c>
      <c r="AE217" s="229">
        <f t="shared" si="95"/>
        <v>147.78385307392398</v>
      </c>
      <c r="AF217" s="227">
        <f t="shared" si="83"/>
        <v>14.269776638953189</v>
      </c>
      <c r="AG217" s="227">
        <f t="shared" si="84"/>
        <v>67.181723667139352</v>
      </c>
      <c r="AH217" s="229" t="str">
        <f t="shared" si="85"/>
        <v>1.24311923239887-0.783323308417903i</v>
      </c>
    </row>
    <row r="218" spans="9:34" x14ac:dyDescent="0.2">
      <c r="I218" s="227">
        <v>214</v>
      </c>
      <c r="J218" s="227">
        <f t="shared" si="73"/>
        <v>3.0865262207316477</v>
      </c>
      <c r="K218" s="227">
        <f t="shared" si="96"/>
        <v>1220.4675048140618</v>
      </c>
      <c r="L218" s="227">
        <f t="shared" si="86"/>
        <v>7668.4234941378445</v>
      </c>
      <c r="M218" s="227">
        <f t="shared" si="74"/>
        <v>5335.6680273279098</v>
      </c>
      <c r="N218" s="227">
        <f>SQRT((ABS(AC218)-171.5+'Small Signal'!C$59)^2)</f>
        <v>20.628372647548659</v>
      </c>
      <c r="O218" s="227">
        <f t="shared" si="87"/>
        <v>67.430820691399234</v>
      </c>
      <c r="P218" s="227">
        <f t="shared" si="88"/>
        <v>14.032619057015051</v>
      </c>
      <c r="Q218" s="227">
        <f t="shared" si="89"/>
        <v>1220.4675048140618</v>
      </c>
      <c r="R218" s="227" t="str">
        <f t="shared" si="75"/>
        <v>0.0355+0.0099689505423792i</v>
      </c>
      <c r="S218" s="227" t="str">
        <f t="shared" si="76"/>
        <v>0.018-0.592749546100228i</v>
      </c>
      <c r="T218" s="227" t="str">
        <f t="shared" si="77"/>
        <v>0.0719272323900664-0.584444104189779i</v>
      </c>
      <c r="U218" s="227" t="str">
        <f t="shared" si="78"/>
        <v>17.2504749526013-52.6125345307451i</v>
      </c>
      <c r="V218" s="227">
        <f t="shared" si="90"/>
        <v>34.865236580870807</v>
      </c>
      <c r="W218" s="227">
        <f t="shared" si="91"/>
        <v>-71.846838221486138</v>
      </c>
      <c r="X218" s="227" t="str">
        <f t="shared" si="79"/>
        <v>0.99998940770894-0.000879354649430685i</v>
      </c>
      <c r="Y218" s="227" t="str">
        <f t="shared" si="80"/>
        <v>614.788579213755+99.0657574770434i</v>
      </c>
      <c r="Z218" s="227" t="str">
        <f t="shared" si="81"/>
        <v>112.813398713396+18.0767517646722i</v>
      </c>
      <c r="AA218" s="227" t="str">
        <f t="shared" si="82"/>
        <v>0.546296539185583-3.39986167521404i</v>
      </c>
      <c r="AB218" s="227">
        <f t="shared" si="92"/>
        <v>10.739931083930561</v>
      </c>
      <c r="AC218" s="227">
        <f t="shared" si="93"/>
        <v>-80.871627352451341</v>
      </c>
      <c r="AD218" s="229">
        <f t="shared" si="94"/>
        <v>3.2926879730844894</v>
      </c>
      <c r="AE218" s="229">
        <f t="shared" si="95"/>
        <v>148.30244804385057</v>
      </c>
      <c r="AF218" s="227">
        <f t="shared" si="83"/>
        <v>14.032619057015051</v>
      </c>
      <c r="AG218" s="227">
        <f t="shared" si="84"/>
        <v>67.430820691399234</v>
      </c>
      <c r="AH218" s="229" t="str">
        <f t="shared" si="85"/>
        <v>1.24302255891917-0.767633012882702i</v>
      </c>
    </row>
    <row r="219" spans="9:34" x14ac:dyDescent="0.2">
      <c r="I219" s="227">
        <v>215</v>
      </c>
      <c r="J219" s="227">
        <f t="shared" si="73"/>
        <v>3.096276343258431</v>
      </c>
      <c r="K219" s="227">
        <f t="shared" si="96"/>
        <v>1248.1774817727201</v>
      </c>
      <c r="L219" s="227">
        <f t="shared" si="86"/>
        <v>7842.5304142267705</v>
      </c>
      <c r="M219" s="227">
        <f t="shared" si="74"/>
        <v>5307.3289120923055</v>
      </c>
      <c r="N219" s="227">
        <f>SQRT((ABS(AC219)-171.5+'Small Signal'!C$59)^2)</f>
        <v>20.363006277907743</v>
      </c>
      <c r="O219" s="227">
        <f t="shared" si="87"/>
        <v>67.676933568338683</v>
      </c>
      <c r="P219" s="227">
        <f t="shared" si="88"/>
        <v>13.796840140357846</v>
      </c>
      <c r="Q219" s="227">
        <f t="shared" si="89"/>
        <v>1248.1774817727201</v>
      </c>
      <c r="R219" s="227" t="str">
        <f t="shared" si="75"/>
        <v>0.0355+0.0101952895384948i</v>
      </c>
      <c r="S219" s="227" t="str">
        <f t="shared" si="76"/>
        <v>0.018-0.579590298713901i</v>
      </c>
      <c r="T219" s="227" t="str">
        <f t="shared" si="77"/>
        <v>0.0695763594573503-0.571681540792717i</v>
      </c>
      <c r="U219" s="227" t="str">
        <f t="shared" si="78"/>
        <v>16.0170275661947-52.0718549715371i</v>
      </c>
      <c r="V219" s="227">
        <f t="shared" si="90"/>
        <v>34.72467298991404</v>
      </c>
      <c r="W219" s="227">
        <f t="shared" si="91"/>
        <v>-72.902379040706407</v>
      </c>
      <c r="X219" s="227" t="str">
        <f t="shared" si="79"/>
        <v>0.999988921265593-0.000899319865200953i</v>
      </c>
      <c r="Y219" s="227" t="str">
        <f t="shared" si="80"/>
        <v>619.475888368672+91.0076253731535i</v>
      </c>
      <c r="Z219" s="227" t="str">
        <f t="shared" si="81"/>
        <v>113.672373737999+16.5952644323687i</v>
      </c>
      <c r="AA219" s="227" t="str">
        <f t="shared" si="82"/>
        <v>0.519202772305368-3.32962320993277i</v>
      </c>
      <c r="AB219" s="227">
        <f t="shared" si="92"/>
        <v>10.552239397301978</v>
      </c>
      <c r="AC219" s="227">
        <f t="shared" si="93"/>
        <v>-81.136993722092257</v>
      </c>
      <c r="AD219" s="229">
        <f t="shared" si="94"/>
        <v>3.2446007430558681</v>
      </c>
      <c r="AE219" s="229">
        <f t="shared" si="95"/>
        <v>148.81392729043094</v>
      </c>
      <c r="AF219" s="227">
        <f t="shared" si="83"/>
        <v>13.796840140357846</v>
      </c>
      <c r="AG219" s="227">
        <f t="shared" si="84"/>
        <v>67.676933568338683</v>
      </c>
      <c r="AH219" s="229" t="str">
        <f t="shared" si="85"/>
        <v>1.24292537188861-0.75232948252923i</v>
      </c>
    </row>
    <row r="220" spans="9:34" x14ac:dyDescent="0.2">
      <c r="I220" s="227">
        <v>216</v>
      </c>
      <c r="J220" s="227">
        <f t="shared" si="73"/>
        <v>3.1060264657852144</v>
      </c>
      <c r="K220" s="227">
        <f t="shared" si="96"/>
        <v>1276.5165970083247</v>
      </c>
      <c r="L220" s="227">
        <f t="shared" si="86"/>
        <v>8020.5903266935902</v>
      </c>
      <c r="M220" s="227">
        <f t="shared" si="74"/>
        <v>5278.3463743754701</v>
      </c>
      <c r="N220" s="227">
        <f>SQRT((ABS(AC220)-171.5+'Small Signal'!C$59)^2)</f>
        <v>20.101668569913798</v>
      </c>
      <c r="O220" s="227">
        <f t="shared" si="87"/>
        <v>67.919803687153333</v>
      </c>
      <c r="P220" s="227">
        <f t="shared" si="88"/>
        <v>13.562415891480729</v>
      </c>
      <c r="Q220" s="227">
        <f t="shared" si="89"/>
        <v>1276.5165970083247</v>
      </c>
      <c r="R220" s="227" t="str">
        <f t="shared" si="75"/>
        <v>0.0355+0.0104267674247017i</v>
      </c>
      <c r="S220" s="227" t="str">
        <f t="shared" si="76"/>
        <v>0.018-0.566723191225298i</v>
      </c>
      <c r="T220" s="227" t="str">
        <f t="shared" si="77"/>
        <v>0.0673270743699413-0.559188627204598i</v>
      </c>
      <c r="U220" s="227" t="str">
        <f t="shared" si="78"/>
        <v>14.8045972181594-51.5016695434669i</v>
      </c>
      <c r="V220" s="227">
        <f t="shared" si="90"/>
        <v>34.581236519487206</v>
      </c>
      <c r="W220" s="227">
        <f t="shared" si="91"/>
        <v>-73.962248290832108</v>
      </c>
      <c r="X220" s="227" t="str">
        <f t="shared" si="79"/>
        <v>0.999988412482685-0.000919738379126875i</v>
      </c>
      <c r="Y220" s="227" t="str">
        <f t="shared" si="80"/>
        <v>623.897947522905+82.72490011452i</v>
      </c>
      <c r="Z220" s="227" t="str">
        <f t="shared" si="81"/>
        <v>114.482589031682+15.0725298554598i</v>
      </c>
      <c r="AA220" s="227" t="str">
        <f t="shared" si="82"/>
        <v>0.493222469438738-3.26063936471749i</v>
      </c>
      <c r="AB220" s="227">
        <f t="shared" si="92"/>
        <v>10.364307620373312</v>
      </c>
      <c r="AC220" s="227">
        <f t="shared" si="93"/>
        <v>-81.398331430086202</v>
      </c>
      <c r="AD220" s="229">
        <f t="shared" si="94"/>
        <v>3.1981082711074169</v>
      </c>
      <c r="AE220" s="229">
        <f t="shared" si="95"/>
        <v>149.31813511723954</v>
      </c>
      <c r="AF220" s="227">
        <f t="shared" si="83"/>
        <v>13.562415891480729</v>
      </c>
      <c r="AG220" s="227">
        <f t="shared" si="84"/>
        <v>67.919803687153333</v>
      </c>
      <c r="AH220" s="229" t="str">
        <f t="shared" si="85"/>
        <v>1.24282747600359-0.737404993452427i</v>
      </c>
    </row>
    <row r="221" spans="9:34" x14ac:dyDescent="0.2">
      <c r="I221" s="227">
        <v>217</v>
      </c>
      <c r="J221" s="227">
        <f t="shared" si="73"/>
        <v>3.1157765883119977</v>
      </c>
      <c r="K221" s="227">
        <f t="shared" si="96"/>
        <v>1305.4991347251598</v>
      </c>
      <c r="L221" s="227">
        <f t="shared" si="86"/>
        <v>8202.692981840788</v>
      </c>
      <c r="M221" s="227">
        <f t="shared" si="74"/>
        <v>5248.7058056589012</v>
      </c>
      <c r="N221" s="227">
        <f>SQRT((ABS(AC221)-171.5+'Small Signal'!C$59)^2)</f>
        <v>19.844256857024433</v>
      </c>
      <c r="O221" s="227">
        <f t="shared" si="87"/>
        <v>68.15918318384557</v>
      </c>
      <c r="P221" s="227">
        <f t="shared" si="88"/>
        <v>13.329321595195188</v>
      </c>
      <c r="Q221" s="227">
        <f t="shared" si="89"/>
        <v>1305.4991347251598</v>
      </c>
      <c r="R221" s="227" t="str">
        <f t="shared" si="75"/>
        <v>0.0355+0.010663500876393i</v>
      </c>
      <c r="S221" s="227" t="str">
        <f t="shared" si="76"/>
        <v>0.018-0.554141738026442i</v>
      </c>
      <c r="T221" s="227" t="str">
        <f t="shared" si="77"/>
        <v>0.0651750553644322-0.546960253180682i</v>
      </c>
      <c r="U221" s="227" t="str">
        <f t="shared" si="78"/>
        <v>13.6144339770275-50.9029687971502i</v>
      </c>
      <c r="V221" s="227">
        <f t="shared" si="90"/>
        <v>34.434922101651679</v>
      </c>
      <c r="W221" s="227">
        <f t="shared" si="91"/>
        <v>-75.02623208745959</v>
      </c>
      <c r="X221" s="227" t="str">
        <f t="shared" si="79"/>
        <v>0.999987880334288-0.00094062048306907i</v>
      </c>
      <c r="Y221" s="227" t="str">
        <f t="shared" si="80"/>
        <v>628.043471086488+74.2272913183261i</v>
      </c>
      <c r="Z221" s="227" t="str">
        <f t="shared" si="81"/>
        <v>115.241971117611+13.5103322789912i</v>
      </c>
      <c r="AA221" s="227" t="str">
        <f t="shared" si="82"/>
        <v>0.468312977072342-3.19290125283082i</v>
      </c>
      <c r="AB221" s="227">
        <f t="shared" si="92"/>
        <v>10.17614881607286</v>
      </c>
      <c r="AC221" s="227">
        <f t="shared" si="93"/>
        <v>-81.655743142975567</v>
      </c>
      <c r="AD221" s="229">
        <f t="shared" si="94"/>
        <v>3.1531727791223267</v>
      </c>
      <c r="AE221" s="229">
        <f t="shared" si="95"/>
        <v>149.81492632682114</v>
      </c>
      <c r="AF221" s="227">
        <f t="shared" si="83"/>
        <v>13.329321595195188</v>
      </c>
      <c r="AG221" s="227">
        <f t="shared" si="84"/>
        <v>68.15918318384557</v>
      </c>
      <c r="AH221" s="229" t="str">
        <f t="shared" si="85"/>
        <v>1.24272867459358-0.722852012047303i</v>
      </c>
    </row>
    <row r="222" spans="9:34" x14ac:dyDescent="0.2">
      <c r="I222" s="227">
        <v>218</v>
      </c>
      <c r="J222" s="227">
        <f t="shared" si="73"/>
        <v>3.125526710838781</v>
      </c>
      <c r="K222" s="227">
        <f t="shared" si="96"/>
        <v>1335.1397034417289</v>
      </c>
      <c r="L222" s="227">
        <f t="shared" si="86"/>
        <v>8388.9301676971809</v>
      </c>
      <c r="M222" s="227">
        <f t="shared" si="74"/>
        <v>5218.3922657465091</v>
      </c>
      <c r="N222" s="227">
        <f>SQRT((ABS(AC222)-171.5+'Small Signal'!C$59)^2)</f>
        <v>19.590668779389247</v>
      </c>
      <c r="O222" s="227">
        <f t="shared" si="87"/>
        <v>68.394834865661309</v>
      </c>
      <c r="P222" s="227">
        <f t="shared" si="88"/>
        <v>13.097531923800602</v>
      </c>
      <c r="Q222" s="227">
        <f t="shared" si="89"/>
        <v>1335.1397034417289</v>
      </c>
      <c r="R222" s="227" t="str">
        <f t="shared" si="75"/>
        <v>0.0355+0.0109056092180063i</v>
      </c>
      <c r="S222" s="227" t="str">
        <f t="shared" si="76"/>
        <v>0.018-0.54183959749212i</v>
      </c>
      <c r="T222" s="227" t="str">
        <f t="shared" si="77"/>
        <v>0.0631161587195703-0.53499136645586i</v>
      </c>
      <c r="U222" s="227" t="str">
        <f t="shared" si="78"/>
        <v>12.4477263528948-50.2768030516283i</v>
      </c>
      <c r="V222" s="227">
        <f t="shared" si="90"/>
        <v>34.285725652083102</v>
      </c>
      <c r="W222" s="227">
        <f t="shared" si="91"/>
        <v>-76.094120344760967</v>
      </c>
      <c r="X222" s="227" t="str">
        <f t="shared" si="79"/>
        <v>0.999987323747359-0.00096197670255863i</v>
      </c>
      <c r="Y222" s="227" t="str">
        <f t="shared" si="80"/>
        <v>631.901637458021+65.5251146609311i</v>
      </c>
      <c r="Z222" s="227" t="str">
        <f t="shared" si="81"/>
        <v>115.948531735049+11.9105673220099i</v>
      </c>
      <c r="AA222" s="227" t="str">
        <f t="shared" si="82"/>
        <v>0.444433015062412-3.12639910249272i</v>
      </c>
      <c r="AB222" s="227">
        <f t="shared" si="92"/>
        <v>9.9877756856176205</v>
      </c>
      <c r="AC222" s="227">
        <f t="shared" si="93"/>
        <v>-81.909331220610753</v>
      </c>
      <c r="AD222" s="229">
        <f t="shared" si="94"/>
        <v>3.1097562381829813</v>
      </c>
      <c r="AE222" s="229">
        <f t="shared" si="95"/>
        <v>150.30416608627206</v>
      </c>
      <c r="AF222" s="227">
        <f t="shared" si="83"/>
        <v>13.097531923800602</v>
      </c>
      <c r="AG222" s="227">
        <f t="shared" si="84"/>
        <v>68.394834865661309</v>
      </c>
      <c r="AH222" s="229" t="str">
        <f t="shared" si="85"/>
        <v>1.24262876923047-0.708663191162292i</v>
      </c>
    </row>
    <row r="223" spans="9:34" x14ac:dyDescent="0.2">
      <c r="I223" s="227">
        <v>219</v>
      </c>
      <c r="J223" s="227">
        <f t="shared" si="73"/>
        <v>3.1352768333655643</v>
      </c>
      <c r="K223" s="227">
        <f t="shared" si="96"/>
        <v>1365.4532433541208</v>
      </c>
      <c r="L223" s="227">
        <f t="shared" si="86"/>
        <v>8579.3957562833239</v>
      </c>
      <c r="M223" s="227">
        <f t="shared" si="74"/>
        <v>5187.3904752340814</v>
      </c>
      <c r="N223" s="227">
        <f>SQRT((ABS(AC223)-171.5+'Small Signal'!C$59)^2)</f>
        <v>19.340802337379529</v>
      </c>
      <c r="O223" s="227">
        <f t="shared" si="87"/>
        <v>68.626532097762777</v>
      </c>
      <c r="P223" s="227">
        <f t="shared" si="88"/>
        <v>12.867021038805339</v>
      </c>
      <c r="Q223" s="227">
        <f t="shared" si="89"/>
        <v>1365.4532433541208</v>
      </c>
      <c r="R223" s="227" t="str">
        <f t="shared" si="75"/>
        <v>0.0355+0.0111532144831683i</v>
      </c>
      <c r="S223" s="227" t="str">
        <f t="shared" si="76"/>
        <v>0.018-0.529810568783422i</v>
      </c>
      <c r="T223" s="227" t="str">
        <f t="shared" si="77"/>
        <v>0.0611464119204226-0.523276974904219i</v>
      </c>
      <c r="U223" s="227" t="str">
        <f t="shared" si="78"/>
        <v>11.3055981428616-49.6242778008738i</v>
      </c>
      <c r="V223" s="227">
        <f t="shared" si="90"/>
        <v>34.133643998339224</v>
      </c>
      <c r="W223" s="227">
        <f t="shared" si="91"/>
        <v>-77.165706917404762</v>
      </c>
      <c r="X223" s="227" t="str">
        <f t="shared" si="79"/>
        <v>0.999986741599575-0.000983817802102469i</v>
      </c>
      <c r="Y223" s="227" t="str">
        <f t="shared" si="80"/>
        <v>635.462122485096+56.6292652250122i</v>
      </c>
      <c r="Z223" s="227" t="str">
        <f t="shared" si="81"/>
        <v>116.600373988684+10.2752370858084i</v>
      </c>
      <c r="AA223" s="227" t="str">
        <f t="shared" si="82"/>
        <v>0.421542654868849-3.0611223333341i</v>
      </c>
      <c r="AB223" s="227">
        <f t="shared" si="92"/>
        <v>9.7992005861305778</v>
      </c>
      <c r="AC223" s="227">
        <f t="shared" si="93"/>
        <v>-82.159197662620471</v>
      </c>
      <c r="AD223" s="229">
        <f t="shared" si="94"/>
        <v>3.067820452674761</v>
      </c>
      <c r="AE223" s="229">
        <f t="shared" si="95"/>
        <v>150.78572976038325</v>
      </c>
      <c r="AF223" s="227">
        <f t="shared" si="83"/>
        <v>12.867021038805339</v>
      </c>
      <c r="AG223" s="227">
        <f t="shared" si="84"/>
        <v>68.626532097762777</v>
      </c>
      <c r="AH223" s="229" t="str">
        <f t="shared" si="85"/>
        <v>1.24252755933482-0.694831366342993i</v>
      </c>
    </row>
    <row r="224" spans="9:34" x14ac:dyDescent="0.2">
      <c r="I224" s="227">
        <v>220</v>
      </c>
      <c r="J224" s="227">
        <f t="shared" si="73"/>
        <v>3.1450269558923485</v>
      </c>
      <c r="K224" s="227">
        <f t="shared" si="96"/>
        <v>1396.4550338665483</v>
      </c>
      <c r="L224" s="227">
        <f t="shared" si="86"/>
        <v>8774.1857509272686</v>
      </c>
      <c r="M224" s="227">
        <f t="shared" si="74"/>
        <v>5155.6848078077801</v>
      </c>
      <c r="N224" s="227">
        <f>SQRT((ABS(AC224)-171.5+'Small Signal'!C$59)^2)</f>
        <v>19.094555940088512</v>
      </c>
      <c r="O224" s="227">
        <f t="shared" si="87"/>
        <v>68.854058655040248</v>
      </c>
      <c r="P224" s="227">
        <f t="shared" si="88"/>
        <v>12.637762688931666</v>
      </c>
      <c r="Q224" s="227">
        <f t="shared" si="89"/>
        <v>1396.4550338665483</v>
      </c>
      <c r="R224" s="227" t="str">
        <f t="shared" si="75"/>
        <v>0.0355+0.0114064414762054i</v>
      </c>
      <c r="S224" s="227" t="str">
        <f t="shared" si="76"/>
        <v>0.018-0.518048588722227i</v>
      </c>
      <c r="T224" s="227" t="str">
        <f t="shared" si="77"/>
        <v>0.0592620070414431-0.511812148443375i</v>
      </c>
      <c r="U224" s="227" t="str">
        <f t="shared" si="78"/>
        <v>10.1891056811829-48.9465489711322i</v>
      </c>
      <c r="V224" s="227">
        <f t="shared" si="90"/>
        <v>33.978674807823175</v>
      </c>
      <c r="W224" s="227">
        <f t="shared" si="91"/>
        <v>-78.240789689434806</v>
      </c>
      <c r="X224" s="227" t="str">
        <f t="shared" si="79"/>
        <v>0.999986132717073-0.00100615479060913i</v>
      </c>
      <c r="Y224" s="227" t="str">
        <f t="shared" si="80"/>
        <v>638.71513094709+47.5511892091861i</v>
      </c>
      <c r="Z224" s="227" t="str">
        <f t="shared" si="81"/>
        <v>117.195698135178+8.60644496121206i</v>
      </c>
      <c r="AA224" s="227" t="str">
        <f t="shared" si="82"/>
        <v>0.399603295946249-2.99705962879976i</v>
      </c>
      <c r="AB224" s="227">
        <f t="shared" si="92"/>
        <v>9.6104355481722958</v>
      </c>
      <c r="AC224" s="227">
        <f t="shared" si="93"/>
        <v>-82.405444059911488</v>
      </c>
      <c r="AD224" s="229">
        <f t="shared" si="94"/>
        <v>3.0273271407593705</v>
      </c>
      <c r="AE224" s="229">
        <f t="shared" si="95"/>
        <v>151.25950271495174</v>
      </c>
      <c r="AF224" s="227">
        <f t="shared" si="83"/>
        <v>12.637762688931666</v>
      </c>
      <c r="AG224" s="227">
        <f t="shared" si="84"/>
        <v>68.854058655040248</v>
      </c>
      <c r="AH224" s="229" t="str">
        <f t="shared" si="85"/>
        <v>1.24242484177841-0.681349552164182i</v>
      </c>
    </row>
    <row r="225" spans="9:34" x14ac:dyDescent="0.2">
      <c r="I225" s="227">
        <v>221</v>
      </c>
      <c r="J225" s="227">
        <f t="shared" si="73"/>
        <v>3.1547770784191318</v>
      </c>
      <c r="K225" s="227">
        <f t="shared" si="96"/>
        <v>1428.1607012928498</v>
      </c>
      <c r="L225" s="227">
        <f t="shared" si="86"/>
        <v>8973.3983346545283</v>
      </c>
      <c r="M225" s="227">
        <f t="shared" si="74"/>
        <v>5123.2592823677442</v>
      </c>
      <c r="N225" s="227">
        <f>SQRT((ABS(AC225)-171.5+'Small Signal'!C$59)^2)</f>
        <v>18.851828449093105</v>
      </c>
      <c r="O225" s="227">
        <f t="shared" si="87"/>
        <v>69.077208541999809</v>
      </c>
      <c r="P225" s="227">
        <f t="shared" si="88"/>
        <v>12.409730304178881</v>
      </c>
      <c r="Q225" s="227">
        <f t="shared" si="89"/>
        <v>1428.1607012928498</v>
      </c>
      <c r="R225" s="227" t="str">
        <f t="shared" si="75"/>
        <v>0.0355+0.0116654178350509i</v>
      </c>
      <c r="S225" s="227" t="str">
        <f t="shared" si="76"/>
        <v>0.018-0.506547728735095i</v>
      </c>
      <c r="T225" s="227" t="str">
        <f t="shared" si="77"/>
        <v>0.0574592943454375-0.500592020701029i</v>
      </c>
      <c r="U225" s="227" t="str">
        <f t="shared" si="78"/>
        <v>9.09923549610695-48.2448180694132i</v>
      </c>
      <c r="V225" s="227">
        <f t="shared" si="90"/>
        <v>33.820816516268223</v>
      </c>
      <c r="W225" s="227">
        <f t="shared" si="91"/>
        <v>-79.319170610214258</v>
      </c>
      <c r="X225" s="227" t="str">
        <f t="shared" si="79"/>
        <v>0.99998549587208-0.00102899892693774i</v>
      </c>
      <c r="Y225" s="227" t="str">
        <f t="shared" si="80"/>
        <v>641.651426030309+38.3028541866464i</v>
      </c>
      <c r="Z225" s="227" t="str">
        <f t="shared" si="81"/>
        <v>117.732807001424+6.90639016911993i</v>
      </c>
      <c r="AA225" s="227" t="str">
        <f t="shared" si="82"/>
        <v>0.37857764055433-2.93419900461988i</v>
      </c>
      <c r="AB225" s="227">
        <f t="shared" si="92"/>
        <v>9.4214922931717027</v>
      </c>
      <c r="AC225" s="227">
        <f t="shared" si="93"/>
        <v>-82.648171550906895</v>
      </c>
      <c r="AD225" s="229">
        <f t="shared" si="94"/>
        <v>2.9882380110071787</v>
      </c>
      <c r="AE225" s="229">
        <f t="shared" si="95"/>
        <v>151.7253800929067</v>
      </c>
      <c r="AF225" s="227">
        <f t="shared" si="83"/>
        <v>12.409730304178881</v>
      </c>
      <c r="AG225" s="227">
        <f t="shared" si="84"/>
        <v>69.077208541999809</v>
      </c>
      <c r="AH225" s="229" t="str">
        <f t="shared" si="85"/>
        <v>1.24232041048236-0.668210938647997i</v>
      </c>
    </row>
    <row r="226" spans="9:34" x14ac:dyDescent="0.2">
      <c r="I226" s="227">
        <v>222</v>
      </c>
      <c r="J226" s="227">
        <f t="shared" si="73"/>
        <v>3.1645272009459151</v>
      </c>
      <c r="K226" s="227">
        <f t="shared" si="96"/>
        <v>1460.586226732886</v>
      </c>
      <c r="L226" s="227">
        <f t="shared" si="86"/>
        <v>9177.1339196769404</v>
      </c>
      <c r="M226" s="227">
        <f t="shared" si="74"/>
        <v>5090.0975549729083</v>
      </c>
      <c r="N226" s="227">
        <f>SQRT((ABS(AC226)-171.5+'Small Signal'!C$59)^2)</f>
        <v>18.612519217757892</v>
      </c>
      <c r="O226" s="227">
        <f t="shared" si="87"/>
        <v>69.295785783666844</v>
      </c>
      <c r="P226" s="227">
        <f t="shared" si="88"/>
        <v>12.182897085766227</v>
      </c>
      <c r="Q226" s="227">
        <f t="shared" si="89"/>
        <v>1460.586226732886</v>
      </c>
      <c r="R226" s="227" t="str">
        <f t="shared" si="75"/>
        <v>0.0355+0.01193027409558i</v>
      </c>
      <c r="S226" s="227" t="str">
        <f t="shared" si="76"/>
        <v>0.018-0.49530219186499i</v>
      </c>
      <c r="T226" s="227" t="str">
        <f t="shared" si="77"/>
        <v>0.0557347760950193-0.489611790460108i</v>
      </c>
      <c r="U226" s="227" t="str">
        <f t="shared" si="78"/>
        <v>8.03690237098756-47.5203272622171i</v>
      </c>
      <c r="V226" s="227">
        <f t="shared" si="90"/>
        <v>33.660068257560347</v>
      </c>
      <c r="W226" s="227">
        <f t="shared" si="91"/>
        <v>-80.400655678098445</v>
      </c>
      <c r="X226" s="227" t="str">
        <f t="shared" si="79"/>
        <v>0.999984829780439-0.00105236172557307i</v>
      </c>
      <c r="Y226" s="227" t="str">
        <f t="shared" si="80"/>
        <v>644.262356786284+28.8967180886887i</v>
      </c>
      <c r="Z226" s="227" t="str">
        <f t="shared" si="81"/>
        <v>118.210111032823+5.17736206655092i</v>
      </c>
      <c r="AA226" s="227" t="str">
        <f t="shared" si="82"/>
        <v>0.358429667229715-2.87252787347675i</v>
      </c>
      <c r="AB226" s="227">
        <f t="shared" si="92"/>
        <v>9.2323822507480617</v>
      </c>
      <c r="AC226" s="227">
        <f t="shared" si="93"/>
        <v>-82.887480782242108</v>
      </c>
      <c r="AD226" s="229">
        <f t="shared" si="94"/>
        <v>2.9505148350181649</v>
      </c>
      <c r="AE226" s="229">
        <f t="shared" si="95"/>
        <v>152.18326656590895</v>
      </c>
      <c r="AF226" s="227">
        <f t="shared" si="83"/>
        <v>12.182897085766227</v>
      </c>
      <c r="AG226" s="227">
        <f t="shared" si="84"/>
        <v>69.295785783666844</v>
      </c>
      <c r="AH226" s="229" t="str">
        <f t="shared" si="85"/>
        <v>1.24221405600991-0.655408887766188i</v>
      </c>
    </row>
    <row r="227" spans="9:34" x14ac:dyDescent="0.2">
      <c r="I227" s="227">
        <v>223</v>
      </c>
      <c r="J227" s="227">
        <f t="shared" si="73"/>
        <v>3.1742773234726984</v>
      </c>
      <c r="K227" s="227">
        <f t="shared" si="96"/>
        <v>1493.7479541277221</v>
      </c>
      <c r="L227" s="227">
        <f t="shared" si="86"/>
        <v>9385.49519800487</v>
      </c>
      <c r="M227" s="227">
        <f t="shared" si="74"/>
        <v>5056.1829106028999</v>
      </c>
      <c r="N227" s="227">
        <f>SQRT((ABS(AC227)-171.5+'Small Signal'!C$59)^2)</f>
        <v>18.37652812635848</v>
      </c>
      <c r="O227" s="227">
        <f t="shared" si="87"/>
        <v>69.509604190430949</v>
      </c>
      <c r="P227" s="227">
        <f t="shared" si="88"/>
        <v>11.95723609182124</v>
      </c>
      <c r="Q227" s="227">
        <f t="shared" si="89"/>
        <v>1493.7479541277221</v>
      </c>
      <c r="R227" s="227" t="str">
        <f t="shared" si="75"/>
        <v>0.0355+0.0122011437574063i</v>
      </c>
      <c r="S227" s="227" t="str">
        <f t="shared" si="76"/>
        <v>0.018-0.484306309849352i</v>
      </c>
      <c r="T227" s="227" t="str">
        <f t="shared" si="77"/>
        <v>0.0540851005728264-0.478866722898036i</v>
      </c>
      <c r="U227" s="227" t="str">
        <f t="shared" si="78"/>
        <v>7.00294780318859-46.774354421881i</v>
      </c>
      <c r="V227" s="227">
        <f t="shared" si="90"/>
        <v>33.496429795702795</v>
      </c>
      <c r="W227" s="227">
        <f t="shared" si="91"/>
        <v>-81.485054873043822</v>
      </c>
      <c r="X227" s="227" t="str">
        <f t="shared" si="79"/>
        <v>0.999984133099019-0.00107625496242926i</v>
      </c>
      <c r="Y227" s="227" t="str">
        <f t="shared" si="80"/>
        <v>646.539883582817+19.3456970757044i</v>
      </c>
      <c r="Z227" s="227" t="str">
        <f t="shared" si="81"/>
        <v>118.626132973306+3.42173424800645i</v>
      </c>
      <c r="AA227" s="227" t="str">
        <f t="shared" si="82"/>
        <v>0.339124603141581-2.81203310599776i</v>
      </c>
      <c r="AB227" s="227">
        <f t="shared" si="92"/>
        <v>9.0431165759189689</v>
      </c>
      <c r="AC227" s="227">
        <f t="shared" si="93"/>
        <v>-83.12347187364152</v>
      </c>
      <c r="AD227" s="229">
        <f t="shared" si="94"/>
        <v>2.9141195159022724</v>
      </c>
      <c r="AE227" s="229">
        <f t="shared" si="95"/>
        <v>152.63307606407247</v>
      </c>
      <c r="AF227" s="227">
        <f t="shared" si="83"/>
        <v>11.95723609182124</v>
      </c>
      <c r="AG227" s="227">
        <f t="shared" si="84"/>
        <v>69.509604190430949</v>
      </c>
      <c r="AH227" s="229" t="str">
        <f t="shared" si="85"/>
        <v>1.24210556515326-0.642936930024439i</v>
      </c>
    </row>
    <row r="228" spans="9:34" x14ac:dyDescent="0.2">
      <c r="I228" s="227">
        <v>224</v>
      </c>
      <c r="J228" s="227">
        <f t="shared" si="73"/>
        <v>3.1840274459994817</v>
      </c>
      <c r="K228" s="227">
        <f t="shared" si="96"/>
        <v>1527.6625984977304</v>
      </c>
      <c r="L228" s="227">
        <f t="shared" si="86"/>
        <v>9598.5871932087266</v>
      </c>
      <c r="M228" s="227">
        <f t="shared" si="74"/>
        <v>5021.4982547329137</v>
      </c>
      <c r="N228" s="227">
        <f>SQRT((ABS(AC228)-171.5+'Small Signal'!C$59)^2)</f>
        <v>18.143755613289883</v>
      </c>
      <c r="O228" s="227">
        <f t="shared" si="87"/>
        <v>69.718487099711254</v>
      </c>
      <c r="P228" s="227">
        <f t="shared" si="88"/>
        <v>11.732720318715083</v>
      </c>
      <c r="Q228" s="227">
        <f t="shared" si="89"/>
        <v>1527.6625984977304</v>
      </c>
      <c r="R228" s="227" t="str">
        <f t="shared" si="75"/>
        <v>0.0355+0.0124781633511713i</v>
      </c>
      <c r="S228" s="227" t="str">
        <f t="shared" si="76"/>
        <v>0.018-0.473554540263028i</v>
      </c>
      <c r="T228" s="227" t="str">
        <f t="shared" si="77"/>
        <v>0.0525070563064853-0.468352150634714i</v>
      </c>
      <c r="U228" s="227" t="str">
        <f t="shared" si="78"/>
        <v>5.99813885060249-46.0082081757608i</v>
      </c>
      <c r="V228" s="227">
        <f t="shared" si="90"/>
        <v>33.32990145970026</v>
      </c>
      <c r="W228" s="227">
        <f t="shared" si="91"/>
        <v>-82.572182039888077</v>
      </c>
      <c r="X228" s="227" t="str">
        <f t="shared" si="79"/>
        <v>0.999983404423005-0.00110069068078548i</v>
      </c>
      <c r="Y228" s="227" t="str">
        <f t="shared" si="80"/>
        <v>648.476601572632+9.66313244282913i</v>
      </c>
      <c r="Z228" s="227" t="str">
        <f t="shared" si="81"/>
        <v>118.979512181662+1.6419584691325i</v>
      </c>
      <c r="AA228" s="227" t="str">
        <f t="shared" si="82"/>
        <v>0.320628895534774-2.75270108820783i</v>
      </c>
      <c r="AB228" s="227">
        <f t="shared" si="92"/>
        <v>8.8537061661889229</v>
      </c>
      <c r="AC228" s="227">
        <f t="shared" si="93"/>
        <v>-83.356244386710117</v>
      </c>
      <c r="AD228" s="229">
        <f t="shared" si="94"/>
        <v>2.8790141525261603</v>
      </c>
      <c r="AE228" s="229">
        <f t="shared" si="95"/>
        <v>153.07473148642137</v>
      </c>
      <c r="AF228" s="227">
        <f t="shared" si="83"/>
        <v>11.732720318715083</v>
      </c>
      <c r="AG228" s="227">
        <f t="shared" si="84"/>
        <v>69.718487099711254</v>
      </c>
      <c r="AH228" s="229" t="str">
        <f t="shared" si="85"/>
        <v>1.24199472051367-0.630788761126691i</v>
      </c>
    </row>
    <row r="229" spans="9:34" x14ac:dyDescent="0.2">
      <c r="I229" s="227">
        <v>225</v>
      </c>
      <c r="J229" s="227">
        <f t="shared" si="73"/>
        <v>3.193777568526265</v>
      </c>
      <c r="K229" s="227">
        <f t="shared" si="96"/>
        <v>1562.347254367716</v>
      </c>
      <c r="L229" s="227">
        <f t="shared" si="86"/>
        <v>9816.5173133556</v>
      </c>
      <c r="M229" s="227">
        <f t="shared" si="74"/>
        <v>4986.0261047172971</v>
      </c>
      <c r="N229" s="227">
        <f>SQRT((ABS(AC229)-171.5+'Small Signal'!C$59)^2)</f>
        <v>17.914102702620028</v>
      </c>
      <c r="O229" s="227">
        <f t="shared" si="87"/>
        <v>69.922267097258327</v>
      </c>
      <c r="P229" s="227">
        <f t="shared" si="88"/>
        <v>11.5093227779874</v>
      </c>
      <c r="Q229" s="227">
        <f t="shared" si="89"/>
        <v>1562.347254367716</v>
      </c>
      <c r="R229" s="227" t="str">
        <f t="shared" si="75"/>
        <v>0.0355+0.0127614725073623i</v>
      </c>
      <c r="S229" s="227" t="str">
        <f t="shared" si="76"/>
        <v>0.018-0.46304146372465i</v>
      </c>
      <c r="T229" s="227" t="str">
        <f t="shared" si="77"/>
        <v>0.0509975664940736-0.458063474602984i</v>
      </c>
      <c r="U229" s="227" t="str">
        <f t="shared" si="78"/>
        <v>5.02316735233011-45.2232229909508i</v>
      </c>
      <c r="V229" s="227">
        <f t="shared" si="90"/>
        <v>33.160484082110401</v>
      </c>
      <c r="W229" s="227">
        <f t="shared" si="91"/>
        <v>-83.661854724547965</v>
      </c>
      <c r="X229" s="227" t="str">
        <f t="shared" si="79"/>
        <v>0.99998264228307-0.00112568119735627i</v>
      </c>
      <c r="Y229" s="227" t="str">
        <f t="shared" si="80"/>
        <v>650.06576221641-0.137243309705901i</v>
      </c>
      <c r="Z229" s="227" t="str">
        <f t="shared" si="81"/>
        <v>119.269008590893-0.159441583481805i</v>
      </c>
      <c r="AA229" s="227" t="str">
        <f t="shared" si="82"/>
        <v>0.30291018244664-2.69451777557734i</v>
      </c>
      <c r="AB229" s="227">
        <f t="shared" si="92"/>
        <v>8.6641616785182336</v>
      </c>
      <c r="AC229" s="227">
        <f t="shared" si="93"/>
        <v>-83.585897297379972</v>
      </c>
      <c r="AD229" s="229">
        <f t="shared" si="94"/>
        <v>2.8451610994691654</v>
      </c>
      <c r="AE229" s="229">
        <f t="shared" si="95"/>
        <v>153.5081643946383</v>
      </c>
      <c r="AF229" s="227">
        <f t="shared" si="83"/>
        <v>11.5093227779874</v>
      </c>
      <c r="AG229" s="227">
        <f t="shared" si="84"/>
        <v>69.922267097258327</v>
      </c>
      <c r="AH229" s="229" t="str">
        <f t="shared" si="85"/>
        <v>1.2418813000741-0.618958238717472i</v>
      </c>
    </row>
    <row r="230" spans="9:34" x14ac:dyDescent="0.2">
      <c r="I230" s="227">
        <v>226</v>
      </c>
      <c r="J230" s="227">
        <f t="shared" si="73"/>
        <v>3.2035276910530484</v>
      </c>
      <c r="K230" s="227">
        <f t="shared" si="96"/>
        <v>1597.8194043833332</v>
      </c>
      <c r="L230" s="227">
        <f t="shared" si="86"/>
        <v>10039.395405147798</v>
      </c>
      <c r="M230" s="227">
        <f t="shared" si="74"/>
        <v>4949.7485809774862</v>
      </c>
      <c r="N230" s="227">
        <f>SQRT((ABS(AC230)-171.5+'Small Signal'!C$59)^2)</f>
        <v>17.687471028239472</v>
      </c>
      <c r="O230" s="227">
        <f t="shared" si="87"/>
        <v>70.120785720820791</v>
      </c>
      <c r="P230" s="227">
        <f t="shared" si="88"/>
        <v>11.287016568834552</v>
      </c>
      <c r="Q230" s="227">
        <f t="shared" si="89"/>
        <v>1597.8194043833332</v>
      </c>
      <c r="R230" s="227" t="str">
        <f t="shared" si="75"/>
        <v>0.0355+0.0130512140266921i</v>
      </c>
      <c r="S230" s="227" t="str">
        <f t="shared" si="76"/>
        <v>0.018-0.45276178116501i</v>
      </c>
      <c r="T230" s="227" t="str">
        <f t="shared" si="77"/>
        <v>0.0495536836256379-0.447996164754507i</v>
      </c>
      <c r="U230" s="227" t="str">
        <f t="shared" si="78"/>
        <v>4.07864950725433-44.4207543244086i</v>
      </c>
      <c r="V230" s="227">
        <f t="shared" si="90"/>
        <v>32.988178941968911</v>
      </c>
      <c r="W230" s="227">
        <f t="shared" si="91"/>
        <v>-84.753893965856918</v>
      </c>
      <c r="X230" s="227" t="str">
        <f t="shared" si="79"/>
        <v>0.999981845142407-0.00115123910849975i</v>
      </c>
      <c r="Y230" s="227" t="str">
        <f t="shared" si="80"/>
        <v>651.301292905395-10.0413411294269i</v>
      </c>
      <c r="Z230" s="227" t="str">
        <f t="shared" si="81"/>
        <v>119.493506318866-1.97987665582873i</v>
      </c>
      <c r="AA230" s="227" t="str">
        <f t="shared" si="82"/>
        <v>0.285937262867095-2.63746874380186i</v>
      </c>
      <c r="AB230" s="227">
        <f t="shared" si="92"/>
        <v>8.4744935461721163</v>
      </c>
      <c r="AC230" s="227">
        <f t="shared" si="93"/>
        <v>-83.812528971760528</v>
      </c>
      <c r="AD230" s="229">
        <f t="shared" si="94"/>
        <v>2.8125230226624369</v>
      </c>
      <c r="AE230" s="229">
        <f t="shared" si="95"/>
        <v>153.93331469258132</v>
      </c>
      <c r="AF230" s="227">
        <f t="shared" si="83"/>
        <v>11.287016568834552</v>
      </c>
      <c r="AG230" s="227">
        <f t="shared" si="84"/>
        <v>70.120785720820791</v>
      </c>
      <c r="AH230" s="229" t="str">
        <f t="shared" si="85"/>
        <v>1.24176507676336-0.607439379200235i</v>
      </c>
    </row>
    <row r="231" spans="9:34" x14ac:dyDescent="0.2">
      <c r="I231" s="227">
        <v>227</v>
      </c>
      <c r="J231" s="227">
        <f t="shared" si="73"/>
        <v>3.2132778135798317</v>
      </c>
      <c r="K231" s="227">
        <f t="shared" si="96"/>
        <v>1634.0969281231435</v>
      </c>
      <c r="L231" s="227">
        <f t="shared" si="86"/>
        <v>10267.333809290631</v>
      </c>
      <c r="M231" s="227">
        <f t="shared" si="74"/>
        <v>4912.6473979899038</v>
      </c>
      <c r="N231" s="227">
        <f>SQRT((ABS(AC231)-171.5+'Small Signal'!C$59)^2)</f>
        <v>17.463762854851183</v>
      </c>
      <c r="O231" s="227">
        <f t="shared" si="87"/>
        <v>70.313893148817783</v>
      </c>
      <c r="P231" s="227">
        <f t="shared" si="88"/>
        <v>11.065774946172805</v>
      </c>
      <c r="Q231" s="227">
        <f t="shared" si="89"/>
        <v>1634.0969281231435</v>
      </c>
      <c r="R231" s="227" t="str">
        <f t="shared" si="75"/>
        <v>0.0355+0.0133475339520778i</v>
      </c>
      <c r="S231" s="227" t="str">
        <f t="shared" si="76"/>
        <v>0.018-0.442710311156094i</v>
      </c>
      <c r="T231" s="227" t="str">
        <f t="shared" si="77"/>
        <v>0.0481725842961717-0.438145760613283i</v>
      </c>
      <c r="U231" s="227" t="str">
        <f t="shared" si="78"/>
        <v>3.16512579189842-43.6021738653243i</v>
      </c>
      <c r="V231" s="227">
        <f t="shared" si="90"/>
        <v>32.812987712750306</v>
      </c>
      <c r="W231" s="227">
        <f t="shared" si="91"/>
        <v>-85.848124046219411</v>
      </c>
      <c r="X231" s="227" t="str">
        <f t="shared" si="79"/>
        <v>0.999981011393632-0.0011773772965667i</v>
      </c>
      <c r="Y231" s="227" t="str">
        <f t="shared" si="80"/>
        <v>652.177814733568-20.0347506940491i</v>
      </c>
      <c r="Z231" s="227" t="str">
        <f t="shared" si="81"/>
        <v>119.652016939399-3.81669840617891i</v>
      </c>
      <c r="AA231" s="227" t="str">
        <f t="shared" si="82"/>
        <v>0.269680066495974-2.58153923645045i</v>
      </c>
      <c r="AB231" s="227">
        <f t="shared" si="92"/>
        <v>8.2847119954533213</v>
      </c>
      <c r="AC231" s="227">
        <f t="shared" si="93"/>
        <v>-84.036237145148817</v>
      </c>
      <c r="AD231" s="229">
        <f t="shared" si="94"/>
        <v>2.781062950719484</v>
      </c>
      <c r="AE231" s="229">
        <f t="shared" si="95"/>
        <v>154.3501302939666</v>
      </c>
      <c r="AF231" s="227">
        <f t="shared" si="83"/>
        <v>11.065774946172805</v>
      </c>
      <c r="AG231" s="227">
        <f t="shared" si="84"/>
        <v>70.313893148817783</v>
      </c>
      <c r="AH231" s="229" t="str">
        <f t="shared" si="85"/>
        <v>1.24164581801147-0.596226354629751i</v>
      </c>
    </row>
    <row r="232" spans="9:34" x14ac:dyDescent="0.2">
      <c r="I232" s="227">
        <v>228</v>
      </c>
      <c r="J232" s="227">
        <f t="shared" si="73"/>
        <v>3.223027936106615</v>
      </c>
      <c r="K232" s="227">
        <f t="shared" si="96"/>
        <v>1671.1981111107257</v>
      </c>
      <c r="L232" s="227">
        <f t="shared" si="86"/>
        <v>10500.44741711719</v>
      </c>
      <c r="M232" s="227">
        <f t="shared" si="74"/>
        <v>4874.7038550692032</v>
      </c>
      <c r="N232" s="227">
        <f>SQRT((ABS(AC232)-171.5+'Small Signal'!C$59)^2)</f>
        <v>17.242881096037763</v>
      </c>
      <c r="O232" s="227">
        <f t="shared" si="87"/>
        <v>70.50144787653295</v>
      </c>
      <c r="P232" s="227">
        <f t="shared" si="88"/>
        <v>10.845571384309123</v>
      </c>
      <c r="Q232" s="227">
        <f t="shared" si="89"/>
        <v>1671.1981111107257</v>
      </c>
      <c r="R232" s="227" t="str">
        <f t="shared" si="75"/>
        <v>0.0355+0.0136505816422523i</v>
      </c>
      <c r="S232" s="227" t="str">
        <f t="shared" si="76"/>
        <v>0.018-0.432881987299401i</v>
      </c>
      <c r="T232" s="227" t="str">
        <f t="shared" si="77"/>
        <v>0.0468515642053327-0.428507871688202i</v>
      </c>
      <c r="U232" s="227" t="str">
        <f t="shared" si="78"/>
        <v>2.28306119711258-42.7688648933661i</v>
      </c>
      <c r="V232" s="227">
        <f t="shared" si="90"/>
        <v>32.634912415969971</v>
      </c>
      <c r="W232" s="227">
        <f t="shared" si="91"/>
        <v>-86.944372204664973</v>
      </c>
      <c r="X232" s="227" t="str">
        <f t="shared" si="79"/>
        <v>0.999980139355544-0.00120410893639391i</v>
      </c>
      <c r="Y232" s="227" t="str">
        <f t="shared" si="80"/>
        <v>652.690658470383-30.102776247931i</v>
      </c>
      <c r="Z232" s="227" t="str">
        <f t="shared" si="81"/>
        <v>119.743682423118-5.66720598711641i</v>
      </c>
      <c r="AA232" s="227" t="str">
        <f t="shared" si="82"/>
        <v>0.254109623237047-2.52671420961786i</v>
      </c>
      <c r="AB232" s="227">
        <f t="shared" si="92"/>
        <v>8.0948270623211087</v>
      </c>
      <c r="AC232" s="227">
        <f t="shared" si="93"/>
        <v>-84.257118903962237</v>
      </c>
      <c r="AD232" s="229">
        <f t="shared" si="94"/>
        <v>2.7507443219880141</v>
      </c>
      <c r="AE232" s="229">
        <f t="shared" si="95"/>
        <v>154.75856678049519</v>
      </c>
      <c r="AF232" s="227">
        <f t="shared" si="83"/>
        <v>10.845571384309123</v>
      </c>
      <c r="AG232" s="227">
        <f t="shared" si="84"/>
        <v>70.50144787653295</v>
      </c>
      <c r="AH232" s="229" t="str">
        <f t="shared" si="85"/>
        <v>1.24152328529487-0.585313489676542i</v>
      </c>
    </row>
    <row r="233" spans="9:34" x14ac:dyDescent="0.2">
      <c r="I233" s="227">
        <v>229</v>
      </c>
      <c r="J233" s="227">
        <f t="shared" si="73"/>
        <v>3.2327780586333987</v>
      </c>
      <c r="K233" s="227">
        <f t="shared" si="96"/>
        <v>1709.1416540314265</v>
      </c>
      <c r="L233" s="227">
        <f t="shared" si="86"/>
        <v>10738.853728498874</v>
      </c>
      <c r="M233" s="227">
        <f t="shared" si="74"/>
        <v>4835.8988269422916</v>
      </c>
      <c r="N233" s="227">
        <f>SQRT((ABS(AC233)-171.5+'Small Signal'!C$59)^2)</f>
        <v>17.024729329631711</v>
      </c>
      <c r="O233" s="227">
        <f t="shared" si="87"/>
        <v>70.683316382233713</v>
      </c>
      <c r="P233" s="227">
        <f t="shared" si="88"/>
        <v>10.626379636287934</v>
      </c>
      <c r="Q233" s="227">
        <f t="shared" si="89"/>
        <v>1709.1416540314265</v>
      </c>
      <c r="R233" s="227" t="str">
        <f t="shared" si="75"/>
        <v>0.0355+0.0139605098470485i</v>
      </c>
      <c r="S233" s="227" t="str">
        <f t="shared" si="76"/>
        <v>0.018-0.423271855672247i</v>
      </c>
      <c r="T233" s="227" t="str">
        <f t="shared" si="77"/>
        <v>0.0455880333390923-0.419078177755452i</v>
      </c>
      <c r="U233" s="227" t="str">
        <f t="shared" si="78"/>
        <v>1.43284576176102-41.9222177731925i</v>
      </c>
      <c r="V233" s="227">
        <f t="shared" si="90"/>
        <v>32.453955380977952</v>
      </c>
      <c r="W233" s="227">
        <f t="shared" si="91"/>
        <v>-88.042468316268994</v>
      </c>
      <c r="X233" s="227" t="str">
        <f t="shared" si="79"/>
        <v>0.999979227269735-0.00123144750194489i</v>
      </c>
      <c r="Y233" s="227" t="str">
        <f t="shared" si="80"/>
        <v>652.835878782882-40.2304729343576i</v>
      </c>
      <c r="Z233" s="227" t="str">
        <f t="shared" si="81"/>
        <v>119.767777756993-7.52865271926318i</v>
      </c>
      <c r="AA233" s="227" t="str">
        <f t="shared" si="82"/>
        <v>0.239198032554369-2.47297837371541i</v>
      </c>
      <c r="AB233" s="227">
        <f t="shared" si="92"/>
        <v>7.9048486089040351</v>
      </c>
      <c r="AC233" s="227">
        <f t="shared" si="93"/>
        <v>-84.475270670368289</v>
      </c>
      <c r="AD233" s="229">
        <f t="shared" si="94"/>
        <v>2.7215310273838988</v>
      </c>
      <c r="AE233" s="229">
        <f t="shared" si="95"/>
        <v>155.158587052602</v>
      </c>
      <c r="AF233" s="227">
        <f t="shared" si="83"/>
        <v>10.626379636287934</v>
      </c>
      <c r="AG233" s="227">
        <f t="shared" si="84"/>
        <v>70.683316382233713</v>
      </c>
      <c r="AH233" s="229" t="str">
        <f t="shared" si="85"/>
        <v>1.24139723367117-0.574695258661445i</v>
      </c>
    </row>
    <row r="234" spans="9:34" x14ac:dyDescent="0.2">
      <c r="I234" s="227">
        <v>230</v>
      </c>
      <c r="J234" s="227">
        <f t="shared" si="73"/>
        <v>3.242528181160182</v>
      </c>
      <c r="K234" s="227">
        <f t="shared" si="96"/>
        <v>1747.9466821583385</v>
      </c>
      <c r="L234" s="227">
        <f t="shared" si="86"/>
        <v>10982.672911070578</v>
      </c>
      <c r="M234" s="227">
        <f t="shared" si="74"/>
        <v>4796.2127541083019</v>
      </c>
      <c r="N234" s="227">
        <f>SQRT((ABS(AC234)-171.5+'Small Signal'!C$59)^2)</f>
        <v>16.809211810614201</v>
      </c>
      <c r="O234" s="227">
        <f t="shared" si="87"/>
        <v>70.859372785483103</v>
      </c>
      <c r="P234" s="227">
        <f t="shared" si="88"/>
        <v>10.408173788998708</v>
      </c>
      <c r="Q234" s="227">
        <f t="shared" si="89"/>
        <v>1747.9466821583385</v>
      </c>
      <c r="R234" s="227" t="str">
        <f t="shared" si="75"/>
        <v>0.0355+0.0142774747843918i</v>
      </c>
      <c r="S234" s="227" t="str">
        <f t="shared" si="76"/>
        <v>0.018-0.413875072330771i</v>
      </c>
      <c r="T234" s="227" t="str">
        <f t="shared" si="77"/>
        <v>0.0443795113284434-0.409852429020858i</v>
      </c>
      <c r="U234" s="227" t="str">
        <f t="shared" si="78"/>
        <v>0.614795380698683-41.0636256023482i</v>
      </c>
      <c r="V234" s="227">
        <f t="shared" si="90"/>
        <v>32.27011921142833</v>
      </c>
      <c r="W234" s="227">
        <f t="shared" si="91"/>
        <v>-89.142244542227161</v>
      </c>
      <c r="X234" s="227" t="str">
        <f t="shared" si="79"/>
        <v>0.999978273297041-0.0012594067731013i</v>
      </c>
      <c r="Y234" s="227" t="str">
        <f t="shared" si="80"/>
        <v>652.610266750467-50.4026835812531i</v>
      </c>
      <c r="Z234" s="227" t="str">
        <f t="shared" si="81"/>
        <v>119.72371325045-9.39825284894147i</v>
      </c>
      <c r="AA234" s="227" t="str">
        <f t="shared" si="82"/>
        <v>0.224918432804108-2.42031623253264i</v>
      </c>
      <c r="AB234" s="227">
        <f t="shared" si="92"/>
        <v>7.7147863399131635</v>
      </c>
      <c r="AC234" s="227">
        <f t="shared" si="93"/>
        <v>-84.690788189385799</v>
      </c>
      <c r="AD234" s="229">
        <f t="shared" si="94"/>
        <v>2.6933874490855447</v>
      </c>
      <c r="AE234" s="229">
        <f t="shared" si="95"/>
        <v>155.5501609748689</v>
      </c>
      <c r="AF234" s="227">
        <f t="shared" si="83"/>
        <v>10.408173788998708</v>
      </c>
      <c r="AG234" s="227">
        <f t="shared" si="84"/>
        <v>70.859372785483103</v>
      </c>
      <c r="AH234" s="229" t="str">
        <f t="shared" si="85"/>
        <v>1.24126741130231-0.564366282658362i</v>
      </c>
    </row>
    <row r="235" spans="9:34" x14ac:dyDescent="0.2">
      <c r="I235" s="227">
        <v>231</v>
      </c>
      <c r="J235" s="227">
        <f t="shared" si="73"/>
        <v>3.2522783036869654</v>
      </c>
      <c r="K235" s="227">
        <f t="shared" si="96"/>
        <v>1787.632754992328</v>
      </c>
      <c r="L235" s="227">
        <f t="shared" si="86"/>
        <v>11232.027860800761</v>
      </c>
      <c r="M235" s="227">
        <f t="shared" si="74"/>
        <v>4755.6256329797252</v>
      </c>
      <c r="N235" s="227">
        <f>SQRT((ABS(AC235)-171.5+'Small Signal'!C$59)^2)</f>
        <v>16.596233481753387</v>
      </c>
      <c r="O235" s="227">
        <f t="shared" si="87"/>
        <v>71.029498499779294</v>
      </c>
      <c r="P235" s="227">
        <f t="shared" si="88"/>
        <v>10.190928314152446</v>
      </c>
      <c r="Q235" s="227">
        <f t="shared" si="89"/>
        <v>1787.632754992328</v>
      </c>
      <c r="R235" s="227" t="str">
        <f t="shared" si="75"/>
        <v>0.0355+0.014601636219041i</v>
      </c>
      <c r="S235" s="227" t="str">
        <f t="shared" si="76"/>
        <v>0.018-0.40468690086836i</v>
      </c>
      <c r="T235" s="227" t="str">
        <f t="shared" si="77"/>
        <v>0.0432236229802528-0.400826446171598i</v>
      </c>
      <c r="U235" s="227" t="str">
        <f t="shared" si="78"/>
        <v>-0.170847136123861-40.1944800264622i</v>
      </c>
      <c r="V235" s="227">
        <f t="shared" si="90"/>
        <v>32.083406758839466</v>
      </c>
      <c r="W235" s="227">
        <f t="shared" si="91"/>
        <v>-90.243534955171043</v>
      </c>
      <c r="X235" s="227" t="str">
        <f t="shared" si="79"/>
        <v>0.999977275513837-0.00128800084260873i</v>
      </c>
      <c r="Y235" s="227" t="str">
        <f t="shared" si="80"/>
        <v>652.011360707003-60.6040759119488i</v>
      </c>
      <c r="Z235" s="227" t="str">
        <f t="shared" si="81"/>
        <v>119.611036534373-11.2731883845945i</v>
      </c>
      <c r="AA235" s="227" t="str">
        <f t="shared" si="82"/>
        <v>0.211244970642872-2.36871211969948i</v>
      </c>
      <c r="AB235" s="227">
        <f t="shared" si="92"/>
        <v>7.5246498189641446</v>
      </c>
      <c r="AC235" s="227">
        <f t="shared" si="93"/>
        <v>-84.903766518246613</v>
      </c>
      <c r="AD235" s="229">
        <f t="shared" si="94"/>
        <v>2.6662784951883012</v>
      </c>
      <c r="AE235" s="229">
        <f t="shared" si="95"/>
        <v>155.93326501802591</v>
      </c>
      <c r="AF235" s="227">
        <f t="shared" si="83"/>
        <v>10.190928314152446</v>
      </c>
      <c r="AG235" s="227">
        <f t="shared" si="84"/>
        <v>71.029498499779294</v>
      </c>
      <c r="AH235" s="229" t="str">
        <f t="shared" si="85"/>
        <v>1.24113355896539-0.554321326663151i</v>
      </c>
    </row>
    <row r="236" spans="9:34" x14ac:dyDescent="0.2">
      <c r="I236" s="227">
        <v>232</v>
      </c>
      <c r="J236" s="227">
        <f t="shared" si="73"/>
        <v>3.2620284262137487</v>
      </c>
      <c r="K236" s="227">
        <f t="shared" si="96"/>
        <v>1828.2198761209047</v>
      </c>
      <c r="L236" s="227">
        <f t="shared" si="86"/>
        <v>11487.044263936552</v>
      </c>
      <c r="M236" s="227">
        <f t="shared" si="74"/>
        <v>4714.1170057996951</v>
      </c>
      <c r="N236" s="227">
        <f>SQRT((ABS(AC236)-171.5+'Small Signal'!C$59)^2)</f>
        <v>16.385699982191852</v>
      </c>
      <c r="O236" s="227">
        <f t="shared" si="87"/>
        <v>71.193581881511648</v>
      </c>
      <c r="P236" s="227">
        <f t="shared" si="88"/>
        <v>9.9746181152548576</v>
      </c>
      <c r="Q236" s="227">
        <f t="shared" si="89"/>
        <v>1828.2198761209047</v>
      </c>
      <c r="R236" s="227" t="str">
        <f t="shared" si="75"/>
        <v>0.0355+0.0149331575431175i</v>
      </c>
      <c r="S236" s="227" t="str">
        <f t="shared" si="76"/>
        <v>0.018-0.395702710028284i</v>
      </c>
      <c r="T236" s="227" t="str">
        <f t="shared" si="77"/>
        <v>0.0421180939753293-0.391996120326232i</v>
      </c>
      <c r="U236" s="227" t="str">
        <f t="shared" si="78"/>
        <v>-0.92391077659824-39.3161672326005i</v>
      </c>
      <c r="V236" s="227">
        <f t="shared" si="90"/>
        <v>31.893821103589683</v>
      </c>
      <c r="W236" s="227">
        <f t="shared" si="91"/>
        <v>-91.346175144540823</v>
      </c>
      <c r="X236" s="227" t="str">
        <f t="shared" si="79"/>
        <v>0.999976231908157-0.00131724412318002i</v>
      </c>
      <c r="Y236" s="227" t="str">
        <f t="shared" si="80"/>
        <v>651.037455434134-70.8191801640794i</v>
      </c>
      <c r="Z236" s="227" t="str">
        <f t="shared" si="81"/>
        <v>119.42943425732-13.1506160088831i</v>
      </c>
      <c r="AA236" s="227" t="str">
        <f t="shared" si="82"/>
        <v>0.198152770602778-2.31815023267601i</v>
      </c>
      <c r="AB236" s="227">
        <f t="shared" si="92"/>
        <v>7.3344484848185365</v>
      </c>
      <c r="AC236" s="227">
        <f t="shared" si="93"/>
        <v>-85.114300017808148</v>
      </c>
      <c r="AD236" s="229">
        <f t="shared" si="94"/>
        <v>2.6401696304363216</v>
      </c>
      <c r="AE236" s="229">
        <f t="shared" si="95"/>
        <v>156.3078818993198</v>
      </c>
      <c r="AF236" s="227">
        <f t="shared" si="83"/>
        <v>9.9746181152548576</v>
      </c>
      <c r="AG236" s="227">
        <f t="shared" si="84"/>
        <v>71.193581881511648</v>
      </c>
      <c r="AH236" s="229" t="str">
        <f t="shared" si="85"/>
        <v>1.24099540955045-0.544555296826891i</v>
      </c>
    </row>
    <row r="237" spans="9:34" x14ac:dyDescent="0.2">
      <c r="I237" s="227">
        <v>233</v>
      </c>
      <c r="J237" s="227">
        <f t="shared" si="73"/>
        <v>3.271778548740532</v>
      </c>
      <c r="K237" s="227">
        <f t="shared" si="96"/>
        <v>1869.728503300935</v>
      </c>
      <c r="L237" s="227">
        <f t="shared" si="86"/>
        <v>11747.850660355314</v>
      </c>
      <c r="M237" s="227">
        <f t="shared" si="74"/>
        <v>4671.6659503303317</v>
      </c>
      <c r="N237" s="227">
        <f>SQRT((ABS(AC237)-171.5+'Small Signal'!C$59)^2)</f>
        <v>16.177517654184371</v>
      </c>
      <c r="O237" s="227">
        <f t="shared" si="87"/>
        <v>71.351517877086721</v>
      </c>
      <c r="P237" s="227">
        <f t="shared" si="88"/>
        <v>9.7592185707161878</v>
      </c>
      <c r="Q237" s="227">
        <f t="shared" si="89"/>
        <v>1869.728503300935</v>
      </c>
      <c r="R237" s="227" t="str">
        <f t="shared" si="75"/>
        <v>0.0355+0.0152722058584619i</v>
      </c>
      <c r="S237" s="227" t="str">
        <f t="shared" si="76"/>
        <v>0.018-0.386917971369332i</v>
      </c>
      <c r="T237" s="227" t="str">
        <f t="shared" si="77"/>
        <v>0.0410607467287794-0.383357412891323i</v>
      </c>
      <c r="U237" s="227" t="str">
        <f t="shared" si="78"/>
        <v>-1.64429483424958-38.4300641287189i</v>
      </c>
      <c r="V237" s="227">
        <f t="shared" si="90"/>
        <v>31.701365543615701</v>
      </c>
      <c r="W237" s="227">
        <f t="shared" si="91"/>
        <v>-92.450001807026752</v>
      </c>
      <c r="X237" s="227" t="str">
        <f t="shared" si="79"/>
        <v>0.999975140375637-0.00134715135475994i</v>
      </c>
      <c r="Y237" s="227" t="str">
        <f t="shared" si="80"/>
        <v>649.687609716467-81.0324271084556i</v>
      </c>
      <c r="Z237" s="227" t="str">
        <f t="shared" si="81"/>
        <v>119.178733480837-15.0276740649828i</v>
      </c>
      <c r="AA237" s="227" t="str">
        <f t="shared" si="82"/>
        <v>0.18561790491325-2.26861466439359i</v>
      </c>
      <c r="AB237" s="227">
        <f t="shared" si="92"/>
        <v>7.1441916675556563</v>
      </c>
      <c r="AC237" s="227">
        <f t="shared" si="93"/>
        <v>-85.322482345815629</v>
      </c>
      <c r="AD237" s="229">
        <f t="shared" si="94"/>
        <v>2.6150269031605315</v>
      </c>
      <c r="AE237" s="229">
        <f t="shared" si="95"/>
        <v>156.67400022290235</v>
      </c>
      <c r="AF237" s="227">
        <f t="shared" si="83"/>
        <v>9.7592185707161878</v>
      </c>
      <c r="AG237" s="227">
        <f t="shared" si="84"/>
        <v>71.351517877086721</v>
      </c>
      <c r="AH237" s="229" t="str">
        <f t="shared" si="85"/>
        <v>1.24085268754415-0.535063237751388i</v>
      </c>
    </row>
    <row r="238" spans="9:34" x14ac:dyDescent="0.2">
      <c r="I238" s="227">
        <v>234</v>
      </c>
      <c r="J238" s="227">
        <f t="shared" si="73"/>
        <v>3.2815286712673157</v>
      </c>
      <c r="K238" s="227">
        <f t="shared" si="96"/>
        <v>1912.1795587702984</v>
      </c>
      <c r="L238" s="227">
        <f t="shared" si="86"/>
        <v>12014.578508354683</v>
      </c>
      <c r="M238" s="227">
        <f t="shared" si="74"/>
        <v>4628.2510693070035</v>
      </c>
      <c r="N238" s="227">
        <f>SQRT((ABS(AC238)-171.5+'Small Signal'!C$59)^2)</f>
        <v>15.97159354818119</v>
      </c>
      <c r="O238" s="227">
        <f t="shared" si="87"/>
        <v>71.503207669928841</v>
      </c>
      <c r="P238" s="227">
        <f t="shared" si="88"/>
        <v>9.544705573251985</v>
      </c>
      <c r="Q238" s="227">
        <f t="shared" si="89"/>
        <v>1912.1795587702984</v>
      </c>
      <c r="R238" s="227" t="str">
        <f t="shared" si="75"/>
        <v>0.0355+0.0156189520608611i</v>
      </c>
      <c r="S238" s="227" t="str">
        <f t="shared" si="76"/>
        <v>0.018-0.378328256983275i</v>
      </c>
      <c r="T238" s="227" t="str">
        <f t="shared" si="77"/>
        <v>0.0400494964077432-0.374906355332496i</v>
      </c>
      <c r="U238" s="227" t="str">
        <f t="shared" si="78"/>
        <v>-2.33196723298606-37.5375347144901i</v>
      </c>
      <c r="V238" s="227">
        <f t="shared" si="90"/>
        <v>31.506043591005124</v>
      </c>
      <c r="W238" s="227">
        <f t="shared" si="91"/>
        <v>-93.554852327229383</v>
      </c>
      <c r="X238" s="227" t="str">
        <f t="shared" si="79"/>
        <v>0.999973998715271-0.00137773761195482i</v>
      </c>
      <c r="Y238" s="227" t="str">
        <f t="shared" si="80"/>
        <v>647.961652254801-91.2281864653775i</v>
      </c>
      <c r="Z238" s="227" t="str">
        <f t="shared" si="81"/>
        <v>118.858902773111-16.90148961663i</v>
      </c>
      <c r="AA238" s="227" t="str">
        <f t="shared" si="82"/>
        <v>0.173617363640095-2.22008943266738i</v>
      </c>
      <c r="AB238" s="227">
        <f t="shared" si="92"/>
        <v>6.9538886046861803</v>
      </c>
      <c r="AC238" s="227">
        <f t="shared" si="93"/>
        <v>-85.52840645181881</v>
      </c>
      <c r="AD238" s="229">
        <f t="shared" si="94"/>
        <v>2.5908169685658038</v>
      </c>
      <c r="AE238" s="229">
        <f t="shared" si="95"/>
        <v>157.03161412174765</v>
      </c>
      <c r="AF238" s="227">
        <f t="shared" si="83"/>
        <v>9.544705573251985</v>
      </c>
      <c r="AG238" s="227">
        <f t="shared" si="84"/>
        <v>71.503207669928841</v>
      </c>
      <c r="AH238" s="229" t="str">
        <f t="shared" si="85"/>
        <v>1.24070510849859-0.525840329845074i</v>
      </c>
    </row>
    <row r="239" spans="9:34" x14ac:dyDescent="0.2">
      <c r="I239" s="227">
        <v>235</v>
      </c>
      <c r="J239" s="227">
        <f t="shared" si="73"/>
        <v>3.291278793794099</v>
      </c>
      <c r="K239" s="227">
        <f t="shared" si="96"/>
        <v>1955.594439793626</v>
      </c>
      <c r="L239" s="227">
        <f t="shared" si="86"/>
        <v>12287.362250913404</v>
      </c>
      <c r="M239" s="227">
        <f t="shared" si="74"/>
        <v>4583.8504796531097</v>
      </c>
      <c r="N239" s="227">
        <f>SQRT((ABS(AC239)-171.5+'Small Signal'!C$59)^2)</f>
        <v>15.767835426447718</v>
      </c>
      <c r="O239" s="227">
        <f t="shared" si="87"/>
        <v>71.648558328922334</v>
      </c>
      <c r="P239" s="227">
        <f t="shared" si="88"/>
        <v>9.3310555657413037</v>
      </c>
      <c r="Q239" s="227">
        <f t="shared" si="89"/>
        <v>1955.594439793626</v>
      </c>
      <c r="R239" s="227" t="str">
        <f t="shared" si="75"/>
        <v>0.0355+0.0159735709261874i</v>
      </c>
      <c r="S239" s="227" t="str">
        <f t="shared" si="76"/>
        <v>0.018-0.369929237262997i</v>
      </c>
      <c r="T239" s="227" t="str">
        <f t="shared" si="77"/>
        <v>0.0390823471016296-0.366639048867159i</v>
      </c>
      <c r="U239" s="227" t="str">
        <f t="shared" si="78"/>
        <v>-2.98696268991807-36.6399266463474i</v>
      </c>
      <c r="V239" s="227">
        <f t="shared" si="90"/>
        <v>31.307858976592495</v>
      </c>
      <c r="W239" s="227">
        <f t="shared" si="91"/>
        <v>-94.660564353782476</v>
      </c>
      <c r="X239" s="227" t="str">
        <f t="shared" si="79"/>
        <v>0.999972804624975-0.00140901831163076i</v>
      </c>
      <c r="Y239" s="227" t="str">
        <f t="shared" si="80"/>
        <v>645.860185917817-101.390805718173i</v>
      </c>
      <c r="Z239" s="227" t="str">
        <f t="shared" si="81"/>
        <v>118.470052997271-18.7691855818879i</v>
      </c>
      <c r="AA239" s="227" t="str">
        <f t="shared" si="82"/>
        <v>0.162129025203831-2.17255850749721i</v>
      </c>
      <c r="AB239" s="227">
        <f t="shared" si="92"/>
        <v>6.7635484572220461</v>
      </c>
      <c r="AC239" s="227">
        <f t="shared" si="93"/>
        <v>-85.732164573552282</v>
      </c>
      <c r="AD239" s="229">
        <f t="shared" si="94"/>
        <v>2.567507108519258</v>
      </c>
      <c r="AE239" s="229">
        <f t="shared" si="95"/>
        <v>157.38072290247462</v>
      </c>
      <c r="AF239" s="227">
        <f t="shared" si="83"/>
        <v>9.3310555657413037</v>
      </c>
      <c r="AG239" s="227">
        <f t="shared" si="84"/>
        <v>71.648558328922334</v>
      </c>
      <c r="AH239" s="229" t="str">
        <f t="shared" si="85"/>
        <v>1.24055237848445-0.516881886737338i</v>
      </c>
    </row>
    <row r="240" spans="9:34" x14ac:dyDescent="0.2">
      <c r="I240" s="227">
        <v>236</v>
      </c>
      <c r="J240" s="227">
        <f t="shared" si="73"/>
        <v>3.3010289163208828</v>
      </c>
      <c r="K240" s="227">
        <f t="shared" si="96"/>
        <v>1999.99502944752</v>
      </c>
      <c r="L240" s="227">
        <f t="shared" si="86"/>
        <v>12566.339383456861</v>
      </c>
      <c r="M240" s="227">
        <f t="shared" si="74"/>
        <v>4538.441801450027</v>
      </c>
      <c r="N240" s="227">
        <f>SQRT((ABS(AC240)-171.5+'Small Signal'!C$59)^2)</f>
        <v>15.566151765403561</v>
      </c>
      <c r="O240" s="227">
        <f t="shared" si="87"/>
        <v>71.787482459719172</v>
      </c>
      <c r="P240" s="227">
        <f t="shared" si="88"/>
        <v>9.1182455737118051</v>
      </c>
      <c r="Q240" s="227">
        <f t="shared" si="89"/>
        <v>1999.99502944752</v>
      </c>
      <c r="R240" s="227" t="str">
        <f t="shared" si="75"/>
        <v>0.0355+0.0163362411984939i</v>
      </c>
      <c r="S240" s="227" t="str">
        <f t="shared" si="76"/>
        <v>0.018-0.361716678720175i</v>
      </c>
      <c r="T240" s="227" t="str">
        <f t="shared" si="77"/>
        <v>0.0381573881400275-0.35855166408577i</v>
      </c>
      <c r="U240" s="227" t="str">
        <f t="shared" si="78"/>
        <v>-3.6093807361151-35.7385679974601i</v>
      </c>
      <c r="V240" s="227">
        <f t="shared" si="90"/>
        <v>31.106815662590755</v>
      </c>
      <c r="W240" s="227">
        <f t="shared" si="91"/>
        <v>-95.766975376210553</v>
      </c>
      <c r="X240" s="227" t="str">
        <f t="shared" si="79"/>
        <v>0.99997155569694-0.00144100922068456i</v>
      </c>
      <c r="Y240" s="227" t="str">
        <f t="shared" si="80"/>
        <v>643.384590296779-111.504649322479i</v>
      </c>
      <c r="Z240" s="227" t="str">
        <f t="shared" si="81"/>
        <v>118.012437787779-20.6278879403596i</v>
      </c>
      <c r="AA240" s="227" t="str">
        <f t="shared" si="82"/>
        <v>0.151131627331093-2.12600583636892i</v>
      </c>
      <c r="AB240" s="227">
        <f t="shared" si="92"/>
        <v>6.5731803257141808</v>
      </c>
      <c r="AC240" s="227">
        <f t="shared" si="93"/>
        <v>-85.933848234596439</v>
      </c>
      <c r="AD240" s="229">
        <f t="shared" si="94"/>
        <v>2.5450652479976239</v>
      </c>
      <c r="AE240" s="229">
        <f t="shared" si="95"/>
        <v>157.72133069431561</v>
      </c>
      <c r="AF240" s="227">
        <f t="shared" si="83"/>
        <v>9.1182455737118051</v>
      </c>
      <c r="AG240" s="227">
        <f t="shared" si="84"/>
        <v>71.787482459719172</v>
      </c>
      <c r="AH240" s="229" t="str">
        <f t="shared" si="85"/>
        <v>1.24039419352741-0.508183352749276i</v>
      </c>
    </row>
    <row r="241" spans="9:34" x14ac:dyDescent="0.2">
      <c r="I241" s="227">
        <v>237</v>
      </c>
      <c r="J241" s="227">
        <f t="shared" si="73"/>
        <v>3.3107790388476661</v>
      </c>
      <c r="K241" s="227">
        <f t="shared" si="96"/>
        <v>2045.4037076506031</v>
      </c>
      <c r="L241" s="227">
        <f t="shared" si="86"/>
        <v>12851.650523160919</v>
      </c>
      <c r="M241" s="227">
        <f t="shared" si="74"/>
        <v>4492.0021466566086</v>
      </c>
      <c r="N241" s="227">
        <f>SQRT((ABS(AC241)-171.5+'Small Signal'!C$59)^2)</f>
        <v>15.366451756863796</v>
      </c>
      <c r="O241" s="227">
        <f t="shared" si="87"/>
        <v>71.919897860209261</v>
      </c>
      <c r="P241" s="227">
        <f t="shared" si="88"/>
        <v>8.9062532346338514</v>
      </c>
      <c r="Q241" s="227">
        <f t="shared" si="89"/>
        <v>2045.4037076506031</v>
      </c>
      <c r="R241" s="227" t="str">
        <f t="shared" si="75"/>
        <v>0.0355+0.0167071456801092i</v>
      </c>
      <c r="S241" s="227" t="str">
        <f t="shared" si="76"/>
        <v>0.018-0.353686441851406i</v>
      </c>
      <c r="T241" s="227" t="str">
        <f t="shared" si="77"/>
        <v>0.0372727905535181-0.350640440507986i</v>
      </c>
      <c r="U241" s="227" t="str">
        <f t="shared" si="78"/>
        <v>-4.19938361374763-34.8347642115109i</v>
      </c>
      <c r="V241" s="227">
        <f t="shared" si="90"/>
        <v>30.902917863206962</v>
      </c>
      <c r="W241" s="227">
        <f t="shared" si="91"/>
        <v>-96.873922307785236</v>
      </c>
      <c r="X241" s="227" t="str">
        <f t="shared" si="79"/>
        <v>0.999970249412784-0.00147372646399081i</v>
      </c>
      <c r="Y241" s="227" t="str">
        <f t="shared" si="80"/>
        <v>640.537022511833-121.554138305114i</v>
      </c>
      <c r="Z241" s="227" t="str">
        <f t="shared" si="81"/>
        <v>117.486453705358-22.4747330127145i</v>
      </c>
      <c r="AA241" s="227" t="str">
        <f t="shared" si="82"/>
        <v>0.140604738485892-2.08041536766552i</v>
      </c>
      <c r="AB241" s="227">
        <f t="shared" si="92"/>
        <v>6.3827932662749784</v>
      </c>
      <c r="AC241" s="227">
        <f t="shared" si="93"/>
        <v>-86.133548243136204</v>
      </c>
      <c r="AD241" s="229">
        <f t="shared" si="94"/>
        <v>2.5234599683588721</v>
      </c>
      <c r="AE241" s="229">
        <f t="shared" si="95"/>
        <v>158.05344610334546</v>
      </c>
      <c r="AF241" s="227">
        <f t="shared" si="83"/>
        <v>8.9062532346338514</v>
      </c>
      <c r="AG241" s="227">
        <f t="shared" si="84"/>
        <v>71.919897860209261</v>
      </c>
      <c r="AH241" s="229" t="str">
        <f t="shared" si="85"/>
        <v>1.24023023902711-0.499740300418868i</v>
      </c>
    </row>
    <row r="242" spans="9:34" x14ac:dyDescent="0.2">
      <c r="I242" s="227">
        <v>238</v>
      </c>
      <c r="J242" s="227">
        <f t="shared" si="73"/>
        <v>3.3205291613744494</v>
      </c>
      <c r="K242" s="227">
        <f t="shared" si="96"/>
        <v>2091.8433624440217</v>
      </c>
      <c r="L242" s="227">
        <f t="shared" si="86"/>
        <v>13143.43947982942</v>
      </c>
      <c r="M242" s="227">
        <f t="shared" si="74"/>
        <v>4444.5081075725629</v>
      </c>
      <c r="N242" s="227">
        <f>SQRT((ABS(AC242)-171.5+'Small Signal'!C$59)^2)</f>
        <v>15.168645308355465</v>
      </c>
      <c r="O242" s="227">
        <f t="shared" si="87"/>
        <v>72.045727181305963</v>
      </c>
      <c r="P242" s="227">
        <f t="shared" si="88"/>
        <v>8.6950568242040056</v>
      </c>
      <c r="Q242" s="227">
        <f t="shared" si="89"/>
        <v>2091.8433624440217</v>
      </c>
      <c r="R242" s="227" t="str">
        <f t="shared" si="75"/>
        <v>0.0355+0.0170864713237782i</v>
      </c>
      <c r="S242" s="227" t="str">
        <f t="shared" si="76"/>
        <v>0.018-0.345834479051715i</v>
      </c>
      <c r="T242" s="227" t="str">
        <f t="shared" si="77"/>
        <v>0.0364268036726888-0.342901686079669i</v>
      </c>
      <c r="U242" s="227" t="str">
        <f t="shared" si="78"/>
        <v>-4.75719406649828-33.929795247632i</v>
      </c>
      <c r="V242" s="227">
        <f t="shared" si="90"/>
        <v>30.696170073113155</v>
      </c>
      <c r="W242" s="227">
        <f t="shared" si="91"/>
        <v>-97.981241079573962</v>
      </c>
      <c r="X242" s="227" t="str">
        <f t="shared" si="79"/>
        <v>0.999968883138468-0.00150718653252969i</v>
      </c>
      <c r="Y242" s="227" t="str">
        <f t="shared" si="80"/>
        <v>637.320416203547-131.523790238152i</v>
      </c>
      <c r="Z242" s="227" t="str">
        <f t="shared" si="81"/>
        <v>116.892640058218-24.3068748098693i</v>
      </c>
      <c r="AA242" s="227" t="str">
        <f t="shared" si="82"/>
        <v>0.130528729820497-2.0357710722925i</v>
      </c>
      <c r="AB242" s="227">
        <f t="shared" si="92"/>
        <v>6.1923963065992389</v>
      </c>
      <c r="AC242" s="227">
        <f t="shared" si="93"/>
        <v>-86.331354691644535</v>
      </c>
      <c r="AD242" s="229">
        <f t="shared" si="94"/>
        <v>2.5026605176047672</v>
      </c>
      <c r="AE242" s="229">
        <f t="shared" si="95"/>
        <v>158.3770818729505</v>
      </c>
      <c r="AF242" s="227">
        <f t="shared" si="83"/>
        <v>8.6950568242040056</v>
      </c>
      <c r="AG242" s="227">
        <f t="shared" si="84"/>
        <v>72.045727181305963</v>
      </c>
      <c r="AH242" s="229" t="str">
        <f t="shared" si="85"/>
        <v>1.24006018915754-0.491548428078625i</v>
      </c>
    </row>
    <row r="243" spans="9:34" x14ac:dyDescent="0.2">
      <c r="I243" s="227">
        <v>239</v>
      </c>
      <c r="J243" s="227">
        <f t="shared" si="73"/>
        <v>3.3302792839012327</v>
      </c>
      <c r="K243" s="227">
        <f t="shared" si="96"/>
        <v>2139.3374015280665</v>
      </c>
      <c r="L243" s="227">
        <f t="shared" si="86"/>
        <v>13441.853328380903</v>
      </c>
      <c r="M243" s="227">
        <f t="shared" si="74"/>
        <v>4395.9357450399229</v>
      </c>
      <c r="N243" s="227">
        <f>SQRT((ABS(AC243)-171.5+'Small Signal'!C$59)^2)</f>
        <v>14.972643042683202</v>
      </c>
      <c r="O243" s="227">
        <f t="shared" si="87"/>
        <v>72.164897594089538</v>
      </c>
      <c r="P243" s="227">
        <f t="shared" si="88"/>
        <v>8.4846352798045448</v>
      </c>
      <c r="Q243" s="227">
        <f t="shared" si="89"/>
        <v>2139.3374015280665</v>
      </c>
      <c r="R243" s="227" t="str">
        <f t="shared" si="75"/>
        <v>0.0355+0.0174744093268952i</v>
      </c>
      <c r="S243" s="227" t="str">
        <f t="shared" si="76"/>
        <v>0.018-0.33815683257437i</v>
      </c>
      <c r="T243" s="227" t="str">
        <f t="shared" si="77"/>
        <v>0.0356177518607198-0.335331776616287i</v>
      </c>
      <c r="U243" s="227" t="str">
        <f t="shared" si="78"/>
        <v>-5.28309303848184-33.0249129126451i</v>
      </c>
      <c r="V243" s="227">
        <f t="shared" si="90"/>
        <v>30.486577103562755</v>
      </c>
      <c r="W243" s="227">
        <f t="shared" si="91"/>
        <v>-99.088766250754929</v>
      </c>
      <c r="X243" s="227" t="str">
        <f t="shared" si="79"/>
        <v>0.999967454118986-0.00154140629169907i</v>
      </c>
      <c r="Y243" s="227" t="str">
        <f t="shared" si="80"/>
        <v>633.738478629675-141.398259562266i</v>
      </c>
      <c r="Z243" s="227" t="str">
        <f t="shared" si="81"/>
        <v>116.231678374782-26.1214924470396i</v>
      </c>
      <c r="AA243" s="227" t="str">
        <f t="shared" si="82"/>
        <v>0.120884747679844-1.99205696361806i</v>
      </c>
      <c r="AB243" s="227">
        <f t="shared" si="92"/>
        <v>6.0019984619999338</v>
      </c>
      <c r="AC243" s="227">
        <f t="shared" si="93"/>
        <v>-86.527356957316798</v>
      </c>
      <c r="AD243" s="229">
        <f t="shared" si="94"/>
        <v>2.4826368178046114</v>
      </c>
      <c r="AE243" s="229">
        <f t="shared" si="95"/>
        <v>158.69225455140634</v>
      </c>
      <c r="AF243" s="227">
        <f t="shared" si="83"/>
        <v>8.4846352798045448</v>
      </c>
      <c r="AG243" s="227">
        <f t="shared" si="84"/>
        <v>72.164897594089538</v>
      </c>
      <c r="AH243" s="229" t="str">
        <f t="shared" si="85"/>
        <v>1.23988370624808-0.48360355748361i</v>
      </c>
    </row>
    <row r="244" spans="9:34" x14ac:dyDescent="0.2">
      <c r="I244" s="227">
        <v>240</v>
      </c>
      <c r="J244" s="227">
        <f t="shared" si="73"/>
        <v>3.340029406428016</v>
      </c>
      <c r="K244" s="227">
        <f t="shared" si="96"/>
        <v>2187.9097640607069</v>
      </c>
      <c r="L244" s="227">
        <f t="shared" si="86"/>
        <v>13747.042482980989</v>
      </c>
      <c r="M244" s="227">
        <f t="shared" si="74"/>
        <v>4346.2605763766005</v>
      </c>
      <c r="N244" s="227">
        <f>SQRT((ABS(AC244)-171.5+'Small Signal'!C$59)^2)</f>
        <v>14.778356296912065</v>
      </c>
      <c r="O244" s="227">
        <f t="shared" si="87"/>
        <v>72.277340464222036</v>
      </c>
      <c r="P244" s="227">
        <f t="shared" si="88"/>
        <v>8.274968221325409</v>
      </c>
      <c r="Q244" s="227">
        <f t="shared" si="89"/>
        <v>2187.9097640607069</v>
      </c>
      <c r="R244" s="227" t="str">
        <f t="shared" si="75"/>
        <v>0.0355+0.0178711552278753i</v>
      </c>
      <c r="S244" s="227" t="str">
        <f t="shared" si="76"/>
        <v>0.018-0.330649632536007i</v>
      </c>
      <c r="T244" s="227" t="str">
        <f t="shared" si="77"/>
        <v>0.0348440313750029-0.327927155197916i</v>
      </c>
      <c r="U244" s="227" t="str">
        <f t="shared" si="78"/>
        <v>-5.77741729523729-32.1213383758629i</v>
      </c>
      <c r="V244" s="227">
        <f t="shared" si="90"/>
        <v>30.274144125867458</v>
      </c>
      <c r="W244" s="227">
        <f t="shared" si="91"/>
        <v>-100.19633064010108</v>
      </c>
      <c r="X244" s="227" t="str">
        <f t="shared" si="79"/>
        <v>0.999965959472813-0.00157640298981552i</v>
      </c>
      <c r="Y244" s="227" t="str">
        <f t="shared" si="80"/>
        <v>629.795685775529-151.162378218755i</v>
      </c>
      <c r="Z244" s="227" t="str">
        <f t="shared" si="81"/>
        <v>115.504391511025-27.9157976151759i</v>
      </c>
      <c r="AA244" s="227" t="str">
        <f t="shared" si="82"/>
        <v>0.111654686687647-1.94925711582488i</v>
      </c>
      <c r="AB244" s="227">
        <f t="shared" si="92"/>
        <v>5.8116087514754184</v>
      </c>
      <c r="AC244" s="227">
        <f t="shared" si="93"/>
        <v>-86.721643703087935</v>
      </c>
      <c r="AD244" s="229">
        <f t="shared" si="94"/>
        <v>2.463359469849991</v>
      </c>
      <c r="AE244" s="229">
        <f t="shared" si="95"/>
        <v>158.99898416730997</v>
      </c>
      <c r="AF244" s="227">
        <f t="shared" si="83"/>
        <v>8.274968221325409</v>
      </c>
      <c r="AG244" s="227">
        <f t="shared" si="84"/>
        <v>72.277340464222036</v>
      </c>
      <c r="AH244" s="229" t="str">
        <f t="shared" si="85"/>
        <v>1.23970044014423-0.475901631487846i</v>
      </c>
    </row>
    <row r="245" spans="9:34" x14ac:dyDescent="0.2">
      <c r="I245" s="227">
        <v>241</v>
      </c>
      <c r="J245" s="227">
        <f t="shared" si="73"/>
        <v>3.3497795289547994</v>
      </c>
      <c r="K245" s="227">
        <f t="shared" si="96"/>
        <v>2237.5849327240294</v>
      </c>
      <c r="L245" s="227">
        <f t="shared" si="86"/>
        <v>14059.160772858044</v>
      </c>
      <c r="M245" s="227">
        <f t="shared" si="74"/>
        <v>4295.4575630360123</v>
      </c>
      <c r="N245" s="227">
        <f>SQRT((ABS(AC245)-171.5+'Small Signal'!C$59)^2)</f>
        <v>14.585697120931272</v>
      </c>
      <c r="O245" s="227">
        <f t="shared" si="87"/>
        <v>72.38299103443687</v>
      </c>
      <c r="P245" s="227">
        <f t="shared" si="88"/>
        <v>8.0660359695311641</v>
      </c>
      <c r="Q245" s="227">
        <f t="shared" si="89"/>
        <v>2237.5849327240294</v>
      </c>
      <c r="R245" s="227" t="str">
        <f t="shared" si="75"/>
        <v>0.0355+0.0182769090047155i</v>
      </c>
      <c r="S245" s="227" t="str">
        <f t="shared" si="76"/>
        <v>0.018-0.323309094966023i</v>
      </c>
      <c r="T245" s="227" t="str">
        <f t="shared" si="77"/>
        <v>0.0341041073533382-0.320684331520648i</v>
      </c>
      <c r="U245" s="227" t="str">
        <f t="shared" si="78"/>
        <v>-6.24055697869499-31.2202598611081i</v>
      </c>
      <c r="V245" s="227">
        <f t="shared" si="90"/>
        <v>30.058876721874157</v>
      </c>
      <c r="W245" s="227">
        <f t="shared" si="91"/>
        <v>-101.30376498332153</v>
      </c>
      <c r="X245" s="227" t="str">
        <f t="shared" si="79"/>
        <v>0.99996439618609-0.00161219426680819i</v>
      </c>
      <c r="Y245" s="227" t="str">
        <f t="shared" si="80"/>
        <v>625.497275377198-160.801196532302i</v>
      </c>
      <c r="Z245" s="227" t="str">
        <f t="shared" si="81"/>
        <v>114.711742373828-29.6870420991001i</v>
      </c>
      <c r="AA245" s="227" t="str">
        <f t="shared" si="82"/>
        <v>0.102821163437293-1.90735568076548i</v>
      </c>
      <c r="AB245" s="227">
        <f t="shared" si="92"/>
        <v>5.621236213823062</v>
      </c>
      <c r="AC245" s="227">
        <f t="shared" si="93"/>
        <v>-86.914302879068728</v>
      </c>
      <c r="AD245" s="229">
        <f t="shared" si="94"/>
        <v>2.4447997557081029</v>
      </c>
      <c r="AE245" s="229">
        <f t="shared" si="95"/>
        <v>159.2972939135056</v>
      </c>
      <c r="AF245" s="227">
        <f t="shared" si="83"/>
        <v>8.0660359695311641</v>
      </c>
      <c r="AG245" s="227">
        <f t="shared" si="84"/>
        <v>72.38299103443687</v>
      </c>
      <c r="AH245" s="229" t="str">
        <f t="shared" si="85"/>
        <v>1.2395100275469-0.468438711766935i</v>
      </c>
    </row>
    <row r="246" spans="9:34" x14ac:dyDescent="0.2">
      <c r="I246" s="227">
        <v>242</v>
      </c>
      <c r="J246" s="227">
        <f t="shared" si="73"/>
        <v>3.3595296514815827</v>
      </c>
      <c r="K246" s="227">
        <f t="shared" si="96"/>
        <v>2288.3879460646176</v>
      </c>
      <c r="L246" s="227">
        <f t="shared" si="86"/>
        <v>14378.365519840077</v>
      </c>
      <c r="M246" s="227">
        <f t="shared" si="74"/>
        <v>4243.5010979865147</v>
      </c>
      <c r="N246" s="227">
        <f>SQRT((ABS(AC246)-171.5+'Small Signal'!C$59)^2)</f>
        <v>14.394578275765483</v>
      </c>
      <c r="O246" s="227">
        <f t="shared" si="87"/>
        <v>72.481788115806538</v>
      </c>
      <c r="P246" s="227">
        <f t="shared" si="88"/>
        <v>7.8578195621606701</v>
      </c>
      <c r="Q246" s="227">
        <f t="shared" si="89"/>
        <v>2288.3879460646176</v>
      </c>
      <c r="R246" s="227" t="str">
        <f t="shared" si="75"/>
        <v>0.0355+0.0186918751757921i</v>
      </c>
      <c r="S246" s="227" t="str">
        <f t="shared" si="76"/>
        <v>0.018-0.316131519899287i</v>
      </c>
      <c r="T246" s="227" t="str">
        <f t="shared" si="77"/>
        <v>0.0333965109203509-0.313599881208921i</v>
      </c>
      <c r="U246" s="227" t="str">
        <f t="shared" si="78"/>
        <v>-6.67295310641297-30.3228305102986i</v>
      </c>
      <c r="V246" s="227">
        <f t="shared" si="90"/>
        <v>29.84078094101173</v>
      </c>
      <c r="W246" s="227">
        <f t="shared" si="91"/>
        <v>-102.41089762066981</v>
      </c>
      <c r="X246" s="227" t="str">
        <f t="shared" si="79"/>
        <v>0.999962761106548-0.00164879816311015i</v>
      </c>
      <c r="Y246" s="227" t="str">
        <f t="shared" si="80"/>
        <v>620.849237750675-170.300024266662i</v>
      </c>
      <c r="Z246" s="227" t="str">
        <f t="shared" si="81"/>
        <v>113.854832240635-31.4325253280048i</v>
      </c>
      <c r="AA246" s="227" t="str">
        <f t="shared" si="82"/>
        <v>0.0943674908062123-1.86633690341027i</v>
      </c>
      <c r="AB246" s="227">
        <f t="shared" si="92"/>
        <v>5.4308899238192403</v>
      </c>
      <c r="AC246" s="227">
        <f t="shared" si="93"/>
        <v>-87.105421724234517</v>
      </c>
      <c r="AD246" s="229">
        <f t="shared" si="94"/>
        <v>2.4269296383414298</v>
      </c>
      <c r="AE246" s="229">
        <f t="shared" si="95"/>
        <v>159.58720984004106</v>
      </c>
      <c r="AF246" s="227">
        <f t="shared" si="83"/>
        <v>7.8578195621606701</v>
      </c>
      <c r="AG246" s="227">
        <f t="shared" si="84"/>
        <v>72.481788115806538</v>
      </c>
      <c r="AH246" s="229" t="str">
        <f t="shared" si="85"/>
        <v>1.23931209132949-0.461210976584828i</v>
      </c>
    </row>
    <row r="247" spans="9:34" x14ac:dyDescent="0.2">
      <c r="I247" s="227">
        <v>243</v>
      </c>
      <c r="J247" s="227">
        <f t="shared" si="73"/>
        <v>3.369279774008366</v>
      </c>
      <c r="K247" s="227">
        <f t="shared" si="96"/>
        <v>2340.3444111141148</v>
      </c>
      <c r="L247" s="227">
        <f t="shared" si="86"/>
        <v>14704.817617652066</v>
      </c>
      <c r="M247" s="227">
        <f t="shared" si="74"/>
        <v>4190.3649928042851</v>
      </c>
      <c r="N247" s="227">
        <f>SQRT((ABS(AC247)-171.5+'Small Signal'!C$59)^2)</f>
        <v>14.204913231792105</v>
      </c>
      <c r="O247" s="227">
        <f t="shared" si="87"/>
        <v>72.573673788385904</v>
      </c>
      <c r="P247" s="227">
        <f t="shared" si="88"/>
        <v>7.6503007679373907</v>
      </c>
      <c r="Q247" s="227">
        <f t="shared" si="89"/>
        <v>2340.3444111141148</v>
      </c>
      <c r="R247" s="227" t="str">
        <f t="shared" si="75"/>
        <v>0.0355+0.0191162629029477i</v>
      </c>
      <c r="S247" s="227" t="str">
        <f t="shared" si="76"/>
        <v>0.018-0.309113289511191i</v>
      </c>
      <c r="T247" s="227" t="str">
        <f t="shared" si="77"/>
        <v>0.0327198364098706-0.306670445092972i</v>
      </c>
      <c r="U247" s="227" t="str">
        <f t="shared" si="78"/>
        <v>-7.0750950238758-29.4301664128866i</v>
      </c>
      <c r="V247" s="227">
        <f t="shared" si="90"/>
        <v>29.619863363410943</v>
      </c>
      <c r="W247" s="227">
        <f t="shared" si="91"/>
        <v>-103.51755421892446</v>
      </c>
      <c r="X247" s="227" t="str">
        <f t="shared" si="79"/>
        <v>0.999961050937155-0.00168623312875163i</v>
      </c>
      <c r="Y247" s="227" t="str">
        <f t="shared" si="80"/>
        <v>615.858304317391-179.64447175396i</v>
      </c>
      <c r="Z247" s="227" t="str">
        <f t="shared" si="81"/>
        <v>112.934898655233-33.1496019400147i</v>
      </c>
      <c r="AA247" s="227" t="str">
        <f t="shared" si="82"/>
        <v>0.086277652907986-1.82618513597218i</v>
      </c>
      <c r="AB247" s="227">
        <f t="shared" si="92"/>
        <v>5.2405790084807453</v>
      </c>
      <c r="AC247" s="227">
        <f t="shared" si="93"/>
        <v>-87.295086768207895</v>
      </c>
      <c r="AD247" s="229">
        <f t="shared" si="94"/>
        <v>2.4097217594566454</v>
      </c>
      <c r="AE247" s="229">
        <f t="shared" si="95"/>
        <v>159.8687605565938</v>
      </c>
      <c r="AF247" s="227">
        <f t="shared" si="83"/>
        <v>7.6503007679373907</v>
      </c>
      <c r="AG247" s="227">
        <f t="shared" si="84"/>
        <v>72.573673788385904</v>
      </c>
      <c r="AH247" s="229" t="str">
        <f t="shared" si="85"/>
        <v>1.2391062398317-0.454214718602583i</v>
      </c>
    </row>
    <row r="248" spans="9:34" x14ac:dyDescent="0.2">
      <c r="I248" s="227">
        <v>244</v>
      </c>
      <c r="J248" s="227">
        <f t="shared" si="73"/>
        <v>3.3790298965351493</v>
      </c>
      <c r="K248" s="227">
        <f t="shared" si="96"/>
        <v>2393.4805162963448</v>
      </c>
      <c r="L248" s="227">
        <f t="shared" si="86"/>
        <v>15038.681613013803</v>
      </c>
      <c r="M248" s="227">
        <f t="shared" si="74"/>
        <v>4136.0224644731634</v>
      </c>
      <c r="N248" s="227">
        <f>SQRT((ABS(AC248)-171.5+'Small Signal'!C$59)^2)</f>
        <v>14.016616167022789</v>
      </c>
      <c r="O248" s="227">
        <f t="shared" si="87"/>
        <v>72.658593111741538</v>
      </c>
      <c r="P248" s="227">
        <f t="shared" si="88"/>
        <v>7.4434620986667905</v>
      </c>
      <c r="Q248" s="227">
        <f t="shared" si="89"/>
        <v>2393.4805162963448</v>
      </c>
      <c r="R248" s="227" t="str">
        <f t="shared" si="75"/>
        <v>0.0355+0.0195502860969179i</v>
      </c>
      <c r="S248" s="227" t="str">
        <f t="shared" si="76"/>
        <v>0.018-0.302250866294098i</v>
      </c>
      <c r="T248" s="227" t="str">
        <f t="shared" si="77"/>
        <v>0.0320727386991134-0.299892728455282i</v>
      </c>
      <c r="U248" s="227" t="str">
        <f t="shared" si="78"/>
        <v>-7.44751781726793-28.5433447956055i</v>
      </c>
      <c r="V248" s="227">
        <f t="shared" si="90"/>
        <v>29.396131168537224</v>
      </c>
      <c r="W248" s="227">
        <f t="shared" si="91"/>
        <v>-104.62355753148061</v>
      </c>
      <c r="X248" s="227" t="str">
        <f t="shared" si="79"/>
        <v>0.999959262229462-0.00172451803265962i</v>
      </c>
      <c r="Y248" s="227" t="str">
        <f t="shared" si="80"/>
        <v>610.531933717536-188.820490975249i</v>
      </c>
      <c r="Z248" s="227" t="str">
        <f t="shared" si="81"/>
        <v>111.953312879636-34.8356893382717i</v>
      </c>
      <c r="AA248" s="227" t="str">
        <f t="shared" si="82"/>
        <v>0.0785362806927876-1.78688485078851i</v>
      </c>
      <c r="AB248" s="227">
        <f t="shared" si="92"/>
        <v>5.050312663425613</v>
      </c>
      <c r="AC248" s="227">
        <f t="shared" si="93"/>
        <v>-87.483383832977211</v>
      </c>
      <c r="AD248" s="229">
        <f t="shared" si="94"/>
        <v>2.3931494352411775</v>
      </c>
      <c r="AE248" s="229">
        <f t="shared" si="95"/>
        <v>160.14197694471875</v>
      </c>
      <c r="AF248" s="227">
        <f t="shared" si="83"/>
        <v>7.4434620986667905</v>
      </c>
      <c r="AG248" s="227">
        <f t="shared" si="84"/>
        <v>72.658593111741538</v>
      </c>
      <c r="AH248" s="229" t="str">
        <f t="shared" si="85"/>
        <v>1.238892066129-0.447446342726838i</v>
      </c>
    </row>
    <row r="249" spans="9:34" x14ac:dyDescent="0.2">
      <c r="I249" s="227">
        <v>245</v>
      </c>
      <c r="J249" s="227">
        <f t="shared" si="73"/>
        <v>3.388780019061933</v>
      </c>
      <c r="K249" s="227">
        <f t="shared" si="96"/>
        <v>2447.8230446274665</v>
      </c>
      <c r="L249" s="227">
        <f t="shared" si="86"/>
        <v>15380.125788578898</v>
      </c>
      <c r="M249" s="227">
        <f t="shared" si="74"/>
        <v>4080.4461218848119</v>
      </c>
      <c r="N249" s="227">
        <f>SQRT((ABS(AC249)-171.5+'Small Signal'!C$59)^2)</f>
        <v>13.829601965611573</v>
      </c>
      <c r="O249" s="227">
        <f t="shared" si="87"/>
        <v>72.736493845796929</v>
      </c>
      <c r="P249" s="227">
        <f t="shared" si="88"/>
        <v>7.237286819593554</v>
      </c>
      <c r="Q249" s="227">
        <f t="shared" si="89"/>
        <v>2447.8230446274665</v>
      </c>
      <c r="R249" s="227" t="str">
        <f t="shared" si="75"/>
        <v>0.0355+0.0199941635251526i</v>
      </c>
      <c r="S249" s="227" t="str">
        <f t="shared" si="76"/>
        <v>0.018-0.295540791274278i</v>
      </c>
      <c r="T249" s="227" t="str">
        <f t="shared" si="77"/>
        <v>0.0314539306506145-0.293263500249643i</v>
      </c>
      <c r="U249" s="227" t="str">
        <f t="shared" si="78"/>
        <v>-7.79079969292165-27.6634023673477i</v>
      </c>
      <c r="V249" s="227">
        <f t="shared" si="90"/>
        <v>29.169592208721802</v>
      </c>
      <c r="W249" s="227">
        <f t="shared" si="91"/>
        <v>-105.7287271998985</v>
      </c>
      <c r="X249" s="227" t="str">
        <f t="shared" si="79"/>
        <v>0.999957391376656-0.00176367217216871i</v>
      </c>
      <c r="Y249" s="227" t="str">
        <f t="shared" si="80"/>
        <v>604.878295407674-197.814416446464i</v>
      </c>
      <c r="Z249" s="227" t="str">
        <f t="shared" si="81"/>
        <v>110.911576882998-36.4882752116802i</v>
      </c>
      <c r="AA249" s="227" t="str">
        <f t="shared" si="82"/>
        <v>0.0711286282035563-1.74842065203684i</v>
      </c>
      <c r="AB249" s="227">
        <f t="shared" si="92"/>
        <v>4.8601001693518011</v>
      </c>
      <c r="AC249" s="227">
        <f t="shared" si="93"/>
        <v>-87.670398034388427</v>
      </c>
      <c r="AD249" s="229">
        <f t="shared" si="94"/>
        <v>2.3771866502417529</v>
      </c>
      <c r="AE249" s="229">
        <f t="shared" si="95"/>
        <v>160.40689188018536</v>
      </c>
      <c r="AF249" s="227">
        <f t="shared" si="83"/>
        <v>7.237286819593554</v>
      </c>
      <c r="AG249" s="227">
        <f t="shared" si="84"/>
        <v>72.736493845796929</v>
      </c>
      <c r="AH249" s="229" t="str">
        <f t="shared" si="85"/>
        <v>1.23866914727675-0.44090236399578i</v>
      </c>
    </row>
    <row r="250" spans="9:34" x14ac:dyDescent="0.2">
      <c r="I250" s="227">
        <v>246</v>
      </c>
      <c r="J250" s="227">
        <f t="shared" si="73"/>
        <v>3.3985301415887164</v>
      </c>
      <c r="K250" s="227">
        <f t="shared" si="96"/>
        <v>2503.399387215818</v>
      </c>
      <c r="L250" s="227">
        <f t="shared" si="86"/>
        <v>15729.322247756807</v>
      </c>
      <c r="M250" s="227">
        <f t="shared" si="74"/>
        <v>4023.6079520323174</v>
      </c>
      <c r="N250" s="227">
        <f>SQRT((ABS(AC250)-171.5+'Small Signal'!C$59)^2)</f>
        <v>13.643786216743479</v>
      </c>
      <c r="O250" s="227">
        <f t="shared" si="87"/>
        <v>72.807326182342649</v>
      </c>
      <c r="P250" s="227">
        <f t="shared" si="88"/>
        <v>7.0317589581864759</v>
      </c>
      <c r="Q250" s="227">
        <f t="shared" si="89"/>
        <v>2503.399387215818</v>
      </c>
      <c r="R250" s="227" t="str">
        <f t="shared" si="75"/>
        <v>0.0355+0.0204481189220839i</v>
      </c>
      <c r="S250" s="227" t="str">
        <f t="shared" si="76"/>
        <v>0.018-0.288979682268432i</v>
      </c>
      <c r="T250" s="227" t="str">
        <f t="shared" si="77"/>
        <v>0.0308621806579682-0.286779592296248i</v>
      </c>
      <c r="U250" s="227" t="str">
        <f t="shared" si="78"/>
        <v>-8.1055593285999-26.7913338145194i</v>
      </c>
      <c r="V250" s="227">
        <f t="shared" si="90"/>
        <v>28.940255086926093</v>
      </c>
      <c r="W250" s="227">
        <f t="shared" si="91"/>
        <v>-106.83287959980831</v>
      </c>
      <c r="X250" s="227" t="str">
        <f t="shared" si="79"/>
        <v>0.99995543460628-0.00180371528274777i</v>
      </c>
      <c r="Y250" s="227" t="str">
        <f t="shared" si="80"/>
        <v>598.906250648423-206.613005740181i</v>
      </c>
      <c r="Z250" s="227" t="str">
        <f t="shared" si="81"/>
        <v>109.81131985021-38.1049249890782i</v>
      </c>
      <c r="AA250" s="227" t="str">
        <f t="shared" si="82"/>
        <v>0.064040549491987-1.71077728635795i</v>
      </c>
      <c r="AB250" s="227">
        <f t="shared" si="92"/>
        <v>4.6699509086515638</v>
      </c>
      <c r="AC250" s="227">
        <f t="shared" si="93"/>
        <v>-87.856213783256521</v>
      </c>
      <c r="AD250" s="229">
        <f t="shared" si="94"/>
        <v>2.3618080495349116</v>
      </c>
      <c r="AE250" s="229">
        <f t="shared" si="95"/>
        <v>160.66353996559917</v>
      </c>
      <c r="AF250" s="227">
        <f t="shared" si="83"/>
        <v>7.0317589581864759</v>
      </c>
      <c r="AG250" s="227">
        <f t="shared" si="84"/>
        <v>72.807326182342649</v>
      </c>
      <c r="AH250" s="229" t="str">
        <f t="shared" si="85"/>
        <v>1.23843704352816-0.434579405500331i</v>
      </c>
    </row>
    <row r="251" spans="9:34" x14ac:dyDescent="0.2">
      <c r="I251" s="227">
        <v>247</v>
      </c>
      <c r="J251" s="227">
        <f t="shared" si="73"/>
        <v>3.4082802641155001</v>
      </c>
      <c r="K251" s="227">
        <f t="shared" si="96"/>
        <v>2560.2375570683125</v>
      </c>
      <c r="L251" s="227">
        <f t="shared" si="86"/>
        <v>16086.447001460978</v>
      </c>
      <c r="M251" s="227">
        <f t="shared" si="74"/>
        <v>3965.4793058903956</v>
      </c>
      <c r="N251" s="227">
        <f>SQRT((ABS(AC251)-171.5+'Small Signal'!C$59)^2)</f>
        <v>13.459085214062114</v>
      </c>
      <c r="O251" s="227">
        <f t="shared" si="87"/>
        <v>72.871042487493654</v>
      </c>
      <c r="P251" s="227">
        <f t="shared" si="88"/>
        <v>6.8268633115073269</v>
      </c>
      <c r="Q251" s="227">
        <f t="shared" si="89"/>
        <v>2560.2375570683125</v>
      </c>
      <c r="R251" s="227" t="str">
        <f t="shared" si="75"/>
        <v>0.0355+0.0209123811018993i</v>
      </c>
      <c r="S251" s="227" t="str">
        <f t="shared" si="76"/>
        <v>0.018-0.282564232178909i</v>
      </c>
      <c r="T251" s="227" t="str">
        <f t="shared" si="77"/>
        <v>0.0302963102915307-0.280437898455849i</v>
      </c>
      <c r="U251" s="227" t="str">
        <f t="shared" si="78"/>
        <v>-8.39245320093931-25.928090442849i</v>
      </c>
      <c r="V251" s="227">
        <f t="shared" si="90"/>
        <v>28.708129238027382</v>
      </c>
      <c r="W251" s="227">
        <f t="shared" si="91"/>
        <v>-107.93582773361375</v>
      </c>
      <c r="X251" s="227" t="str">
        <f t="shared" si="79"/>
        <v>0.999953387972632-0.0018446675479476i</v>
      </c>
      <c r="Y251" s="227" t="str">
        <f t="shared" si="80"/>
        <v>592.625330801258-215.203479450686i</v>
      </c>
      <c r="Z251" s="227" t="str">
        <f t="shared" si="81"/>
        <v>108.654294195244-39.6832891913921i</v>
      </c>
      <c r="AA251" s="227" t="str">
        <f t="shared" si="82"/>
        <v>0.0572584761958964-1.67393965245477i</v>
      </c>
      <c r="AB251" s="227">
        <f t="shared" si="92"/>
        <v>4.4798743821778251</v>
      </c>
      <c r="AC251" s="227">
        <f t="shared" si="93"/>
        <v>-88.040914785937886</v>
      </c>
      <c r="AD251" s="229">
        <f t="shared" si="94"/>
        <v>2.3469889293295019</v>
      </c>
      <c r="AE251" s="229">
        <f t="shared" si="95"/>
        <v>160.91195727343154</v>
      </c>
      <c r="AF251" s="227">
        <f t="shared" si="83"/>
        <v>6.8268633115073269</v>
      </c>
      <c r="AG251" s="227">
        <f t="shared" si="84"/>
        <v>72.871042487493654</v>
      </c>
      <c r="AH251" s="229" t="str">
        <f t="shared" si="85"/>
        <v>1.23819529752466-0.428474196338065i</v>
      </c>
    </row>
    <row r="252" spans="9:34" x14ac:dyDescent="0.2">
      <c r="I252" s="227">
        <v>248</v>
      </c>
      <c r="J252" s="227">
        <f t="shared" si="73"/>
        <v>3.4180303866422834</v>
      </c>
      <c r="K252" s="227">
        <f t="shared" si="96"/>
        <v>2618.3662032102343</v>
      </c>
      <c r="L252" s="227">
        <f t="shared" si="86"/>
        <v>16451.680056826142</v>
      </c>
      <c r="M252" s="227">
        <f t="shared" si="74"/>
        <v>3906.0308839749441</v>
      </c>
      <c r="N252" s="227">
        <f>SQRT((ABS(AC252)-171.5+'Small Signal'!C$59)^2)</f>
        <v>13.275415955794443</v>
      </c>
      <c r="O252" s="227">
        <f t="shared" si="87"/>
        <v>72.927597055317619</v>
      </c>
      <c r="P252" s="227">
        <f t="shared" si="88"/>
        <v>6.6225854523234728</v>
      </c>
      <c r="Q252" s="227">
        <f t="shared" si="89"/>
        <v>2618.3662032102343</v>
      </c>
      <c r="R252" s="227" t="str">
        <f t="shared" si="75"/>
        <v>0.0355+0.021387184073874i</v>
      </c>
      <c r="S252" s="227" t="str">
        <f t="shared" si="76"/>
        <v>0.018-0.276291207326789i</v>
      </c>
      <c r="T252" s="227" t="str">
        <f t="shared" si="77"/>
        <v>0.0297551920403615-0.274235373785974i</v>
      </c>
      <c r="U252" s="227" t="str">
        <f t="shared" si="78"/>
        <v>-8.65217289274421-25.0745789623768i</v>
      </c>
      <c r="V252" s="227">
        <f t="shared" si="90"/>
        <v>28.473225012884619</v>
      </c>
      <c r="W252" s="227">
        <f t="shared" si="91"/>
        <v>-109.03738117191944</v>
      </c>
      <c r="X252" s="227" t="str">
        <f t="shared" si="79"/>
        <v>0.999951247348806-0.0018865496095743i</v>
      </c>
      <c r="Y252" s="227" t="str">
        <f t="shared" si="80"/>
        <v>586.045712871269-223.573560388171i</v>
      </c>
      <c r="Z252" s="227" t="str">
        <f t="shared" si="81"/>
        <v>107.442371067631-41.2211106423373i</v>
      </c>
      <c r="AA252" s="227" t="str">
        <f t="shared" si="82"/>
        <v>0.0507693957770995-1.63789280973361i</v>
      </c>
      <c r="AB252" s="227">
        <f t="shared" si="92"/>
        <v>4.2898802261825777</v>
      </c>
      <c r="AC252" s="227">
        <f t="shared" si="93"/>
        <v>-88.224584044205557</v>
      </c>
      <c r="AD252" s="229">
        <f t="shared" si="94"/>
        <v>2.3327052261408951</v>
      </c>
      <c r="AE252" s="229">
        <f t="shared" si="95"/>
        <v>161.15218109952318</v>
      </c>
      <c r="AF252" s="227">
        <f t="shared" si="83"/>
        <v>6.6225854523234728</v>
      </c>
      <c r="AG252" s="227">
        <f t="shared" si="84"/>
        <v>72.927597055317619</v>
      </c>
      <c r="AH252" s="229" t="str">
        <f t="shared" si="85"/>
        <v>1.23794343345817-0.422583569597547i</v>
      </c>
    </row>
    <row r="253" spans="9:34" x14ac:dyDescent="0.2">
      <c r="I253" s="227">
        <v>249</v>
      </c>
      <c r="J253" s="227">
        <f t="shared" si="73"/>
        <v>3.4277805091690667</v>
      </c>
      <c r="K253" s="227">
        <f t="shared" si="96"/>
        <v>2677.8146251256858</v>
      </c>
      <c r="L253" s="227">
        <f t="shared" si="86"/>
        <v>16825.205507940322</v>
      </c>
      <c r="M253" s="227">
        <f t="shared" si="74"/>
        <v>3845.2327215747969</v>
      </c>
      <c r="N253" s="227">
        <f>SQRT((ABS(AC253)-171.5+'Small Signal'!C$59)^2)</f>
        <v>13.092696145730187</v>
      </c>
      <c r="O253" s="227">
        <f t="shared" si="87"/>
        <v>72.976945872795639</v>
      </c>
      <c r="P253" s="227">
        <f t="shared" si="88"/>
        <v>6.4189117341054063</v>
      </c>
      <c r="Q253" s="227">
        <f t="shared" si="89"/>
        <v>2677.8146251256858</v>
      </c>
      <c r="R253" s="227" t="str">
        <f t="shared" si="75"/>
        <v>0.0355+0.0218727671603224i</v>
      </c>
      <c r="S253" s="227" t="str">
        <f t="shared" si="76"/>
        <v>0.018-0.270157445821949i</v>
      </c>
      <c r="T253" s="227" t="str">
        <f t="shared" si="77"/>
        <v>0.0292377471467765-0.268169033681787i</v>
      </c>
      <c r="U253" s="227" t="str">
        <f t="shared" si="78"/>
        <v>-8.8854423833983-24.2316604130922i</v>
      </c>
      <c r="V253" s="227">
        <f t="shared" si="90"/>
        <v>28.235553764405665</v>
      </c>
      <c r="W253" s="227">
        <f t="shared" si="91"/>
        <v>-110.13734604509565</v>
      </c>
      <c r="X253" s="227" t="str">
        <f t="shared" si="79"/>
        <v>0.999949008418371-0.00192938257809372i</v>
      </c>
      <c r="Y253" s="227" t="str">
        <f t="shared" si="80"/>
        <v>579.178192253965-231.711511768279i</v>
      </c>
      <c r="Z253" s="227" t="str">
        <f t="shared" si="81"/>
        <v>106.177535344334-42.7162314946277i</v>
      </c>
      <c r="AA253" s="227" t="str">
        <f t="shared" si="82"/>
        <v>0.0445608304167395-1.60262198604971i</v>
      </c>
      <c r="AB253" s="227">
        <f t="shared" si="92"/>
        <v>4.0999782294431899</v>
      </c>
      <c r="AC253" s="227">
        <f t="shared" si="93"/>
        <v>-88.407303854269813</v>
      </c>
      <c r="AD253" s="229">
        <f t="shared" si="94"/>
        <v>2.3189335046622164</v>
      </c>
      <c r="AE253" s="229">
        <f t="shared" si="95"/>
        <v>161.38424972706545</v>
      </c>
      <c r="AF253" s="227">
        <f t="shared" si="83"/>
        <v>6.4189117341054063</v>
      </c>
      <c r="AG253" s="227">
        <f t="shared" si="84"/>
        <v>72.976945872795639</v>
      </c>
      <c r="AH253" s="229" t="str">
        <f t="shared" si="85"/>
        <v>1.23768095620358-0.416904460370444i</v>
      </c>
    </row>
    <row r="254" spans="9:34" x14ac:dyDescent="0.2">
      <c r="I254" s="227">
        <v>250</v>
      </c>
      <c r="J254" s="227">
        <f t="shared" si="73"/>
        <v>3.43753063169585</v>
      </c>
      <c r="K254" s="227">
        <f>10^(J254)</f>
        <v>2738.612787525833</v>
      </c>
      <c r="L254" s="227">
        <f t="shared" si="86"/>
        <v>17207.211628636443</v>
      </c>
      <c r="M254" s="227">
        <f t="shared" si="74"/>
        <v>3783.0541736481273</v>
      </c>
      <c r="N254" s="227">
        <f>SQRT((ABS(AC254)-171.5+'Small Signal'!C$59)^2)</f>
        <v>12.910844195214196</v>
      </c>
      <c r="O254" s="227">
        <f t="shared" si="87"/>
        <v>73.019046396238451</v>
      </c>
      <c r="P254" s="227">
        <f t="shared" si="88"/>
        <v>6.2158292950556149</v>
      </c>
      <c r="Q254" s="227">
        <f t="shared" si="89"/>
        <v>2738.612787525833</v>
      </c>
      <c r="R254" s="227" t="str">
        <f t="shared" si="75"/>
        <v>0.0355+0.0223693751172274i</v>
      </c>
      <c r="S254" s="227" t="str">
        <f t="shared" si="76"/>
        <v>0.018-0.264159855969339i</v>
      </c>
      <c r="T254" s="227" t="str">
        <f t="shared" si="77"/>
        <v>0.0287429435300036-0.262235953004168i</v>
      </c>
      <c r="U254" s="227" t="str">
        <f t="shared" si="78"/>
        <v>-9.09301532544879-23.4001492294887i</v>
      </c>
      <c r="V254" s="227">
        <f t="shared" si="90"/>
        <v>27.995127934826073</v>
      </c>
      <c r="W254" s="227">
        <f t="shared" si="91"/>
        <v>-111.23552508584454</v>
      </c>
      <c r="X254" s="227" t="str">
        <f t="shared" si="79"/>
        <v>0.999946666666667-0.00197318804327204i</v>
      </c>
      <c r="Y254" s="227" t="str">
        <f t="shared" si="80"/>
        <v>572.034152669877-239.606174146425i</v>
      </c>
      <c r="Z254" s="227" t="str">
        <f t="shared" si="81"/>
        <v>104.861880104011-44.1666000255624i</v>
      </c>
      <c r="AA254" s="227" t="str">
        <f t="shared" si="82"/>
        <v>0.0386208165631438-1.56811258461644i</v>
      </c>
      <c r="AB254" s="227">
        <f t="shared" si="92"/>
        <v>3.9101783505952841</v>
      </c>
      <c r="AC254" s="227">
        <f t="shared" si="93"/>
        <v>-88.589155804785804</v>
      </c>
      <c r="AD254" s="229">
        <f t="shared" si="94"/>
        <v>2.3056509444603308</v>
      </c>
      <c r="AE254" s="229">
        <f t="shared" si="95"/>
        <v>161.60820220102426</v>
      </c>
      <c r="AF254" s="227">
        <f t="shared" si="83"/>
        <v>6.2158292950556149</v>
      </c>
      <c r="AG254" s="227">
        <f t="shared" si="84"/>
        <v>73.019046396238451</v>
      </c>
      <c r="AH254" s="229" t="str">
        <f t="shared" si="85"/>
        <v>1.23740735042117-0.41143390378894i</v>
      </c>
    </row>
    <row r="255" spans="9:34" x14ac:dyDescent="0.2">
      <c r="I255" s="227">
        <v>251</v>
      </c>
      <c r="J255" s="227">
        <f t="shared" si="73"/>
        <v>3.4472807542226334</v>
      </c>
      <c r="K255" s="227">
        <f t="shared" ref="K255:K318" si="97">10^(J255)</f>
        <v>2800.7913354525026</v>
      </c>
      <c r="L255" s="227">
        <f t="shared" si="86"/>
        <v>17597.890967391057</v>
      </c>
      <c r="M255" s="227">
        <f t="shared" si="74"/>
        <v>3719.463899375954</v>
      </c>
      <c r="N255" s="227">
        <f>SQRT((ABS(AC255)-171.5+'Small Signal'!C$59)^2)</f>
        <v>12.729779226316197</v>
      </c>
      <c r="O255" s="227">
        <f t="shared" si="87"/>
        <v>73.053857339230689</v>
      </c>
      <c r="P255" s="227">
        <f t="shared" si="88"/>
        <v>6.0133260612953077</v>
      </c>
      <c r="Q255" s="227">
        <f t="shared" si="89"/>
        <v>2800.7913354525026</v>
      </c>
      <c r="R255" s="227" t="str">
        <f t="shared" si="75"/>
        <v>0.0355+0.0228772582576084i</v>
      </c>
      <c r="S255" s="227" t="str">
        <f t="shared" si="76"/>
        <v>0.018-0.25829541471062i</v>
      </c>
      <c r="T255" s="227" t="str">
        <f t="shared" si="77"/>
        <v>0.0282697937955305-0.256433265197222i</v>
      </c>
      <c r="U255" s="227" t="str">
        <f t="shared" si="78"/>
        <v>-9.27567231039147-22.5808124430281i</v>
      </c>
      <c r="V255" s="227">
        <f t="shared" si="90"/>
        <v>27.751961143390119</v>
      </c>
      <c r="W255" s="227">
        <f t="shared" si="91"/>
        <v>-112.3317177230752</v>
      </c>
      <c r="X255" s="227" t="str">
        <f t="shared" si="79"/>
        <v>0.9999442173717-0.00201798808505807i</v>
      </c>
      <c r="Y255" s="227" t="str">
        <f t="shared" si="80"/>
        <v>564.625533298708-247.247000832656i</v>
      </c>
      <c r="Z255" s="227" t="str">
        <f t="shared" si="81"/>
        <v>103.49760058584-45.5702771533513i</v>
      </c>
      <c r="AA255" s="227" t="str">
        <f t="shared" si="82"/>
        <v>0.0329378851257459-1.53435019013394i</v>
      </c>
      <c r="AB255" s="227">
        <f t="shared" si="92"/>
        <v>3.7204907356885459</v>
      </c>
      <c r="AC255" s="227">
        <f t="shared" si="93"/>
        <v>-88.770220773683803</v>
      </c>
      <c r="AD255" s="229">
        <f t="shared" si="94"/>
        <v>2.2928353256067613</v>
      </c>
      <c r="AE255" s="229">
        <f t="shared" si="95"/>
        <v>161.82407811291449</v>
      </c>
      <c r="AF255" s="227">
        <f t="shared" si="83"/>
        <v>6.0133260612953077</v>
      </c>
      <c r="AG255" s="227">
        <f t="shared" si="84"/>
        <v>73.053857339230689</v>
      </c>
      <c r="AH255" s="229" t="str">
        <f t="shared" si="85"/>
        <v>1.23712207962709-0.406169033085659i</v>
      </c>
    </row>
    <row r="256" spans="9:34" x14ac:dyDescent="0.2">
      <c r="I256" s="227">
        <v>252</v>
      </c>
      <c r="J256" s="227">
        <f t="shared" si="73"/>
        <v>3.4570308767494171</v>
      </c>
      <c r="K256" s="227">
        <f t="shared" si="97"/>
        <v>2864.3816097246759</v>
      </c>
      <c r="L256" s="227">
        <f t="shared" si="86"/>
        <v>17997.440444377495</v>
      </c>
      <c r="M256" s="227">
        <f t="shared" si="74"/>
        <v>3654.4298463649616</v>
      </c>
      <c r="N256" s="227">
        <f>SQRT((ABS(AC256)-171.5+'Small Signal'!C$59)^2)</f>
        <v>12.549421076331939</v>
      </c>
      <c r="O256" s="227">
        <f t="shared" si="87"/>
        <v>73.081338472142633</v>
      </c>
      <c r="P256" s="227">
        <f t="shared" si="88"/>
        <v>5.8113907493404513</v>
      </c>
      <c r="Q256" s="227">
        <f t="shared" si="89"/>
        <v>2864.3816097246759</v>
      </c>
      <c r="R256" s="227" t="str">
        <f t="shared" si="75"/>
        <v>0.0355+0.0233966725776907i</v>
      </c>
      <c r="S256" s="227" t="str">
        <f t="shared" si="76"/>
        <v>0.018-0.252561166100404i</v>
      </c>
      <c r="T256" s="227" t="str">
        <f t="shared" si="77"/>
        <v>0.0278173533268497-0.250758161397403i</v>
      </c>
      <c r="U256" s="227" t="str">
        <f t="shared" si="78"/>
        <v>-9.43421812685294-21.7743690222046i</v>
      </c>
      <c r="V256" s="227">
        <f t="shared" si="90"/>
        <v>27.506068273627914</v>
      </c>
      <c r="W256" s="227">
        <f t="shared" si="91"/>
        <v>-113.4257202268288</v>
      </c>
      <c r="X256" s="227" t="str">
        <f t="shared" si="79"/>
        <v>0.999941655594623-0.0020638052847125i</v>
      </c>
      <c r="Y256" s="227" t="str">
        <f t="shared" si="80"/>
        <v>556.964793156727-254.624091513189i</v>
      </c>
      <c r="Z256" s="227" t="str">
        <f t="shared" si="81"/>
        <v>102.086987640922-46.9254426237654i</v>
      </c>
      <c r="AA256" s="227" t="str">
        <f t="shared" si="82"/>
        <v>0.0275010423068202-1.50132057419015i</v>
      </c>
      <c r="AB256" s="227">
        <f t="shared" si="92"/>
        <v>3.5309257359826796</v>
      </c>
      <c r="AC256" s="227">
        <f t="shared" si="93"/>
        <v>-88.950578923668061</v>
      </c>
      <c r="AD256" s="229">
        <f t="shared" si="94"/>
        <v>2.2804650133577717</v>
      </c>
      <c r="AE256" s="229">
        <f t="shared" si="95"/>
        <v>162.03191739581069</v>
      </c>
      <c r="AF256" s="227">
        <f t="shared" si="83"/>
        <v>5.8113907493404513</v>
      </c>
      <c r="AG256" s="227">
        <f t="shared" si="84"/>
        <v>73.081338472142633</v>
      </c>
      <c r="AH256" s="229" t="str">
        <f t="shared" si="85"/>
        <v>1.23682458523172-0.401107077673426i</v>
      </c>
    </row>
    <row r="257" spans="9:34" x14ac:dyDescent="0.2">
      <c r="I257" s="227">
        <v>253</v>
      </c>
      <c r="J257" s="227">
        <f t="shared" si="73"/>
        <v>3.4667809992762004</v>
      </c>
      <c r="K257" s="227">
        <f t="shared" si="97"/>
        <v>2929.4156627356683</v>
      </c>
      <c r="L257" s="227">
        <f t="shared" si="86"/>
        <v>18406.0614507225</v>
      </c>
      <c r="M257" s="227">
        <f t="shared" si="74"/>
        <v>3587.9192344916032</v>
      </c>
      <c r="N257" s="227">
        <f>SQRT((ABS(AC257)-171.5+'Small Signal'!C$59)^2)</f>
        <v>12.369690303793732</v>
      </c>
      <c r="O257" s="227">
        <f t="shared" si="87"/>
        <v>73.101450433224841</v>
      </c>
      <c r="P257" s="227">
        <f t="shared" si="88"/>
        <v>5.610012867980319</v>
      </c>
      <c r="Q257" s="227">
        <f t="shared" si="89"/>
        <v>2929.4156627356683</v>
      </c>
      <c r="R257" s="227" t="str">
        <f t="shared" si="75"/>
        <v>0.0355+0.0239278798859393i</v>
      </c>
      <c r="S257" s="227" t="str">
        <f t="shared" si="76"/>
        <v>0.018-0.246954219816327i</v>
      </c>
      <c r="T257" s="227" t="str">
        <f t="shared" si="77"/>
        <v>0.0273847184564062-0.245207889536179i</v>
      </c>
      <c r="U257" s="227" t="str">
        <f t="shared" si="78"/>
        <v>-9.56947901469226-20.9814893504778i</v>
      </c>
      <c r="V257" s="227">
        <f t="shared" si="90"/>
        <v>27.257465559425572</v>
      </c>
      <c r="W257" s="227">
        <f t="shared" si="91"/>
        <v>-114.5173259034361</v>
      </c>
      <c r="X257" s="227" t="str">
        <f t="shared" si="79"/>
        <v>0.999938976169777-0.00211066273618988i</v>
      </c>
      <c r="Y257" s="227" t="str">
        <f t="shared" si="80"/>
        <v>549.064872794098-261.728223799572i</v>
      </c>
      <c r="Z257" s="227" t="str">
        <f t="shared" si="81"/>
        <v>100.632420690375-48.2304008157496i</v>
      </c>
      <c r="AA257" s="227" t="str">
        <f t="shared" si="82"/>
        <v>0.0222997510621514-1.46900969998429i</v>
      </c>
      <c r="AB257" s="227">
        <f t="shared" si="92"/>
        <v>3.3414939260003598</v>
      </c>
      <c r="AC257" s="227">
        <f t="shared" si="93"/>
        <v>-89.130309696206268</v>
      </c>
      <c r="AD257" s="229">
        <f t="shared" si="94"/>
        <v>2.2685189419799592</v>
      </c>
      <c r="AE257" s="229">
        <f t="shared" si="95"/>
        <v>162.23176012943111</v>
      </c>
      <c r="AF257" s="227">
        <f t="shared" si="83"/>
        <v>5.610012867980319</v>
      </c>
      <c r="AG257" s="227">
        <f t="shared" si="84"/>
        <v>73.101450433224841</v>
      </c>
      <c r="AH257" s="229" t="str">
        <f t="shared" si="85"/>
        <v>1.23651428554408-0.396245361241914i</v>
      </c>
    </row>
    <row r="258" spans="9:34" x14ac:dyDescent="0.2">
      <c r="I258" s="227">
        <v>254</v>
      </c>
      <c r="J258" s="227">
        <f t="shared" si="73"/>
        <v>3.4765311218029837</v>
      </c>
      <c r="K258" s="227">
        <f t="shared" si="97"/>
        <v>2995.9262746090267</v>
      </c>
      <c r="L258" s="227">
        <f t="shared" si="86"/>
        <v>18823.95995001671</v>
      </c>
      <c r="M258" s="227">
        <f t="shared" si="74"/>
        <v>3519.8985393794469</v>
      </c>
      <c r="N258" s="227">
        <f>SQRT((ABS(AC258)-171.5+'Small Signal'!C$59)^2)</f>
        <v>12.190508196141266</v>
      </c>
      <c r="O258" s="227">
        <f t="shared" si="87"/>
        <v>73.114154551259944</v>
      </c>
      <c r="P258" s="227">
        <f t="shared" si="88"/>
        <v>5.4091827196726205</v>
      </c>
      <c r="Q258" s="227">
        <f t="shared" si="89"/>
        <v>2995.9262746090267</v>
      </c>
      <c r="R258" s="227" t="str">
        <f t="shared" si="75"/>
        <v>0.0355+0.0244711479350217i</v>
      </c>
      <c r="S258" s="227" t="str">
        <f t="shared" si="76"/>
        <v>0.018-0.241471749702193i</v>
      </c>
      <c r="T258" s="227" t="str">
        <f t="shared" si="77"/>
        <v>0.0269710247126592-0.239779753438051i</v>
      </c>
      <c r="U258" s="227" t="str">
        <f t="shared" si="78"/>
        <v>-9.68229991900667-20.2027948428142i</v>
      </c>
      <c r="V258" s="227">
        <f t="shared" si="90"/>
        <v>27.006170669100783</v>
      </c>
      <c r="W258" s="227">
        <f t="shared" si="91"/>
        <v>-115.60632533952199</v>
      </c>
      <c r="X258" s="227" t="str">
        <f t="shared" si="79"/>
        <v>0.999936173694273-0.00215858405777904i</v>
      </c>
      <c r="Y258" s="227" t="str">
        <f t="shared" si="80"/>
        <v>540.939153424386-268.550882425659i</v>
      </c>
      <c r="Z258" s="227" t="str">
        <f t="shared" si="81"/>
        <v>99.1363602107645-49.4835861144935i</v>
      </c>
      <c r="AA258" s="227" t="str">
        <f t="shared" si="82"/>
        <v>0.0173239131798349-1.43740372641982i</v>
      </c>
      <c r="AB258" s="227">
        <f t="shared" si="92"/>
        <v>3.1522061218523154</v>
      </c>
      <c r="AC258" s="227">
        <f t="shared" si="93"/>
        <v>-89.309491803858734</v>
      </c>
      <c r="AD258" s="229">
        <f t="shared" si="94"/>
        <v>2.2569765978203051</v>
      </c>
      <c r="AE258" s="229">
        <f t="shared" si="95"/>
        <v>162.42364635511868</v>
      </c>
      <c r="AF258" s="227">
        <f t="shared" si="83"/>
        <v>5.4091827196726205</v>
      </c>
      <c r="AG258" s="227">
        <f t="shared" si="84"/>
        <v>73.114154551259944</v>
      </c>
      <c r="AH258" s="229" t="str">
        <f t="shared" si="85"/>
        <v>1.23619057474194-0.391581299868275i</v>
      </c>
    </row>
    <row r="259" spans="9:34" x14ac:dyDescent="0.2">
      <c r="I259" s="227">
        <v>255</v>
      </c>
      <c r="J259" s="227">
        <f t="shared" si="73"/>
        <v>3.486281244329767</v>
      </c>
      <c r="K259" s="227">
        <f t="shared" si="97"/>
        <v>3063.946969721183</v>
      </c>
      <c r="L259" s="227">
        <f t="shared" si="86"/>
        <v>19251.346582129554</v>
      </c>
      <c r="M259" s="227">
        <f t="shared" si="74"/>
        <v>3450.3334755013534</v>
      </c>
      <c r="N259" s="227">
        <f>SQRT((ABS(AC259)-171.5+'Small Signal'!C$59)^2)</f>
        <v>12.011796779238281</v>
      </c>
      <c r="O259" s="227">
        <f t="shared" si="87"/>
        <v>73.119412679748237</v>
      </c>
      <c r="P259" s="227">
        <f t="shared" si="88"/>
        <v>5.208891401556528</v>
      </c>
      <c r="Q259" s="227">
        <f t="shared" si="89"/>
        <v>3063.946969721183</v>
      </c>
      <c r="R259" s="227" t="str">
        <f t="shared" si="75"/>
        <v>0.0355+0.0250267505567684i</v>
      </c>
      <c r="S259" s="227" t="str">
        <f t="shared" si="76"/>
        <v>0.018-0.236110992343463i</v>
      </c>
      <c r="T259" s="227" t="str">
        <f t="shared" si="77"/>
        <v>0.0265754451402711-0.234471111915569i</v>
      </c>
      <c r="U259" s="227" t="str">
        <f t="shared" si="78"/>
        <v>-9.77354174861041-19.438857701909i</v>
      </c>
      <c r="V259" s="227">
        <f t="shared" si="90"/>
        <v>26.75220278672192</v>
      </c>
      <c r="W259" s="227">
        <f t="shared" si="91"/>
        <v>-116.69250669293579</v>
      </c>
      <c r="X259" s="227" t="str">
        <f t="shared" si="79"/>
        <v>0.999933242517097-0.0022075934040078i</v>
      </c>
      <c r="Y259" s="227" t="str">
        <f t="shared" si="80"/>
        <v>532.601413633997-275.084285817379i</v>
      </c>
      <c r="Z259" s="227" t="str">
        <f t="shared" si="81"/>
        <v>97.6013397740584-50.6835678013405i</v>
      </c>
      <c r="AA259" s="227" t="str">
        <f t="shared" si="82"/>
        <v>0.0125638519663819-1.40648901161153i</v>
      </c>
      <c r="AB259" s="227">
        <f t="shared" si="92"/>
        <v>2.9630733998506562</v>
      </c>
      <c r="AC259" s="227">
        <f t="shared" si="93"/>
        <v>-89.488203220761719</v>
      </c>
      <c r="AD259" s="229">
        <f t="shared" si="94"/>
        <v>2.2458180017058722</v>
      </c>
      <c r="AE259" s="229">
        <f t="shared" si="95"/>
        <v>162.60761590050996</v>
      </c>
      <c r="AF259" s="227">
        <f t="shared" si="83"/>
        <v>5.208891401556528</v>
      </c>
      <c r="AG259" s="227">
        <f t="shared" si="84"/>
        <v>73.119412679748237</v>
      </c>
      <c r="AH259" s="229" t="str">
        <f t="shared" si="85"/>
        <v>1.23585282180624-0.387112400138616i</v>
      </c>
    </row>
    <row r="260" spans="9:34" x14ac:dyDescent="0.2">
      <c r="I260" s="227">
        <v>256</v>
      </c>
      <c r="J260" s="227">
        <f t="shared" ref="J260:J323" si="98">1+I260*(LOG(fsw)-1)/500</f>
        <v>3.4960313668565504</v>
      </c>
      <c r="K260" s="227">
        <f t="shared" si="97"/>
        <v>3133.5120335992765</v>
      </c>
      <c r="L260" s="227">
        <f t="shared" si="86"/>
        <v>19688.436769381398</v>
      </c>
      <c r="M260" s="227">
        <f t="shared" ref="M260:M323" si="99">SQRT((Fco_target-K261)^2)</f>
        <v>3379.1889788980302</v>
      </c>
      <c r="N260" s="227">
        <f>SQRT((ABS(AC260)-171.5+'Small Signal'!C$59)^2)</f>
        <v>11.833478828896858</v>
      </c>
      <c r="O260" s="227">
        <f t="shared" si="87"/>
        <v>73.117187042565206</v>
      </c>
      <c r="P260" s="227">
        <f t="shared" si="88"/>
        <v>5.0091308061795647</v>
      </c>
      <c r="Q260" s="227">
        <f t="shared" si="89"/>
        <v>3133.5120335992765</v>
      </c>
      <c r="R260" s="227" t="str">
        <f t="shared" ref="R260:R323" si="100">IMSUM(COMPLEX(DCRss,Lss*L260),COMPLEX(Rdsonss,0),COMPLEX(40/3*Risense,0))</f>
        <v>0.0355+0.0255949678001958i</v>
      </c>
      <c r="S260" s="227" t="str">
        <f t="shared" ref="S260:S323" si="101">IMSUM(COMPLEX(ESRss,0),IMDIV(COMPLEX(1,0),COMPLEX(0,L260*Cbulkss)))</f>
        <v>0.018-0.230869245674366i</v>
      </c>
      <c r="T260" s="227" t="str">
        <f t="shared" ref="T260:T323" si="102">IMDIV(IMPRODUCT(S260,COMPLEX(Ross,0)),IMSUM(S260,COMPLEX(Ross,0)))</f>
        <v>0.026197188690542-0.229279377862911i</v>
      </c>
      <c r="U260" s="227" t="str">
        <f t="shared" ref="U260:U323" si="103">IMPRODUCT(COMPLEX(Vinss,0),COMPLEX(M^2,0),IMDIV(IMSUB(COMPLEX(1,0),IMDIV(IMPRODUCT(R260,COMPLEX(M^2,0)),COMPLEX(Ross,0))),IMSUM(COMPLEX(1,0),IMDIV(IMPRODUCT(R260,COMPLEX(M^2,0)),T260))))</f>
        <v>-9.84407864421251-18.6902008153305i</v>
      </c>
      <c r="V260" s="227">
        <f t="shared" si="90"/>
        <v>26.495582689940541</v>
      </c>
      <c r="W260" s="227">
        <f t="shared" si="91"/>
        <v>-117.775656028152</v>
      </c>
      <c r="X260" s="227" t="str">
        <f t="shared" ref="X260:X323" si="104">IMSUM(COMPLEX(1,L260/(wn*q0)),IMPOWER(COMPLEX(0,L260/wn),2))</f>
        <v>0.999930176727718-0.00225771547781792i</v>
      </c>
      <c r="Y260" s="227" t="str">
        <f t="shared" ref="Y260:Y323" si="105">IMPRODUCT(COMPLEX(2*Ioutss*M^2,0),IMDIV(IMSUM(COMPLEX(1,0),IMDIV(COMPLEX(Ross,0),IMPRODUCT(COMPLEX(2,0),S260))),IMSUM(COMPLEX(1,0),IMDIV(IMPRODUCT(R260,COMPLEX(M^2,0)),T260))))</f>
        <v>524.065783855671-281.321409769755i</v>
      </c>
      <c r="Z260" s="227" t="str">
        <f t="shared" ref="Z260:Z323" si="106">IMPRODUCT(COMPLEX(Fm*40/3*Risense,0),Y260,X260)</f>
        <v>96.0299576759787-51.8290544116612i</v>
      </c>
      <c r="AA260" s="227" t="str">
        <f t="shared" ref="AA260:AA323" si="107">IMDIV(IMPRODUCT(COMPLEX(Fm,0),U260),IMSUM(COMPLEX(1,0),Z260))</f>
        <v>0.00801029552777642-1.37625211584857i</v>
      </c>
      <c r="AB260" s="227">
        <f t="shared" si="92"/>
        <v>2.7741071154242776</v>
      </c>
      <c r="AC260" s="227">
        <f t="shared" si="93"/>
        <v>-89.666521171103142</v>
      </c>
      <c r="AD260" s="229">
        <f t="shared" si="94"/>
        <v>2.2350236907552876</v>
      </c>
      <c r="AE260" s="229">
        <f t="shared" si="95"/>
        <v>162.78370821366835</v>
      </c>
      <c r="AF260" s="227">
        <f t="shared" ref="AF260:AF323" si="108">AD260+AB260</f>
        <v>5.0091308061795647</v>
      </c>
      <c r="AG260" s="227">
        <f t="shared" ref="AG260:AG323" si="109">AE260+AC260</f>
        <v>73.117187042565206</v>
      </c>
      <c r="AH260" s="229" t="str">
        <f t="shared" ref="AH260:AH323" si="110">IMDIV(IMPRODUCT(COMPLEX(gea*Rea*Rslss/(Rslss+Rshss),0),COMPLEX(1,L260*Ccompss*Rcompss),COMPLEX(1,k_3*L260*Cffss*Rshss)),IMPRODUCT(COMPLEX(1,L260*Rea*Ccompss),COMPLEX(1,L260*Rcompss*Chfss),COMPLEX(1,k_3*L260*Rffss*Cffss)))</f>
        <v>1.23550036941901-0.382836257277144i</v>
      </c>
    </row>
    <row r="261" spans="9:34" x14ac:dyDescent="0.2">
      <c r="I261" s="227">
        <v>257</v>
      </c>
      <c r="J261" s="227">
        <f t="shared" si="98"/>
        <v>3.5057814893833337</v>
      </c>
      <c r="K261" s="227">
        <f t="shared" si="97"/>
        <v>3204.6565302025997</v>
      </c>
      <c r="L261" s="227">
        <f t="shared" ref="L261:L324" si="111">2*PI()*K261</f>
        <v>20135.450825126089</v>
      </c>
      <c r="M261" s="227">
        <f t="shared" si="99"/>
        <v>3306.4291895041683</v>
      </c>
      <c r="N261" s="227">
        <f>SQRT((ABS(AC261)-171.5+'Small Signal'!C$59)^2)</f>
        <v>11.655477884591775</v>
      </c>
      <c r="O261" s="227">
        <f t="shared" ref="O261:O324" si="112">ABS(AG261)</f>
        <v>73.107440091034803</v>
      </c>
      <c r="P261" s="227">
        <f t="shared" ref="P261:P324" si="113">ABS(AF261)</f>
        <v>4.8098936220265074</v>
      </c>
      <c r="Q261" s="227">
        <f t="shared" ref="Q261:Q304" si="114">K261</f>
        <v>3204.6565302025997</v>
      </c>
      <c r="R261" s="227" t="str">
        <f t="shared" si="100"/>
        <v>0.0355+0.0261760860726639i</v>
      </c>
      <c r="S261" s="227" t="str">
        <f t="shared" si="101"/>
        <v>0.018-0.225743867615941i</v>
      </c>
      <c r="T261" s="227" t="str">
        <f t="shared" si="102"/>
        <v>0.0258354986792999-0.224202017349387i</v>
      </c>
      <c r="U261" s="227" t="str">
        <f t="shared" si="103"/>
        <v>-9.89479526223609-17.9572977948361i</v>
      </c>
      <c r="V261" s="227">
        <f t="shared" ref="V261:V324" si="115">20*LOG(IMABS(U261))</f>
        <v>26.236332823648652</v>
      </c>
      <c r="W261" s="227">
        <f t="shared" ref="W261:W324" si="116">IF(DEGREES(IMARGUMENT(U261))&gt;0,DEGREES(IMARGUMENT(U261))-360, DEGREES(IMARGUMENT(U261)))</f>
        <v>-118.85555769319487</v>
      </c>
      <c r="X261" s="227" t="str">
        <f t="shared" si="104"/>
        <v>0.999926970144167-0.00230897554301652i</v>
      </c>
      <c r="Y261" s="227" t="str">
        <f t="shared" si="105"/>
        <v>515.346698824869-287.256007980742i</v>
      </c>
      <c r="Z261" s="227" t="str">
        <f t="shared" si="106"/>
        <v>94.4248681930103-52.9188975145967i</v>
      </c>
      <c r="AA261" s="227" t="str">
        <f t="shared" si="107"/>
        <v>0.00365436063296788-1.34667980405299i</v>
      </c>
      <c r="AB261" s="227">
        <f t="shared" ref="AB261:AB324" si="117">20*LOG(IMABS(AA261))</f>
        <v>2.5853189223503792</v>
      </c>
      <c r="AC261" s="227">
        <f t="shared" ref="AC261:AC324" si="118">IF(DEGREES(IMARGUMENT(AA261))&gt;0,DEGREES(IMARGUMENT(AA261))-360, DEGREES(IMARGUMENT(AA261)))</f>
        <v>-89.844522115408225</v>
      </c>
      <c r="AD261" s="229">
        <f t="shared" ref="AD261:AD324" si="119">20*LOG(IMABS(AH261))</f>
        <v>2.2245746996761278</v>
      </c>
      <c r="AE261" s="229">
        <f t="shared" ref="AE261:AE324" si="120">180+DEGREES(IMARGUMENT(AH261))</f>
        <v>162.95196220644303</v>
      </c>
      <c r="AF261" s="227">
        <f t="shared" si="108"/>
        <v>4.8098936220265074</v>
      </c>
      <c r="AG261" s="227">
        <f t="shared" si="109"/>
        <v>73.107440091034803</v>
      </c>
      <c r="AH261" s="229" t="str">
        <f t="shared" si="110"/>
        <v>1.23513253282379-0.378750553279619i</v>
      </c>
    </row>
    <row r="262" spans="9:34" x14ac:dyDescent="0.2">
      <c r="I262" s="227">
        <v>258</v>
      </c>
      <c r="J262" s="227">
        <f t="shared" si="98"/>
        <v>3.515531611910117</v>
      </c>
      <c r="K262" s="227">
        <f t="shared" si="97"/>
        <v>3277.4163195964616</v>
      </c>
      <c r="L262" s="227">
        <f t="shared" si="111"/>
        <v>20592.614064799083</v>
      </c>
      <c r="M262" s="227">
        <f t="shared" si="99"/>
        <v>3232.0174330733566</v>
      </c>
      <c r="N262" s="227">
        <f>SQRT((ABS(AC262)-171.5+'Small Signal'!C$59)^2)</f>
        <v>11.477718265542819</v>
      </c>
      <c r="O262" s="227">
        <f t="shared" si="112"/>
        <v>73.090134372343982</v>
      </c>
      <c r="P262" s="227">
        <f t="shared" si="113"/>
        <v>4.6111733339320393</v>
      </c>
      <c r="Q262" s="227">
        <f t="shared" si="114"/>
        <v>3277.4163195964616</v>
      </c>
      <c r="R262" s="227" t="str">
        <f t="shared" si="100"/>
        <v>0.0355+0.0267703982842388i</v>
      </c>
      <c r="S262" s="227" t="str">
        <f t="shared" si="101"/>
        <v>0.018-0.220732274744299i</v>
      </c>
      <c r="T262" s="227" t="str">
        <f t="shared" si="102"/>
        <v>0.0254896513095617-0.219236548714165i</v>
      </c>
      <c r="U262" s="227" t="str">
        <f t="shared" si="103"/>
        <v>-9.92658408095093-17.2405731589445i</v>
      </c>
      <c r="V262" s="227">
        <f t="shared" si="115"/>
        <v>25.974477368820985</v>
      </c>
      <c r="W262" s="227">
        <f t="shared" si="116"/>
        <v>-119.93199473466998</v>
      </c>
      <c r="X262" s="227" t="str">
        <f t="shared" si="104"/>
        <v>0.999923616300573-0.00236139943701019i</v>
      </c>
      <c r="Y262" s="227" t="str">
        <f t="shared" si="105"/>
        <v>506.458848271796-292.882629211448i</v>
      </c>
      <c r="Z262" s="227" t="str">
        <f t="shared" si="106"/>
        <v>92.7887725145755-53.9520948722584i</v>
      </c>
      <c r="AA262" s="227" t="str">
        <f t="shared" si="107"/>
        <v>-0.000512462853471838-1.31775904777099i</v>
      </c>
      <c r="AB262" s="227">
        <f t="shared" si="117"/>
        <v>2.3967207923151017</v>
      </c>
      <c r="AC262" s="227">
        <f t="shared" si="118"/>
        <v>-90.022281734457181</v>
      </c>
      <c r="AD262" s="229">
        <f t="shared" si="119"/>
        <v>2.2144525416169376</v>
      </c>
      <c r="AE262" s="229">
        <f t="shared" si="120"/>
        <v>163.11241610680116</v>
      </c>
      <c r="AF262" s="227">
        <f t="shared" si="108"/>
        <v>4.6111733339320393</v>
      </c>
      <c r="AG262" s="227">
        <f t="shared" si="109"/>
        <v>73.090134372343982</v>
      </c>
      <c r="AH262" s="229" t="str">
        <f t="shared" si="110"/>
        <v>1.2347485986477-0.37485305504769i</v>
      </c>
    </row>
    <row r="263" spans="9:34" x14ac:dyDescent="0.2">
      <c r="I263" s="227">
        <v>259</v>
      </c>
      <c r="J263" s="227">
        <f t="shared" si="98"/>
        <v>3.5252817344369003</v>
      </c>
      <c r="K263" s="227">
        <f t="shared" si="97"/>
        <v>3351.8280760272733</v>
      </c>
      <c r="L263" s="227">
        <f t="shared" si="111"/>
        <v>21060.156919486584</v>
      </c>
      <c r="M263" s="227">
        <f t="shared" si="99"/>
        <v>3155.9162026925892</v>
      </c>
      <c r="N263" s="227">
        <f>SQRT((ABS(AC263)-171.5+'Small Signal'!C$59)^2)</f>
        <v>11.30012508935171</v>
      </c>
      <c r="O263" s="227">
        <f t="shared" si="112"/>
        <v>73.065232409229353</v>
      </c>
      <c r="P263" s="227">
        <f t="shared" si="113"/>
        <v>4.4129642234513984</v>
      </c>
      <c r="Q263" s="227">
        <f t="shared" si="114"/>
        <v>3351.8280760272733</v>
      </c>
      <c r="R263" s="227" t="str">
        <f t="shared" si="100"/>
        <v>0.0355+0.0273782039953326i</v>
      </c>
      <c r="S263" s="227" t="str">
        <f t="shared" si="101"/>
        <v>0.018-0.21583194098847i</v>
      </c>
      <c r="T263" s="227" t="str">
        <f t="shared" si="102"/>
        <v>0.0251589542563688-0.214380541663418i</v>
      </c>
      <c r="U263" s="227" t="str">
        <f t="shared" si="103"/>
        <v>-9.94034273631401-16.5404026595185i</v>
      </c>
      <c r="V263" s="227">
        <f t="shared" si="115"/>
        <v>25.710042305961395</v>
      </c>
      <c r="W263" s="227">
        <f t="shared" si="116"/>
        <v>-121.00474934706206</v>
      </c>
      <c r="X263" s="227" t="str">
        <f t="shared" si="104"/>
        <v>0.999920108434124-0.00241501358382822i</v>
      </c>
      <c r="Y263" s="227" t="str">
        <f t="shared" si="105"/>
        <v>497.417126132847-298.196630867382i</v>
      </c>
      <c r="Z263" s="227" t="str">
        <f t="shared" si="106"/>
        <v>91.1244094025825-54.9277929405876i</v>
      </c>
      <c r="AA263" s="227" t="str">
        <f t="shared" si="107"/>
        <v>-0.00449832698309392-1.2894770267319i</v>
      </c>
      <c r="AB263" s="227">
        <f t="shared" si="117"/>
        <v>2.2083250348152288</v>
      </c>
      <c r="AC263" s="227">
        <f t="shared" si="118"/>
        <v>-90.19987491064829</v>
      </c>
      <c r="AD263" s="229">
        <f t="shared" si="119"/>
        <v>2.20463918863617</v>
      </c>
      <c r="AE263" s="229">
        <f t="shared" si="120"/>
        <v>163.26510731987764</v>
      </c>
      <c r="AF263" s="227">
        <f t="shared" si="108"/>
        <v>4.4129642234513984</v>
      </c>
      <c r="AG263" s="227">
        <f t="shared" si="109"/>
        <v>73.065232409229353</v>
      </c>
      <c r="AH263" s="229" t="str">
        <f t="shared" si="110"/>
        <v>1.23434782368433-0.371141612520458i</v>
      </c>
    </row>
    <row r="264" spans="9:34" x14ac:dyDescent="0.2">
      <c r="I264" s="227">
        <v>260</v>
      </c>
      <c r="J264" s="227">
        <f t="shared" si="98"/>
        <v>3.5350318569636836</v>
      </c>
      <c r="K264" s="227">
        <f t="shared" si="97"/>
        <v>3427.9293064080407</v>
      </c>
      <c r="L264" s="227">
        <f t="shared" si="111"/>
        <v>21538.315052073311</v>
      </c>
      <c r="M264" s="227">
        <f t="shared" si="99"/>
        <v>3078.0871398770591</v>
      </c>
      <c r="N264" s="227">
        <f>SQRT((ABS(AC264)-171.5+'Small Signal'!C$59)^2)</f>
        <v>11.122624293379076</v>
      </c>
      <c r="O264" s="227">
        <f t="shared" si="112"/>
        <v>73.032696590855451</v>
      </c>
      <c r="P264" s="227">
        <f t="shared" si="113"/>
        <v>4.2152613692540584</v>
      </c>
      <c r="Q264" s="227">
        <f t="shared" si="114"/>
        <v>3427.9293064080407</v>
      </c>
      <c r="R264" s="227" t="str">
        <f t="shared" si="100"/>
        <v>0.0355+0.0279998095676953i</v>
      </c>
      <c r="S264" s="227" t="str">
        <f t="shared" si="101"/>
        <v>0.018-0.211040396357142i</v>
      </c>
      <c r="T264" s="227" t="str">
        <f t="shared" si="102"/>
        <v>0.0248427453112977-0.209631616370928i</v>
      </c>
      <c r="U264" s="227" t="str">
        <f t="shared" si="103"/>
        <v>-9.93697139558272-15.8571137526039i</v>
      </c>
      <c r="V264" s="227">
        <f t="shared" si="115"/>
        <v>25.4430554726307</v>
      </c>
      <c r="W264" s="227">
        <f t="shared" si="116"/>
        <v>-122.07360335208092</v>
      </c>
      <c r="X264" s="227" t="str">
        <f t="shared" si="104"/>
        <v>0.999916439471433-0.00246984500744151i</v>
      </c>
      <c r="Y264" s="227" t="str">
        <f t="shared" si="105"/>
        <v>488.236578593272-303.194188824901i</v>
      </c>
      <c r="Z264" s="227" t="str">
        <f t="shared" si="106"/>
        <v>89.4345456357195-55.8452886795094i</v>
      </c>
      <c r="AA264" s="227" t="str">
        <f t="shared" si="107"/>
        <v>-0.00831104019373362-1.26182113000757i</v>
      </c>
      <c r="AB264" s="227">
        <f t="shared" si="117"/>
        <v>2.0201443174103324</v>
      </c>
      <c r="AC264" s="227">
        <f t="shared" si="118"/>
        <v>-90.377375706620924</v>
      </c>
      <c r="AD264" s="229">
        <f t="shared" si="119"/>
        <v>2.195117051843726</v>
      </c>
      <c r="AE264" s="229">
        <f t="shared" si="120"/>
        <v>163.41007229747638</v>
      </c>
      <c r="AF264" s="227">
        <f t="shared" si="108"/>
        <v>4.2152613692540584</v>
      </c>
      <c r="AG264" s="227">
        <f t="shared" si="109"/>
        <v>73.032696590855451</v>
      </c>
      <c r="AH264" s="229" t="str">
        <f t="shared" si="110"/>
        <v>1.23392943363653-0.367614156799516i</v>
      </c>
    </row>
    <row r="265" spans="9:34" x14ac:dyDescent="0.2">
      <c r="I265" s="227">
        <v>261</v>
      </c>
      <c r="J265" s="227">
        <f t="shared" si="98"/>
        <v>3.5447819794904678</v>
      </c>
      <c r="K265" s="227">
        <f t="shared" si="97"/>
        <v>3505.7583692235708</v>
      </c>
      <c r="L265" s="227">
        <f t="shared" si="111"/>
        <v>22027.329476027408</v>
      </c>
      <c r="M265" s="227">
        <f t="shared" si="99"/>
        <v>2998.4910152357857</v>
      </c>
      <c r="N265" s="227">
        <f>SQRT((ABS(AC265)-171.5+'Small Signal'!C$59)^2)</f>
        <v>10.945142659053914</v>
      </c>
      <c r="O265" s="227">
        <f t="shared" si="112"/>
        <v>72.992489074812624</v>
      </c>
      <c r="P265" s="227">
        <f t="shared" si="113"/>
        <v>4.0180606476030931</v>
      </c>
      <c r="Q265" s="227">
        <f t="shared" si="114"/>
        <v>3505.7583692235708</v>
      </c>
      <c r="R265" s="227" t="str">
        <f t="shared" si="100"/>
        <v>0.0355+0.0286355283188356i</v>
      </c>
      <c r="S265" s="227" t="str">
        <f t="shared" si="101"/>
        <v>0.018-0.206355225693674i</v>
      </c>
      <c r="T265" s="227" t="str">
        <f t="shared" si="102"/>
        <v>0.0245403910842345-0.204987442583159i</v>
      </c>
      <c r="U265" s="227" t="str">
        <f t="shared" si="103"/>
        <v>-9.91737017737083-15.1909862131284i</v>
      </c>
      <c r="V265" s="227">
        <f t="shared" si="115"/>
        <v>25.173546614606433</v>
      </c>
      <c r="W265" s="227">
        <f t="shared" si="116"/>
        <v>-123.13833870350531</v>
      </c>
      <c r="X265" s="227" t="str">
        <f t="shared" si="104"/>
        <v>0.999912602014269-0.00252592134538391i</v>
      </c>
      <c r="Y265" s="227" t="str">
        <f t="shared" si="105"/>
        <v>478.93235129716-307.872303360641i</v>
      </c>
      <c r="Z265" s="227" t="str">
        <f t="shared" si="106"/>
        <v>87.721966300331-56.7040306462026i</v>
      </c>
      <c r="AA265" s="227" t="str">
        <f t="shared" si="107"/>
        <v>-0.0119580812522704-1.23477895680333i</v>
      </c>
      <c r="AB265" s="227">
        <f t="shared" si="117"/>
        <v>1.8321916863363477</v>
      </c>
      <c r="AC265" s="227">
        <f t="shared" si="118"/>
        <v>-90.554857340946086</v>
      </c>
      <c r="AD265" s="229">
        <f t="shared" si="119"/>
        <v>2.1858689612667455</v>
      </c>
      <c r="AE265" s="229">
        <f t="shared" si="120"/>
        <v>163.54734641575871</v>
      </c>
      <c r="AF265" s="227">
        <f t="shared" si="108"/>
        <v>4.0180606476030931</v>
      </c>
      <c r="AG265" s="227">
        <f t="shared" si="109"/>
        <v>72.992489074812624</v>
      </c>
      <c r="AH265" s="229" t="str">
        <f t="shared" si="110"/>
        <v>1.23349262181847-0.364268698263555i</v>
      </c>
    </row>
    <row r="266" spans="9:34" x14ac:dyDescent="0.2">
      <c r="I266" s="227">
        <v>262</v>
      </c>
      <c r="J266" s="227">
        <f t="shared" si="98"/>
        <v>3.5545321020172511</v>
      </c>
      <c r="K266" s="227">
        <f t="shared" si="97"/>
        <v>3585.3544938648442</v>
      </c>
      <c r="L266" s="227">
        <f t="shared" si="111"/>
        <v>22527.446676881893</v>
      </c>
      <c r="M266" s="227">
        <f t="shared" si="99"/>
        <v>2917.0877086981418</v>
      </c>
      <c r="N266" s="227">
        <f>SQRT((ABS(AC266)-171.5+'Small Signal'!C$59)^2)</f>
        <v>10.767607839314294</v>
      </c>
      <c r="O266" s="227">
        <f t="shared" si="112"/>
        <v>72.944571700169163</v>
      </c>
      <c r="P266" s="227">
        <f t="shared" si="113"/>
        <v>3.8213587329714391</v>
      </c>
      <c r="Q266" s="227">
        <f t="shared" si="114"/>
        <v>3585.3544938648442</v>
      </c>
      <c r="R266" s="227" t="str">
        <f t="shared" si="100"/>
        <v>0.0355+0.0292856806799465i</v>
      </c>
      <c r="S266" s="227" t="str">
        <f t="shared" si="101"/>
        <v>0.018-0.201774067458749i</v>
      </c>
      <c r="T266" s="227" t="str">
        <f t="shared" si="102"/>
        <v>0.0242512857600905-0.200445738729678i</v>
      </c>
      <c r="U266" s="227" t="str">
        <f t="shared" si="103"/>
        <v>-9.88243662731626-14.5422528922722i</v>
      </c>
      <c r="V266" s="227">
        <f t="shared" si="115"/>
        <v>24.901547430296198</v>
      </c>
      <c r="W266" s="227">
        <f t="shared" si="116"/>
        <v>-124.19873801269938</v>
      </c>
      <c r="X266" s="227" t="str">
        <f t="shared" si="104"/>
        <v>0.999908588324646-0.00258327086268272i</v>
      </c>
      <c r="Y266" s="227" t="str">
        <f t="shared" si="105"/>
        <v>469.519636080564-312.228801078971i</v>
      </c>
      <c r="Z266" s="227" t="str">
        <f t="shared" si="106"/>
        <v>85.989464993347-57.5036193521626i</v>
      </c>
      <c r="AA266" s="227" t="str">
        <f t="shared" si="107"/>
        <v>-0.0154466126842801-1.20833831690912i</v>
      </c>
      <c r="AB266" s="227">
        <f t="shared" si="117"/>
        <v>1.644480587485653</v>
      </c>
      <c r="AC266" s="227">
        <f t="shared" si="118"/>
        <v>-90.732392160685706</v>
      </c>
      <c r="AD266" s="229">
        <f t="shared" si="119"/>
        <v>2.176878145485786</v>
      </c>
      <c r="AE266" s="229">
        <f t="shared" si="120"/>
        <v>163.67696386085487</v>
      </c>
      <c r="AF266" s="227">
        <f t="shared" si="108"/>
        <v>3.8213587329714391</v>
      </c>
      <c r="AG266" s="227">
        <f t="shared" si="109"/>
        <v>72.944571700169163</v>
      </c>
      <c r="AH266" s="229" t="str">
        <f t="shared" si="110"/>
        <v>1.23303654781639-0.361103324668434i</v>
      </c>
    </row>
    <row r="267" spans="9:34" x14ac:dyDescent="0.2">
      <c r="I267" s="227">
        <v>263</v>
      </c>
      <c r="J267" s="227">
        <f t="shared" si="98"/>
        <v>3.5642822245440344</v>
      </c>
      <c r="K267" s="227">
        <f t="shared" si="97"/>
        <v>3666.7578004024881</v>
      </c>
      <c r="L267" s="227">
        <f t="shared" si="111"/>
        <v>23038.918736475051</v>
      </c>
      <c r="M267" s="227">
        <f t="shared" si="99"/>
        <v>2833.8361892915614</v>
      </c>
      <c r="N267" s="227">
        <f>SQRT((ABS(AC267)-171.5+'Small Signal'!C$59)^2)</f>
        <v>10.589948389379231</v>
      </c>
      <c r="O267" s="227">
        <f t="shared" si="112"/>
        <v>72.888905911512182</v>
      </c>
      <c r="P267" s="227">
        <f t="shared" si="113"/>
        <v>3.6251530988438718</v>
      </c>
      <c r="Q267" s="227">
        <f t="shared" si="114"/>
        <v>3666.7578004024881</v>
      </c>
      <c r="R267" s="227" t="str">
        <f t="shared" si="100"/>
        <v>0.0355+0.0299505943574176i</v>
      </c>
      <c r="S267" s="227" t="str">
        <f t="shared" si="101"/>
        <v>0.018-0.19729461254005i</v>
      </c>
      <c r="T267" s="227" t="str">
        <f t="shared" si="102"/>
        <v>0.0239748499082234-0.196004271039728i</v>
      </c>
      <c r="U267" s="227" t="str">
        <f t="shared" si="103"/>
        <v>-9.83306325890767-13.9111006154162i</v>
      </c>
      <c r="V267" s="227">
        <f t="shared" si="115"/>
        <v>24.627091608102528</v>
      </c>
      <c r="W267" s="227">
        <f t="shared" si="116"/>
        <v>-125.2545850897632</v>
      </c>
      <c r="X267" s="227" t="str">
        <f t="shared" si="104"/>
        <v>0.999904390309214-0.00264192246610564i</v>
      </c>
      <c r="Y267" s="227" t="str">
        <f t="shared" si="105"/>
        <v>460.013617598315-316.262332772272i</v>
      </c>
      <c r="Z267" s="227" t="str">
        <f t="shared" si="106"/>
        <v>84.23983400544-58.2438068720473i</v>
      </c>
      <c r="AA267" s="227" t="str">
        <f t="shared" si="107"/>
        <v>-0.0187834937050454-1.18248723083858i</v>
      </c>
      <c r="AB267" s="227">
        <f t="shared" si="117"/>
        <v>1.4570248877638656</v>
      </c>
      <c r="AC267" s="227">
        <f t="shared" si="118"/>
        <v>-90.910051610620769</v>
      </c>
      <c r="AD267" s="229">
        <f t="shared" si="119"/>
        <v>2.1681282110800062</v>
      </c>
      <c r="AE267" s="229">
        <f t="shared" si="120"/>
        <v>163.79895752213295</v>
      </c>
      <c r="AF267" s="227">
        <f t="shared" si="108"/>
        <v>3.6251530988438718</v>
      </c>
      <c r="AG267" s="227">
        <f t="shared" si="109"/>
        <v>72.888905911512182</v>
      </c>
      <c r="AH267" s="229" t="str">
        <f t="shared" si="110"/>
        <v>1.23256033610715-0.358116199228423i</v>
      </c>
    </row>
    <row r="268" spans="9:34" x14ac:dyDescent="0.2">
      <c r="I268" s="227">
        <v>264</v>
      </c>
      <c r="J268" s="227">
        <f t="shared" si="98"/>
        <v>3.5740323470708177</v>
      </c>
      <c r="K268" s="227">
        <f t="shared" si="97"/>
        <v>3750.0093198090685</v>
      </c>
      <c r="L268" s="227">
        <f t="shared" si="111"/>
        <v>23562.003460010852</v>
      </c>
      <c r="M268" s="227">
        <f t="shared" si="99"/>
        <v>2748.6944944600409</v>
      </c>
      <c r="N268" s="227">
        <f>SQRT((ABS(AC268)-171.5+'Small Signal'!C$59)^2)</f>
        <v>10.412093801051569</v>
      </c>
      <c r="O268" s="227">
        <f t="shared" si="112"/>
        <v>72.82545269392169</v>
      </c>
      <c r="P268" s="227">
        <f t="shared" si="113"/>
        <v>3.4294420187412866</v>
      </c>
      <c r="Q268" s="227">
        <f t="shared" si="114"/>
        <v>3750.0093198090685</v>
      </c>
      <c r="R268" s="227" t="str">
        <f t="shared" si="100"/>
        <v>0.0355+0.0306306044980141i</v>
      </c>
      <c r="S268" s="227" t="str">
        <f t="shared" si="101"/>
        <v>0.018-0.192914603088359i</v>
      </c>
      <c r="T268" s="227" t="str">
        <f t="shared" si="102"/>
        <v>0.0237105293424085-0.191660852665689i</v>
      </c>
      <c r="U268" s="227" t="str">
        <f t="shared" si="103"/>
        <v>-9.77013516925365-13.2976712175777i</v>
      </c>
      <c r="V268" s="227">
        <f t="shared" si="115"/>
        <v>24.350214856516899</v>
      </c>
      <c r="W268" s="227">
        <f t="shared" si="116"/>
        <v>-126.30566549512425</v>
      </c>
      <c r="X268" s="227" t="str">
        <f t="shared" si="104"/>
        <v>0.999899999502943-0.00270190571873103i</v>
      </c>
      <c r="Y268" s="227" t="str">
        <f t="shared" si="105"/>
        <v>450.42942022464-319.972367191028i</v>
      </c>
      <c r="Z268" s="227" t="str">
        <f t="shared" si="106"/>
        <v>82.4758545543507-58.9244957000623i</v>
      </c>
      <c r="AA268" s="227" t="str">
        <f t="shared" si="107"/>
        <v>-0.0219752926664898-1.15721392968072i</v>
      </c>
      <c r="AB268" s="227">
        <f t="shared" si="117"/>
        <v>1.269838896821355</v>
      </c>
      <c r="AC268" s="227">
        <f t="shared" si="118"/>
        <v>-91.087906198948431</v>
      </c>
      <c r="AD268" s="229">
        <f t="shared" si="119"/>
        <v>2.1596031219199316</v>
      </c>
      <c r="AE268" s="229">
        <f t="shared" si="120"/>
        <v>163.91335889287012</v>
      </c>
      <c r="AF268" s="227">
        <f t="shared" si="108"/>
        <v>3.4294420187412866</v>
      </c>
      <c r="AG268" s="227">
        <f t="shared" si="109"/>
        <v>72.82545269392169</v>
      </c>
      <c r="AH268" s="229" t="str">
        <f t="shared" si="110"/>
        <v>1.23206307463449-0.355305558674203i</v>
      </c>
    </row>
    <row r="269" spans="9:34" x14ac:dyDescent="0.2">
      <c r="I269" s="227">
        <v>265</v>
      </c>
      <c r="J269" s="227">
        <f t="shared" si="98"/>
        <v>3.5837824695976011</v>
      </c>
      <c r="K269" s="227">
        <f t="shared" si="97"/>
        <v>3835.151014640589</v>
      </c>
      <c r="L269" s="227">
        <f t="shared" si="111"/>
        <v>24096.964506004631</v>
      </c>
      <c r="M269" s="227">
        <f t="shared" si="99"/>
        <v>2661.6197089131274</v>
      </c>
      <c r="N269" s="227">
        <f>SQRT((ABS(AC269)-171.5+'Small Signal'!C$59)^2)</f>
        <v>10.233974540770319</v>
      </c>
      <c r="O269" s="227">
        <f t="shared" si="112"/>
        <v>72.754172518843362</v>
      </c>
      <c r="P269" s="227">
        <f t="shared" si="113"/>
        <v>3.2342245675065371</v>
      </c>
      <c r="Q269" s="227">
        <f t="shared" si="114"/>
        <v>3835.151014640589</v>
      </c>
      <c r="R269" s="227" t="str">
        <f t="shared" si="100"/>
        <v>0.0355+0.031326053857806i</v>
      </c>
      <c r="S269" s="227" t="str">
        <f t="shared" si="101"/>
        <v>0.018-0.188631831379503i</v>
      </c>
      <c r="T269" s="227" t="str">
        <f t="shared" si="102"/>
        <v>0.0234577940292895-0.187413342814109i</v>
      </c>
      <c r="U269" s="227" t="str">
        <f t="shared" si="103"/>
        <v>-9.69452773965853-12.7020627121851i</v>
      </c>
      <c r="V269" s="227">
        <f t="shared" si="115"/>
        <v>24.070954926803289</v>
      </c>
      <c r="W269" s="227">
        <f t="shared" si="116"/>
        <v>-127.3517670962754</v>
      </c>
      <c r="X269" s="227" t="str">
        <f t="shared" si="104"/>
        <v>0.999895407052053-0.00276325085484911i</v>
      </c>
      <c r="Y269" s="227" t="str">
        <f t="shared" si="105"/>
        <v>440.782055611472-323.359180743816i</v>
      </c>
      <c r="Z269" s="227" t="str">
        <f t="shared" si="106"/>
        <v>80.7002871390114-59.5457368575701i</v>
      </c>
      <c r="AA269" s="227" t="str">
        <f t="shared" si="107"/>
        <v>-0.0250282990342854-1.13250685468907i</v>
      </c>
      <c r="AB269" s="227">
        <f t="shared" si="117"/>
        <v>1.0829373891688683</v>
      </c>
      <c r="AC269" s="227">
        <f t="shared" si="118"/>
        <v>-91.266025459229681</v>
      </c>
      <c r="AD269" s="229">
        <f t="shared" si="119"/>
        <v>2.151287178337669</v>
      </c>
      <c r="AE269" s="229">
        <f t="shared" si="120"/>
        <v>164.02019797807304</v>
      </c>
      <c r="AF269" s="227">
        <f t="shared" si="108"/>
        <v>3.2342245675065371</v>
      </c>
      <c r="AG269" s="227">
        <f t="shared" si="109"/>
        <v>72.754172518843362</v>
      </c>
      <c r="AH269" s="229" t="str">
        <f t="shared" si="110"/>
        <v>1.23154381334238-0.352669711282941i</v>
      </c>
    </row>
    <row r="270" spans="9:34" x14ac:dyDescent="0.2">
      <c r="I270" s="227">
        <v>266</v>
      </c>
      <c r="J270" s="227">
        <f t="shared" si="98"/>
        <v>3.5935325921243844</v>
      </c>
      <c r="K270" s="227">
        <f t="shared" si="97"/>
        <v>3922.2258001875025</v>
      </c>
      <c r="L270" s="227">
        <f t="shared" si="111"/>
        <v>24644.071519178811</v>
      </c>
      <c r="M270" s="227">
        <f t="shared" si="99"/>
        <v>2572.5679429946208</v>
      </c>
      <c r="N270" s="227">
        <f>SQRT((ABS(AC270)-171.5+'Small Signal'!C$59)^2)</f>
        <v>10.055522091612445</v>
      </c>
      <c r="O270" s="227">
        <f t="shared" si="112"/>
        <v>72.675025300815648</v>
      </c>
      <c r="P270" s="227">
        <f t="shared" si="113"/>
        <v>3.0395006228725823</v>
      </c>
      <c r="Q270" s="227">
        <f t="shared" si="114"/>
        <v>3922.2258001875025</v>
      </c>
      <c r="R270" s="227" t="str">
        <f t="shared" si="100"/>
        <v>0.0355+0.0320372929749325i</v>
      </c>
      <c r="S270" s="227" t="str">
        <f t="shared" si="101"/>
        <v>0.018-0.184444138701558i</v>
      </c>
      <c r="T270" s="227" t="str">
        <f t="shared" si="102"/>
        <v>0.0232161370433135-0.183259645884861i</v>
      </c>
      <c r="U270" s="227" t="str">
        <f t="shared" si="103"/>
        <v>-9.60710443078004-12.124330587929i</v>
      </c>
      <c r="V270" s="227">
        <f t="shared" si="115"/>
        <v>23.789351628206671</v>
      </c>
      <c r="W270" s="227">
        <f t="shared" si="116"/>
        <v>-128.39268062435221</v>
      </c>
      <c r="X270" s="227" t="str">
        <f t="shared" si="104"/>
        <v>0.999890603696159-0.00282598879520133i</v>
      </c>
      <c r="Y270" s="227" t="str">
        <f t="shared" si="105"/>
        <v>431.086371286302-326.423843190971i</v>
      </c>
      <c r="Z270" s="227" t="str">
        <f t="shared" si="106"/>
        <v>78.9158620847271-60.1077272636439i</v>
      </c>
      <c r="AA270" s="227" t="str">
        <f t="shared" si="107"/>
        <v>-0.0279485349097639-1.10835465662974i</v>
      </c>
      <c r="AB270" s="227">
        <f t="shared" si="117"/>
        <v>0.89633562667042965</v>
      </c>
      <c r="AC270" s="227">
        <f t="shared" si="118"/>
        <v>-91.444477908387555</v>
      </c>
      <c r="AD270" s="229">
        <f t="shared" si="119"/>
        <v>2.1431649962021524</v>
      </c>
      <c r="AE270" s="229">
        <f t="shared" si="120"/>
        <v>164.1195032092032</v>
      </c>
      <c r="AF270" s="227">
        <f t="shared" si="108"/>
        <v>3.0395006228725823</v>
      </c>
      <c r="AG270" s="227">
        <f t="shared" si="109"/>
        <v>72.675025300815648</v>
      </c>
      <c r="AH270" s="229" t="str">
        <f t="shared" si="110"/>
        <v>1.23100156266524-0.350207034875584i</v>
      </c>
    </row>
    <row r="271" spans="9:34" x14ac:dyDescent="0.2">
      <c r="I271" s="227">
        <v>267</v>
      </c>
      <c r="J271" s="227">
        <f t="shared" si="98"/>
        <v>3.6032827146511677</v>
      </c>
      <c r="K271" s="227">
        <f t="shared" si="97"/>
        <v>4011.2775661060091</v>
      </c>
      <c r="L271" s="227">
        <f t="shared" si="111"/>
        <v>25203.600266376368</v>
      </c>
      <c r="M271" s="227">
        <f t="shared" si="99"/>
        <v>2481.4943105602051</v>
      </c>
      <c r="N271" s="227">
        <f>SQRT((ABS(AC271)-171.5+'Small Signal'!C$59)^2)</f>
        <v>9.8766689994712209</v>
      </c>
      <c r="O271" s="227">
        <f t="shared" si="112"/>
        <v>72.587970365045109</v>
      </c>
      <c r="P271" s="227">
        <f t="shared" si="113"/>
        <v>2.8452708673401008</v>
      </c>
      <c r="Q271" s="227">
        <f t="shared" si="114"/>
        <v>4011.2775661060091</v>
      </c>
      <c r="R271" s="227" t="str">
        <f t="shared" si="100"/>
        <v>0.0355+0.0327646803462893i</v>
      </c>
      <c r="S271" s="227" t="str">
        <f t="shared" si="101"/>
        <v>0.018-0.18034941426676i</v>
      </c>
      <c r="T271" s="227" t="str">
        <f t="shared" si="102"/>
        <v>0.0229850735662325-0.179197710618995i</v>
      </c>
      <c r="U271" s="227" t="str">
        <f t="shared" si="103"/>
        <v>-9.50871468189107-11.564489227331i</v>
      </c>
      <c r="V271" s="227">
        <f t="shared" si="115"/>
        <v>23.50544683570854</v>
      </c>
      <c r="W271" s="227">
        <f t="shared" si="116"/>
        <v>-129.42820022525356</v>
      </c>
      <c r="X271" s="227" t="str">
        <f t="shared" si="104"/>
        <v>0.999885579749601-0.00289015116256595i</v>
      </c>
      <c r="Y271" s="227" t="str">
        <f t="shared" si="105"/>
        <v>421.357000663899-329.168199438869i</v>
      </c>
      <c r="Z271" s="227" t="str">
        <f t="shared" si="106"/>
        <v>77.1252703482854-60.610806388235i</v>
      </c>
      <c r="AA271" s="227" t="str">
        <f t="shared" si="107"/>
        <v>-0.0307417661106662-1.08474619490998i</v>
      </c>
      <c r="AB271" s="227">
        <f t="shared" si="117"/>
        <v>0.71004938141581375</v>
      </c>
      <c r="AC271" s="227">
        <f t="shared" si="118"/>
        <v>-91.623331000528779</v>
      </c>
      <c r="AD271" s="229">
        <f t="shared" si="119"/>
        <v>2.1352214859242871</v>
      </c>
      <c r="AE271" s="229">
        <f t="shared" si="120"/>
        <v>164.21130136557389</v>
      </c>
      <c r="AF271" s="227">
        <f t="shared" si="108"/>
        <v>2.8452708673401008</v>
      </c>
      <c r="AG271" s="227">
        <f t="shared" si="109"/>
        <v>72.587970365045109</v>
      </c>
      <c r="AH271" s="229" t="str">
        <f t="shared" si="110"/>
        <v>1.23043529197511-0.347915974776354i</v>
      </c>
    </row>
    <row r="272" spans="9:34" x14ac:dyDescent="0.2">
      <c r="I272" s="227">
        <v>268</v>
      </c>
      <c r="J272" s="227">
        <f t="shared" si="98"/>
        <v>3.6130328371779514</v>
      </c>
      <c r="K272" s="227">
        <f t="shared" si="97"/>
        <v>4102.3511985404248</v>
      </c>
      <c r="L272" s="227">
        <f t="shared" si="111"/>
        <v>25775.832775559764</v>
      </c>
      <c r="M272" s="227">
        <f t="shared" si="99"/>
        <v>2388.3529063528131</v>
      </c>
      <c r="N272" s="227">
        <f>SQRT((ABS(AC272)-171.5+'Small Signal'!C$59)^2)</f>
        <v>9.6973489236209076</v>
      </c>
      <c r="O272" s="227">
        <f t="shared" si="112"/>
        <v>72.492966425815652</v>
      </c>
      <c r="P272" s="227">
        <f t="shared" si="113"/>
        <v>2.6515367903755336</v>
      </c>
      <c r="Q272" s="227">
        <f t="shared" si="114"/>
        <v>4102.3511985404248</v>
      </c>
      <c r="R272" s="227" t="str">
        <f t="shared" si="100"/>
        <v>0.0355+0.0335085826082277i</v>
      </c>
      <c r="S272" s="227" t="str">
        <f t="shared" si="101"/>
        <v>0.018-0.176345594147572i</v>
      </c>
      <c r="T272" s="227" t="str">
        <f t="shared" si="102"/>
        <v>0.022764139929328-0.175225529255744i</v>
      </c>
      <c r="U272" s="227" t="str">
        <f t="shared" si="103"/>
        <v>-9.40019192333918-11.0225134395665i</v>
      </c>
      <c r="V272" s="227">
        <f t="shared" si="115"/>
        <v>23.219284490422805</v>
      </c>
      <c r="W272" s="227">
        <f t="shared" si="116"/>
        <v>-130.45812400012301</v>
      </c>
      <c r="X272" s="227" t="str">
        <f t="shared" si="104"/>
        <v>0.999880325081912-0.00295577029769724i</v>
      </c>
      <c r="Y272" s="227" t="str">
        <f t="shared" si="105"/>
        <v>411.608314832706-331.594847583603i</v>
      </c>
      <c r="Z272" s="227" t="str">
        <f t="shared" si="106"/>
        <v>75.331154649383-61.055452215312i</v>
      </c>
      <c r="AA272" s="227" t="str">
        <f t="shared" si="107"/>
        <v>-0.0334135128250259-1.06167053650648i</v>
      </c>
      <c r="AB272" s="227">
        <f t="shared" si="117"/>
        <v>0.52409495896492198</v>
      </c>
      <c r="AC272" s="227">
        <f t="shared" si="118"/>
        <v>-91.802651076379092</v>
      </c>
      <c r="AD272" s="229">
        <f t="shared" si="119"/>
        <v>2.1274418314106116</v>
      </c>
      <c r="AE272" s="229">
        <f t="shared" si="120"/>
        <v>164.29561750219474</v>
      </c>
      <c r="AF272" s="227">
        <f t="shared" si="108"/>
        <v>2.6515367903755336</v>
      </c>
      <c r="AG272" s="227">
        <f t="shared" si="109"/>
        <v>72.492966425815652</v>
      </c>
      <c r="AH272" s="229" t="str">
        <f t="shared" si="110"/>
        <v>1.22984392798564-0.345795041729085i</v>
      </c>
    </row>
    <row r="273" spans="9:34" x14ac:dyDescent="0.2">
      <c r="I273" s="227">
        <v>269</v>
      </c>
      <c r="J273" s="227">
        <f t="shared" si="98"/>
        <v>3.6227829597047347</v>
      </c>
      <c r="K273" s="227">
        <f t="shared" si="97"/>
        <v>4195.4926027478168</v>
      </c>
      <c r="L273" s="227">
        <f t="shared" si="111"/>
        <v>26361.057477965722</v>
      </c>
      <c r="M273" s="227">
        <f t="shared" si="99"/>
        <v>2293.0967828642415</v>
      </c>
      <c r="N273" s="227">
        <f>SQRT((ABS(AC273)-171.5+'Small Signal'!C$59)^2)</f>
        <v>9.5174966918912247</v>
      </c>
      <c r="O273" s="227">
        <f t="shared" si="112"/>
        <v>72.389971575740489</v>
      </c>
      <c r="P273" s="227">
        <f t="shared" si="113"/>
        <v>2.4583006909386973</v>
      </c>
      <c r="Q273" s="227">
        <f t="shared" si="114"/>
        <v>4195.4926027478168</v>
      </c>
      <c r="R273" s="227" t="str">
        <f t="shared" si="100"/>
        <v>0.0355+0.0342693747213554i</v>
      </c>
      <c r="S273" s="227" t="str">
        <f t="shared" si="101"/>
        <v>0.018-0.172430660236371i</v>
      </c>
      <c r="T273" s="227" t="str">
        <f t="shared" si="102"/>
        <v>0.0225528926965841-0.171341136699105i</v>
      </c>
      <c r="U273" s="227" t="str">
        <f t="shared" si="103"/>
        <v>-9.2823517107079-10.4983400990389i</v>
      </c>
      <c r="V273" s="227">
        <f t="shared" si="115"/>
        <v>22.930910592801993</v>
      </c>
      <c r="W273" s="227">
        <f t="shared" si="116"/>
        <v>-131.48225453014891</v>
      </c>
      <c r="X273" s="227" t="str">
        <f t="shared" si="104"/>
        <v>0.999874829097389-0.00302287927562677i</v>
      </c>
      <c r="Y273" s="227" t="str">
        <f t="shared" si="105"/>
        <v>401.854376458138-333.707113392585i</v>
      </c>
      <c r="Z273" s="227" t="str">
        <f t="shared" si="106"/>
        <v>73.5361009913351-61.4422765506519i</v>
      </c>
      <c r="AA273" s="227" t="str">
        <f t="shared" si="107"/>
        <v>-0.0359690598520661-1.03911695471174i</v>
      </c>
      <c r="AB273" s="227">
        <f t="shared" si="117"/>
        <v>0.33848922195617559</v>
      </c>
      <c r="AC273" s="227">
        <f t="shared" si="118"/>
        <v>-91.982503308108775</v>
      </c>
      <c r="AD273" s="229">
        <f t="shared" si="119"/>
        <v>2.1198114689825216</v>
      </c>
      <c r="AE273" s="229">
        <f t="shared" si="120"/>
        <v>164.37247488384926</v>
      </c>
      <c r="AF273" s="227">
        <f t="shared" si="108"/>
        <v>2.4583006909386973</v>
      </c>
      <c r="AG273" s="227">
        <f t="shared" si="109"/>
        <v>72.389971575740489</v>
      </c>
      <c r="AH273" s="229" t="str">
        <f t="shared" si="110"/>
        <v>1.22922635311316-0.343842809764967i</v>
      </c>
    </row>
    <row r="274" spans="9:34" x14ac:dyDescent="0.2">
      <c r="I274" s="227">
        <v>270</v>
      </c>
      <c r="J274" s="227">
        <f t="shared" si="98"/>
        <v>3.6325330822315181</v>
      </c>
      <c r="K274" s="227">
        <f t="shared" si="97"/>
        <v>4290.7487262363884</v>
      </c>
      <c r="L274" s="227">
        <f t="shared" si="111"/>
        <v>26959.569353488001</v>
      </c>
      <c r="M274" s="227">
        <f t="shared" si="99"/>
        <v>2195.6779266714984</v>
      </c>
      <c r="N274" s="227">
        <f>SQRT((ABS(AC274)-171.5+'Small Signal'!C$59)^2)</f>
        <v>9.3370483606769312</v>
      </c>
      <c r="O274" s="227">
        <f t="shared" si="112"/>
        <v>72.278943285887721</v>
      </c>
      <c r="P274" s="227">
        <f t="shared" si="113"/>
        <v>2.2655656803447597</v>
      </c>
      <c r="Q274" s="227">
        <f t="shared" si="114"/>
        <v>4290.7487262363884</v>
      </c>
      <c r="R274" s="227" t="str">
        <f t="shared" si="100"/>
        <v>0.0355+0.0350474401595344i</v>
      </c>
      <c r="S274" s="227" t="str">
        <f t="shared" si="101"/>
        <v>0.018-0.168602639228229i</v>
      </c>
      <c r="T274" s="227" t="str">
        <f t="shared" si="102"/>
        <v>0.0223509077871081-0.167542609694393i</v>
      </c>
      <c r="U274" s="227" t="str">
        <f t="shared" si="103"/>
        <v>-9.15598998844088-9.99186988023327i</v>
      </c>
      <c r="V274" s="227">
        <f t="shared" si="115"/>
        <v>22.640373188894969</v>
      </c>
      <c r="W274" s="227">
        <f t="shared" si="116"/>
        <v>-132.50039938084709</v>
      </c>
      <c r="X274" s="227" t="str">
        <f t="shared" si="104"/>
        <v>0.99986908071373-0.0030915119223347i</v>
      </c>
      <c r="Y274" s="227" t="str">
        <f t="shared" si="105"/>
        <v>392.108896121401-335.50902144957i</v>
      </c>
      <c r="Z274" s="227" t="str">
        <f t="shared" si="106"/>
        <v>71.7426306296925-61.7720197157595i</v>
      </c>
      <c r="AA274" s="227" t="str">
        <f t="shared" si="107"/>
        <v>-0.0384134664437915-1.01707492771573i</v>
      </c>
      <c r="AB274" s="227">
        <f t="shared" si="117"/>
        <v>0.1532496140687199</v>
      </c>
      <c r="AC274" s="227">
        <f t="shared" si="118"/>
        <v>-92.162951639323069</v>
      </c>
      <c r="AD274" s="229">
        <f t="shared" si="119"/>
        <v>2.1123160662760396</v>
      </c>
      <c r="AE274" s="229">
        <f t="shared" si="120"/>
        <v>164.44189492521079</v>
      </c>
      <c r="AF274" s="227">
        <f t="shared" si="108"/>
        <v>2.2655656803447597</v>
      </c>
      <c r="AG274" s="227">
        <f t="shared" si="109"/>
        <v>72.278943285887721</v>
      </c>
      <c r="AH274" s="229" t="str">
        <f t="shared" si="110"/>
        <v>1.22858140379549-0.342057914015893i</v>
      </c>
    </row>
    <row r="275" spans="9:34" x14ac:dyDescent="0.2">
      <c r="I275" s="227">
        <v>271</v>
      </c>
      <c r="J275" s="227">
        <f t="shared" si="98"/>
        <v>3.6422832047583014</v>
      </c>
      <c r="K275" s="227">
        <f t="shared" si="97"/>
        <v>4388.1675824291315</v>
      </c>
      <c r="L275" s="227">
        <f t="shared" si="111"/>
        <v>27571.670079360483</v>
      </c>
      <c r="M275" s="227">
        <f t="shared" si="99"/>
        <v>2096.0472342358462</v>
      </c>
      <c r="N275" s="227">
        <f>SQRT((ABS(AC275)-171.5+'Small Signal'!C$59)^2)</f>
        <v>9.1559412799990412</v>
      </c>
      <c r="O275" s="227">
        <f t="shared" si="112"/>
        <v>72.159838416803922</v>
      </c>
      <c r="P275" s="227">
        <f t="shared" si="113"/>
        <v>2.0733356854542109</v>
      </c>
      <c r="Q275" s="227">
        <f t="shared" si="114"/>
        <v>4388.1675824291315</v>
      </c>
      <c r="R275" s="227" t="str">
        <f t="shared" si="100"/>
        <v>0.0355+0.0358431711031686i</v>
      </c>
      <c r="S275" s="227" t="str">
        <f t="shared" si="101"/>
        <v>0.018-0.164859601626278i</v>
      </c>
      <c r="T275" s="227" t="str">
        <f t="shared" si="102"/>
        <v>0.0221577796351582-0.163828066015052i</v>
      </c>
      <c r="U275" s="227" t="str">
        <f t="shared" si="103"/>
        <v>-9.02188148980175-9.50296907849348i</v>
      </c>
      <c r="V275" s="227">
        <f t="shared" si="115"/>
        <v>22.347722349955674</v>
      </c>
      <c r="W275" s="227">
        <f t="shared" si="116"/>
        <v>-133.51237158125841</v>
      </c>
      <c r="X275" s="227" t="str">
        <f t="shared" si="104"/>
        <v>0.999863068339687-0.00316170283179964i</v>
      </c>
      <c r="Y275" s="227" t="str">
        <f t="shared" si="105"/>
        <v>382.385191384104-337.005263221816i</v>
      </c>
      <c r="Z275" s="227" t="str">
        <f t="shared" si="106"/>
        <v>69.9531925421767-62.0455446755049i</v>
      </c>
      <c r="AA275" s="227" t="str">
        <f t="shared" si="107"/>
        <v>-0.0407515757609046-0.995534137038652i</v>
      </c>
      <c r="AB275" s="227">
        <f t="shared" si="117"/>
        <v>-3.160581567739873E-2</v>
      </c>
      <c r="AC275" s="227">
        <f t="shared" si="118"/>
        <v>-92.344058720000959</v>
      </c>
      <c r="AD275" s="229">
        <f t="shared" si="119"/>
        <v>2.1049415011316097</v>
      </c>
      <c r="AE275" s="229">
        <f t="shared" si="120"/>
        <v>164.50389713680488</v>
      </c>
      <c r="AF275" s="227">
        <f t="shared" si="108"/>
        <v>2.0733356854542109</v>
      </c>
      <c r="AG275" s="227">
        <f t="shared" si="109"/>
        <v>72.159838416803922</v>
      </c>
      <c r="AH275" s="229" t="str">
        <f t="shared" si="110"/>
        <v>1.22790786876891-0.340439048467479i</v>
      </c>
    </row>
    <row r="276" spans="9:34" x14ac:dyDescent="0.2">
      <c r="I276" s="227">
        <v>272</v>
      </c>
      <c r="J276" s="227">
        <f t="shared" si="98"/>
        <v>3.6520333272850847</v>
      </c>
      <c r="K276" s="227">
        <f t="shared" si="97"/>
        <v>4487.7982748647837</v>
      </c>
      <c r="L276" s="227">
        <f t="shared" si="111"/>
        <v>28197.668182216305</v>
      </c>
      <c r="M276" s="227">
        <f t="shared" si="99"/>
        <v>1994.1544871523756</v>
      </c>
      <c r="N276" s="227">
        <f>SQRT((ABS(AC276)-171.5+'Small Signal'!C$59)^2)</f>
        <v>8.9741141638463375</v>
      </c>
      <c r="O276" s="227">
        <f t="shared" si="112"/>
        <v>72.032613240497568</v>
      </c>
      <c r="P276" s="227">
        <f t="shared" si="113"/>
        <v>1.8816154521822841</v>
      </c>
      <c r="Q276" s="227">
        <f t="shared" si="114"/>
        <v>4487.7982748647837</v>
      </c>
      <c r="R276" s="227" t="str">
        <f t="shared" si="100"/>
        <v>0.0355+0.0366569686368812i</v>
      </c>
      <c r="S276" s="227" t="str">
        <f t="shared" si="101"/>
        <v>0.018-0.161199660769158i</v>
      </c>
      <c r="T276" s="227" t="str">
        <f t="shared" si="102"/>
        <v>0.0219731203862096-0.160195663660067i</v>
      </c>
      <c r="U276" s="227" t="str">
        <f t="shared" si="103"/>
        <v>-8.88077827904104-9.031471505624i</v>
      </c>
      <c r="V276" s="227">
        <f t="shared" si="115"/>
        <v>22.053010145768948</v>
      </c>
      <c r="W276" s="227">
        <f t="shared" si="116"/>
        <v>-134.51799007377912</v>
      </c>
      <c r="X276" s="227" t="str">
        <f t="shared" si="104"/>
        <v>0.999856779851692-0.00323348738343557i</v>
      </c>
      <c r="Y276" s="227" t="str">
        <f t="shared" si="105"/>
        <v>372.696148837315-338.201162337597i</v>
      </c>
      <c r="Z276" s="227" t="str">
        <f t="shared" si="106"/>
        <v>68.1701564475238-62.2638306524974i</v>
      </c>
      <c r="AA276" s="227" t="str">
        <f t="shared" si="107"/>
        <v>-0.0429880239561791-0.974484465829756i</v>
      </c>
      <c r="AB276" s="227">
        <f t="shared" si="117"/>
        <v>-0.21605838830090554</v>
      </c>
      <c r="AC276" s="227">
        <f t="shared" si="118"/>
        <v>-92.525885836153662</v>
      </c>
      <c r="AD276" s="229">
        <f t="shared" si="119"/>
        <v>2.0976738404831896</v>
      </c>
      <c r="AE276" s="229">
        <f t="shared" si="120"/>
        <v>164.55849907665123</v>
      </c>
      <c r="AF276" s="227">
        <f t="shared" si="108"/>
        <v>1.8816154521822841</v>
      </c>
      <c r="AG276" s="227">
        <f t="shared" si="109"/>
        <v>72.032613240497568</v>
      </c>
      <c r="AH276" s="229" t="str">
        <f t="shared" si="110"/>
        <v>1.22720448730435-0.338984963645466i</v>
      </c>
    </row>
    <row r="277" spans="9:34" x14ac:dyDescent="0.2">
      <c r="I277" s="227">
        <v>273</v>
      </c>
      <c r="J277" s="227">
        <f t="shared" si="98"/>
        <v>3.661783449811868</v>
      </c>
      <c r="K277" s="227">
        <f t="shared" si="97"/>
        <v>4589.6910219482543</v>
      </c>
      <c r="L277" s="227">
        <f t="shared" si="111"/>
        <v>28837.879193599332</v>
      </c>
      <c r="M277" s="227">
        <f t="shared" si="99"/>
        <v>1889.9483268376716</v>
      </c>
      <c r="N277" s="227">
        <f>SQRT((ABS(AC277)-171.5+'Small Signal'!C$59)^2)</f>
        <v>8.7915071660159185</v>
      </c>
      <c r="O277" s="227">
        <f t="shared" si="112"/>
        <v>71.897223473440761</v>
      </c>
      <c r="P277" s="227">
        <f t="shared" si="113"/>
        <v>1.6904105493112951</v>
      </c>
      <c r="Q277" s="227">
        <f t="shared" si="114"/>
        <v>4589.6910219482543</v>
      </c>
      <c r="R277" s="227" t="str">
        <f t="shared" si="100"/>
        <v>0.0355+0.0374892429516791i</v>
      </c>
      <c r="S277" s="227" t="str">
        <f t="shared" si="101"/>
        <v>0.018-0.157620971880048i</v>
      </c>
      <c r="T277" s="227" t="str">
        <f t="shared" si="102"/>
        <v>0.0217965591275457-0.156643600062167i</v>
      </c>
      <c r="U277" s="227" t="str">
        <f t="shared" si="103"/>
        <v>-8.73340844052687-8.57718044858141i</v>
      </c>
      <c r="V277" s="227">
        <f t="shared" si="115"/>
        <v>21.756290612101687</v>
      </c>
      <c r="W277" s="227">
        <f t="shared" si="116"/>
        <v>-135.5170801307022</v>
      </c>
      <c r="X277" s="227" t="str">
        <f t="shared" si="104"/>
        <v>0.999850202569408-0.00330690175992465i</v>
      </c>
      <c r="Y277" s="227" t="str">
        <f t="shared" si="105"/>
        <v>363.054189358135-339.10263738682i</v>
      </c>
      <c r="Z277" s="227" t="str">
        <f t="shared" si="106"/>
        <v>66.3958064142843-62.4279662857276i</v>
      </c>
      <c r="AA277" s="227" t="str">
        <f t="shared" si="107"/>
        <v>-0.045127248898342-0.953915997046024i</v>
      </c>
      <c r="AB277" s="227">
        <f t="shared" si="117"/>
        <v>-0.4000887699417488</v>
      </c>
      <c r="AC277" s="227">
        <f t="shared" si="118"/>
        <v>-92.708492833984081</v>
      </c>
      <c r="AD277" s="229">
        <f t="shared" si="119"/>
        <v>2.0904993192530439</v>
      </c>
      <c r="AE277" s="229">
        <f t="shared" si="120"/>
        <v>164.60571630742484</v>
      </c>
      <c r="AF277" s="227">
        <f t="shared" si="108"/>
        <v>1.6904105493112951</v>
      </c>
      <c r="AG277" s="227">
        <f t="shared" si="109"/>
        <v>71.897223473440761</v>
      </c>
      <c r="AH277" s="229" t="str">
        <f t="shared" si="110"/>
        <v>1.22646994740401-0.337694464229079i</v>
      </c>
    </row>
    <row r="278" spans="9:34" x14ac:dyDescent="0.2">
      <c r="I278" s="227">
        <v>274</v>
      </c>
      <c r="J278" s="227">
        <f t="shared" si="98"/>
        <v>3.6715335723386517</v>
      </c>
      <c r="K278" s="227">
        <f t="shared" si="97"/>
        <v>4693.8971822629583</v>
      </c>
      <c r="L278" s="227">
        <f t="shared" si="111"/>
        <v>29492.62580900628</v>
      </c>
      <c r="M278" s="227">
        <f t="shared" si="99"/>
        <v>1783.3762286426954</v>
      </c>
      <c r="N278" s="227">
        <f>SQRT((ABS(AC278)-171.5+'Small Signal'!C$59)^2)</f>
        <v>8.6080619616690939</v>
      </c>
      <c r="O278" s="227">
        <f t="shared" si="112"/>
        <v>71.753624320665537</v>
      </c>
      <c r="P278" s="227">
        <f t="shared" si="113"/>
        <v>1.4997273725844795</v>
      </c>
      <c r="Q278" s="227">
        <f t="shared" si="114"/>
        <v>4693.8971822629583</v>
      </c>
      <c r="R278" s="227" t="str">
        <f t="shared" si="100"/>
        <v>0.0355+0.0383404135517082i</v>
      </c>
      <c r="S278" s="227" t="str">
        <f t="shared" si="101"/>
        <v>0.018-0.154121731136821i</v>
      </c>
      <c r="T278" s="227" t="str">
        <f t="shared" si="102"/>
        <v>0.0216277411519265-0.153170111307065i</v>
      </c>
      <c r="U278" s="227" t="str">
        <f t="shared" si="103"/>
        <v>-8.58047491841286-8.13987067905886i</v>
      </c>
      <c r="V278" s="227">
        <f t="shared" si="115"/>
        <v>21.45761971273846</v>
      </c>
      <c r="W278" s="227">
        <f t="shared" si="116"/>
        <v>-136.50947373390827</v>
      </c>
      <c r="X278" s="227" t="str">
        <f t="shared" si="104"/>
        <v>0.999843323230168-0.003381982965455i</v>
      </c>
      <c r="Y278" s="227" t="str">
        <f t="shared" si="105"/>
        <v>353.471236759441-339.716162577369i</v>
      </c>
      <c r="Z278" s="227" t="str">
        <f t="shared" si="106"/>
        <v>64.6323350937419-62.5391423946667i</v>
      </c>
      <c r="AA278" s="227" t="str">
        <f t="shared" si="107"/>
        <v>-0.0471734985492024-0.933819011523777i</v>
      </c>
      <c r="AB278" s="227">
        <f t="shared" si="117"/>
        <v>-0.58367694667185099</v>
      </c>
      <c r="AC278" s="227">
        <f t="shared" si="118"/>
        <v>-92.891938038330906</v>
      </c>
      <c r="AD278" s="229">
        <f t="shared" si="119"/>
        <v>2.0834043192563305</v>
      </c>
      <c r="AE278" s="229">
        <f t="shared" si="120"/>
        <v>164.64556235899644</v>
      </c>
      <c r="AF278" s="227">
        <f t="shared" si="108"/>
        <v>1.4997273725844795</v>
      </c>
      <c r="AG278" s="227">
        <f t="shared" si="109"/>
        <v>71.753624320665537</v>
      </c>
      <c r="AH278" s="229" t="str">
        <f t="shared" si="110"/>
        <v>1.2257028839599-0.336566406584567i</v>
      </c>
    </row>
    <row r="279" spans="9:34" x14ac:dyDescent="0.2">
      <c r="I279" s="227">
        <v>275</v>
      </c>
      <c r="J279" s="227">
        <f t="shared" si="98"/>
        <v>3.6812836948654351</v>
      </c>
      <c r="K279" s="227">
        <f t="shared" si="97"/>
        <v>4800.4692804579345</v>
      </c>
      <c r="L279" s="227">
        <f t="shared" si="111"/>
        <v>30162.238050540254</v>
      </c>
      <c r="M279" s="227">
        <f t="shared" si="99"/>
        <v>1674.3844753780349</v>
      </c>
      <c r="N279" s="227">
        <f>SQRT((ABS(AC279)-171.5+'Small Signal'!C$59)^2)</f>
        <v>8.4237218348238514</v>
      </c>
      <c r="O279" s="227">
        <f t="shared" si="112"/>
        <v>71.601770531048885</v>
      </c>
      <c r="P279" s="227">
        <f t="shared" si="113"/>
        <v>1.3095731490509872</v>
      </c>
      <c r="Q279" s="227">
        <f t="shared" si="114"/>
        <v>4800.4692804579345</v>
      </c>
      <c r="R279" s="227" t="str">
        <f t="shared" si="100"/>
        <v>0.0355+0.0392109094657023i</v>
      </c>
      <c r="S279" s="227" t="str">
        <f t="shared" si="101"/>
        <v>0.018-0.150700174762832i</v>
      </c>
      <c r="T279" s="227" t="str">
        <f t="shared" si="102"/>
        <v>0.0214663272529414-0.149773471363913i</v>
      </c>
      <c r="U279" s="227" t="str">
        <f t="shared" si="103"/>
        <v>-8.42265450917207-7.71929050144422i</v>
      </c>
      <c r="V279" s="227">
        <f t="shared" si="115"/>
        <v>21.157055296593317</v>
      </c>
      <c r="W279" s="227">
        <f t="shared" si="116"/>
        <v>-137.49500991455918</v>
      </c>
      <c r="X279" s="227" t="str">
        <f t="shared" si="104"/>
        <v>0.999836127962221-0.00345876884437245i</v>
      </c>
      <c r="Y279" s="227" t="str">
        <f t="shared" si="105"/>
        <v>343.958689978961-340.048726594605i</v>
      </c>
      <c r="Z279" s="227" t="str">
        <f t="shared" si="106"/>
        <v>62.8818386038455-62.5986444127345i</v>
      </c>
      <c r="AA279" s="227" t="str">
        <f t="shared" si="107"/>
        <v>-0.0491308390063326-0.914183985955091i</v>
      </c>
      <c r="AB279" s="227">
        <f t="shared" si="117"/>
        <v>-0.76680219906681457</v>
      </c>
      <c r="AC279" s="227">
        <f t="shared" si="118"/>
        <v>-93.076278165176149</v>
      </c>
      <c r="AD279" s="229">
        <f t="shared" si="119"/>
        <v>2.0763753481178018</v>
      </c>
      <c r="AE279" s="229">
        <f t="shared" si="120"/>
        <v>164.67804869622503</v>
      </c>
      <c r="AF279" s="227">
        <f t="shared" si="108"/>
        <v>1.3095731490509872</v>
      </c>
      <c r="AG279" s="227">
        <f t="shared" si="109"/>
        <v>71.601770531048885</v>
      </c>
      <c r="AH279" s="229" t="str">
        <f t="shared" si="110"/>
        <v>1.22490187687612-0.335599696211944i</v>
      </c>
    </row>
    <row r="280" spans="9:34" x14ac:dyDescent="0.2">
      <c r="I280" s="227">
        <v>276</v>
      </c>
      <c r="J280" s="227">
        <f t="shared" si="98"/>
        <v>3.6910338173922184</v>
      </c>
      <c r="K280" s="227">
        <f t="shared" si="97"/>
        <v>4909.4610337225949</v>
      </c>
      <c r="L280" s="227">
        <f t="shared" si="111"/>
        <v>30847.053433256511</v>
      </c>
      <c r="M280" s="227">
        <f t="shared" si="99"/>
        <v>1562.9181302379384</v>
      </c>
      <c r="N280" s="227">
        <f>SQRT((ABS(AC280)-171.5+'Small Signal'!C$59)^2)</f>
        <v>8.238431771982718</v>
      </c>
      <c r="O280" s="227">
        <f t="shared" si="112"/>
        <v>71.441616463876144</v>
      </c>
      <c r="P280" s="227">
        <f t="shared" si="113"/>
        <v>1.1199559416277141</v>
      </c>
      <c r="Q280" s="227">
        <f t="shared" si="114"/>
        <v>4909.4610337225949</v>
      </c>
      <c r="R280" s="227" t="str">
        <f t="shared" si="100"/>
        <v>0.0355+0.0401011694632335i</v>
      </c>
      <c r="S280" s="227" t="str">
        <f t="shared" si="101"/>
        <v>0.018-0.147354578137893i</v>
      </c>
      <c r="T280" s="227" t="str">
        <f t="shared" si="102"/>
        <v>0.0213119930507101-0.146451991327088i</v>
      </c>
      <c r="U280" s="227" t="str">
        <f t="shared" si="103"/>
        <v>-8.26059700805119-7.31516382647897i</v>
      </c>
      <c r="V280" s="227">
        <f t="shared" si="115"/>
        <v>20.85465705041646</v>
      </c>
      <c r="W280" s="227">
        <f t="shared" si="116"/>
        <v>-138.47353505006629</v>
      </c>
      <c r="X280" s="227" t="str">
        <f t="shared" si="104"/>
        <v>0.999828602256771-0.00353729810025582i</v>
      </c>
      <c r="Y280" s="227" t="str">
        <f t="shared" si="105"/>
        <v>334.527398913398-340.107790020647i</v>
      </c>
      <c r="Z280" s="227" t="str">
        <f t="shared" si="106"/>
        <v>61.1463120836153-62.6078445557427i</v>
      </c>
      <c r="AA280" s="227" t="str">
        <f t="shared" si="107"/>
        <v>-0.0510031622235747-0.895001590780271i</v>
      </c>
      <c r="AB280" s="227">
        <f t="shared" si="117"/>
        <v>-0.94944307657430238</v>
      </c>
      <c r="AC280" s="227">
        <f t="shared" si="118"/>
        <v>-93.261568228017282</v>
      </c>
      <c r="AD280" s="229">
        <f t="shared" si="119"/>
        <v>2.0693990182020165</v>
      </c>
      <c r="AE280" s="229">
        <f t="shared" si="120"/>
        <v>164.70318469189343</v>
      </c>
      <c r="AF280" s="227">
        <f t="shared" si="108"/>
        <v>1.1199559416277141</v>
      </c>
      <c r="AG280" s="227">
        <f t="shared" si="109"/>
        <v>71.441616463876144</v>
      </c>
      <c r="AH280" s="229" t="str">
        <f t="shared" si="110"/>
        <v>1.22406544915716-0.334793285097674i</v>
      </c>
    </row>
    <row r="281" spans="9:34" x14ac:dyDescent="0.2">
      <c r="I281" s="227">
        <v>277</v>
      </c>
      <c r="J281" s="227">
        <f t="shared" si="98"/>
        <v>3.7007839399190021</v>
      </c>
      <c r="K281" s="227">
        <f t="shared" si="97"/>
        <v>5020.9273788626915</v>
      </c>
      <c r="L281" s="227">
        <f t="shared" si="111"/>
        <v>31547.417135285774</v>
      </c>
      <c r="M281" s="227">
        <f t="shared" si="99"/>
        <v>1448.9210091096847</v>
      </c>
      <c r="N281" s="227">
        <f>SQRT((ABS(AC281)-171.5+'Small Signal'!C$59)^2)</f>
        <v>8.0521385621066912</v>
      </c>
      <c r="O281" s="227">
        <f t="shared" si="112"/>
        <v>71.273116166800335</v>
      </c>
      <c r="P281" s="227">
        <f t="shared" si="113"/>
        <v>0.93088465383758834</v>
      </c>
      <c r="Q281" s="227">
        <f t="shared" si="114"/>
        <v>5020.9273788626915</v>
      </c>
      <c r="R281" s="227" t="str">
        <f t="shared" si="100"/>
        <v>0.0355+0.0410116422758715i</v>
      </c>
      <c r="S281" s="227" t="str">
        <f t="shared" si="101"/>
        <v>0.018-0.144083254928989i</v>
      </c>
      <c r="T281" s="227" t="str">
        <f t="shared" si="102"/>
        <v>0.0211644283466513-0.143204018669466i</v>
      </c>
      <c r="U281" s="227" t="str">
        <f t="shared" si="103"/>
        <v>-8.09492450922348-6.92719225795767i</v>
      </c>
      <c r="V281" s="227">
        <f t="shared" si="115"/>
        <v>20.550486447637528</v>
      </c>
      <c r="W281" s="227">
        <f t="shared" si="116"/>
        <v>-139.44490311604071</v>
      </c>
      <c r="X281" s="227" t="str">
        <f t="shared" si="104"/>
        <v>0.999820730938711-0.0036176103154253i</v>
      </c>
      <c r="Y281" s="227" t="str">
        <f t="shared" si="105"/>
        <v>325.187643962807-339.901241674473i</v>
      </c>
      <c r="Z281" s="227" t="str">
        <f t="shared" si="106"/>
        <v>59.4276459300202-62.5681937917301i</v>
      </c>
      <c r="AA281" s="227" t="str">
        <f t="shared" si="107"/>
        <v>-0.0527941934210289-0.87626268800695i</v>
      </c>
      <c r="AB281" s="227">
        <f t="shared" si="117"/>
        <v>-1.1315773717191364</v>
      </c>
      <c r="AC281" s="227">
        <f t="shared" si="118"/>
        <v>-93.447861437893309</v>
      </c>
      <c r="AD281" s="229">
        <f t="shared" si="119"/>
        <v>2.0624620255567248</v>
      </c>
      <c r="AE281" s="229">
        <f t="shared" si="120"/>
        <v>164.72097760469364</v>
      </c>
      <c r="AF281" s="227">
        <f t="shared" si="108"/>
        <v>0.93088465383758834</v>
      </c>
      <c r="AG281" s="227">
        <f t="shared" si="109"/>
        <v>71.273116166800335</v>
      </c>
      <c r="AH281" s="229" t="str">
        <f t="shared" si="110"/>
        <v>1.22319206496485-0.334146168965783i</v>
      </c>
    </row>
    <row r="282" spans="9:34" x14ac:dyDescent="0.2">
      <c r="I282" s="227">
        <v>278</v>
      </c>
      <c r="J282" s="227">
        <f t="shared" si="98"/>
        <v>3.7105340624457854</v>
      </c>
      <c r="K282" s="227">
        <f t="shared" si="97"/>
        <v>5134.9244999909452</v>
      </c>
      <c r="L282" s="227">
        <f t="shared" si="111"/>
        <v>32263.68217181959</v>
      </c>
      <c r="M282" s="227">
        <f t="shared" si="99"/>
        <v>1332.3356522542636</v>
      </c>
      <c r="N282" s="227">
        <f>SQRT((ABS(AC282)-171.5+'Small Signal'!C$59)^2)</f>
        <v>7.8647909031166279</v>
      </c>
      <c r="O282" s="227">
        <f t="shared" si="112"/>
        <v>71.096223465301037</v>
      </c>
      <c r="P282" s="227">
        <f t="shared" si="113"/>
        <v>0.7423690346734273</v>
      </c>
      <c r="Q282" s="227">
        <f t="shared" si="114"/>
        <v>5134.9244999909452</v>
      </c>
      <c r="R282" s="227" t="str">
        <f t="shared" si="100"/>
        <v>0.0355+0.0419427868233655i</v>
      </c>
      <c r="S282" s="227" t="str">
        <f t="shared" si="101"/>
        <v>0.018-0.14088455624029i</v>
      </c>
      <c r="T282" s="227" t="str">
        <f t="shared" si="102"/>
        <v>0.0210233365060871-0.140027936507246i</v>
      </c>
      <c r="U282" s="227" t="str">
        <f t="shared" si="103"/>
        <v>-7.92623085815608-6.55505717997135i</v>
      </c>
      <c r="V282" s="227">
        <f t="shared" si="115"/>
        <v>20.244606693894823</v>
      </c>
      <c r="W282" s="227">
        <f t="shared" si="116"/>
        <v>-140.40897589138714</v>
      </c>
      <c r="X282" s="227" t="str">
        <f t="shared" si="104"/>
        <v>0.999812498136031-0.00369974597089375i</v>
      </c>
      <c r="Y282" s="227" t="str">
        <f t="shared" si="105"/>
        <v>315.949119310331-339.437354232918i</v>
      </c>
      <c r="Z282" s="227" t="str">
        <f t="shared" si="106"/>
        <v>57.7276227219572-62.481213678431i</v>
      </c>
      <c r="AA282" s="227" t="str">
        <f t="shared" si="107"/>
        <v>-0.0545074981961531-0.857958328965248i</v>
      </c>
      <c r="AB282" s="227">
        <f t="shared" si="117"/>
        <v>-1.3131820941942505</v>
      </c>
      <c r="AC282" s="227">
        <f t="shared" si="118"/>
        <v>-93.635209096883372</v>
      </c>
      <c r="AD282" s="229">
        <f t="shared" si="119"/>
        <v>2.0555511288676778</v>
      </c>
      <c r="AE282" s="229">
        <f t="shared" si="120"/>
        <v>164.73143256218441</v>
      </c>
      <c r="AF282" s="227">
        <f t="shared" si="108"/>
        <v>0.7423690346734273</v>
      </c>
      <c r="AG282" s="227">
        <f t="shared" si="109"/>
        <v>71.096223465301037</v>
      </c>
      <c r="AH282" s="229" t="str">
        <f t="shared" si="110"/>
        <v>1.22228012764698-0.333657384419632i</v>
      </c>
    </row>
    <row r="283" spans="9:34" x14ac:dyDescent="0.2">
      <c r="I283" s="227">
        <v>279</v>
      </c>
      <c r="J283" s="227">
        <f t="shared" si="98"/>
        <v>3.7202841849725687</v>
      </c>
      <c r="K283" s="227">
        <f t="shared" si="97"/>
        <v>5251.5098568463663</v>
      </c>
      <c r="L283" s="227">
        <f t="shared" si="111"/>
        <v>32996.20957304586</v>
      </c>
      <c r="M283" s="227">
        <f t="shared" si="99"/>
        <v>1213.1032953439972</v>
      </c>
      <c r="N283" s="227">
        <f>SQRT((ABS(AC283)-171.5+'Small Signal'!C$59)^2)</f>
        <v>7.6763395151048428</v>
      </c>
      <c r="O283" s="227">
        <f t="shared" si="112"/>
        <v>70.910892063766966</v>
      </c>
      <c r="P283" s="227">
        <f t="shared" si="113"/>
        <v>0.55441968353410065</v>
      </c>
      <c r="Q283" s="227">
        <f t="shared" si="114"/>
        <v>5251.5098568463663</v>
      </c>
      <c r="R283" s="227" t="str">
        <f t="shared" si="100"/>
        <v>0.0355+0.0428950724449596i</v>
      </c>
      <c r="S283" s="227" t="str">
        <f t="shared" si="101"/>
        <v>0.018-0.137756869782027i</v>
      </c>
      <c r="T283" s="227" t="str">
        <f t="shared" si="102"/>
        <v>0.0208884338675035-0.1369221628764i</v>
      </c>
      <c r="U283" s="227" t="str">
        <f t="shared" si="103"/>
        <v>-7.75508125348875-6.19842183252308i</v>
      </c>
      <c r="V283" s="227">
        <f t="shared" si="115"/>
        <v>19.937082669805182</v>
      </c>
      <c r="W283" s="227">
        <f t="shared" si="116"/>
        <v>-141.36562311514095</v>
      </c>
      <c r="X283" s="227" t="str">
        <f t="shared" si="104"/>
        <v>0.999803887247811-0.00378374646677092i</v>
      </c>
      <c r="Y283" s="227" t="str">
        <f t="shared" si="105"/>
        <v>306.820919923474-338.724739486873i</v>
      </c>
      <c r="Z283" s="227" t="str">
        <f t="shared" si="106"/>
        <v>56.0479148287948-62.3484881335565i</v>
      </c>
      <c r="AA283" s="227" t="str">
        <f t="shared" si="107"/>
        <v>-0.0561464893470907-0.840079752008126i</v>
      </c>
      <c r="AB283" s="227">
        <f t="shared" si="117"/>
        <v>-1.4942334448891086</v>
      </c>
      <c r="AC283" s="227">
        <f t="shared" si="118"/>
        <v>-93.823660484895157</v>
      </c>
      <c r="AD283" s="229">
        <f t="shared" si="119"/>
        <v>2.0486531284232092</v>
      </c>
      <c r="AE283" s="229">
        <f t="shared" si="120"/>
        <v>164.73455254866212</v>
      </c>
      <c r="AF283" s="227">
        <f t="shared" si="108"/>
        <v>0.55441968353410065</v>
      </c>
      <c r="AG283" s="227">
        <f t="shared" si="109"/>
        <v>70.910892063766966</v>
      </c>
      <c r="AH283" s="229" t="str">
        <f t="shared" si="110"/>
        <v>1.22132797774124-0.333326005966329i</v>
      </c>
    </row>
    <row r="284" spans="9:34" x14ac:dyDescent="0.2">
      <c r="I284" s="227">
        <v>280</v>
      </c>
      <c r="J284" s="227">
        <f t="shared" si="98"/>
        <v>3.7300343074993521</v>
      </c>
      <c r="K284" s="227">
        <f t="shared" si="97"/>
        <v>5370.7422137566327</v>
      </c>
      <c r="L284" s="227">
        <f t="shared" si="111"/>
        <v>33745.368566124838</v>
      </c>
      <c r="M284" s="227">
        <f t="shared" si="99"/>
        <v>1091.1638398426758</v>
      </c>
      <c r="N284" s="227">
        <f>SQRT((ABS(AC284)-171.5+'Small Signal'!C$59)^2)</f>
        <v>7.4867372604204121</v>
      </c>
      <c r="O284" s="227">
        <f t="shared" si="112"/>
        <v>70.717075658323367</v>
      </c>
      <c r="P284" s="227">
        <f t="shared" si="113"/>
        <v>0.36704805517153583</v>
      </c>
      <c r="Q284" s="227">
        <f t="shared" si="114"/>
        <v>5370.7422137566327</v>
      </c>
      <c r="R284" s="227" t="str">
        <f t="shared" si="100"/>
        <v>0.0355+0.0438689791359623i</v>
      </c>
      <c r="S284" s="227" t="str">
        <f t="shared" si="101"/>
        <v>0.018-0.134698619057831i</v>
      </c>
      <c r="T284" s="227" t="str">
        <f t="shared" si="102"/>
        <v>0.0207594491773376-0.133885150020805i</v>
      </c>
      <c r="U284" s="227" t="str">
        <f t="shared" si="103"/>
        <v>-7.58201199456404-5.85693336380758i</v>
      </c>
      <c r="V284" s="227">
        <f t="shared" si="115"/>
        <v>19.62798087152493</v>
      </c>
      <c r="W284" s="227">
        <f t="shared" si="116"/>
        <v>-142.31472259409608</v>
      </c>
      <c r="X284" s="227" t="str">
        <f t="shared" si="104"/>
        <v>0.999794880910744-0.00386965414313105i</v>
      </c>
      <c r="Y284" s="227" t="str">
        <f t="shared" si="105"/>
        <v>297.811532226013-337.772303576725i</v>
      </c>
      <c r="Z284" s="227" t="str">
        <f t="shared" si="106"/>
        <v>54.3900826941229-62.171655201179i</v>
      </c>
      <c r="AA284" s="227" t="str">
        <f t="shared" si="107"/>
        <v>-0.0577144334190861-0.822618380165333i</v>
      </c>
      <c r="AB284" s="227">
        <f t="shared" si="117"/>
        <v>-1.6747067899139374</v>
      </c>
      <c r="AC284" s="227">
        <f t="shared" si="118"/>
        <v>-94.013262739579588</v>
      </c>
      <c r="AD284" s="229">
        <f t="shared" si="119"/>
        <v>2.0417548450854732</v>
      </c>
      <c r="AE284" s="229">
        <f t="shared" si="120"/>
        <v>164.73033839790295</v>
      </c>
      <c r="AF284" s="227">
        <f t="shared" si="108"/>
        <v>0.36704805517153583</v>
      </c>
      <c r="AG284" s="227">
        <f t="shared" si="109"/>
        <v>70.717075658323367</v>
      </c>
      <c r="AH284" s="229" t="str">
        <f t="shared" si="110"/>
        <v>1.22033389095855-0.3331511429155i</v>
      </c>
    </row>
    <row r="285" spans="9:34" x14ac:dyDescent="0.2">
      <c r="I285" s="227">
        <v>281</v>
      </c>
      <c r="J285" s="227">
        <f t="shared" si="98"/>
        <v>3.7397844300261354</v>
      </c>
      <c r="K285" s="227">
        <f t="shared" si="97"/>
        <v>5492.6816692579541</v>
      </c>
      <c r="L285" s="227">
        <f t="shared" si="111"/>
        <v>34511.536761296222</v>
      </c>
      <c r="M285" s="227">
        <f t="shared" si="99"/>
        <v>966.45582271315561</v>
      </c>
      <c r="N285" s="227">
        <f>SQRT((ABS(AC285)-171.5+'Small Signal'!C$59)^2)</f>
        <v>7.295939270766624</v>
      </c>
      <c r="O285" s="227">
        <f t="shared" si="112"/>
        <v>70.514728061514248</v>
      </c>
      <c r="P285" s="227">
        <f t="shared" si="113"/>
        <v>0.18026646457771633</v>
      </c>
      <c r="Q285" s="227">
        <f t="shared" si="114"/>
        <v>5492.6816692579541</v>
      </c>
      <c r="R285" s="227" t="str">
        <f t="shared" si="100"/>
        <v>0.0355+0.0448649977896851i</v>
      </c>
      <c r="S285" s="227" t="str">
        <f t="shared" si="101"/>
        <v>0.018-0.131708262570102i</v>
      </c>
      <c r="T285" s="227" t="str">
        <f t="shared" si="102"/>
        <v>0.0206361230492022-0.130915383692063i</v>
      </c>
      <c r="U285" s="227" t="str">
        <f t="shared" si="103"/>
        <v>-7.40753036966858-5.53022484803951i</v>
      </c>
      <c r="V285" s="227">
        <f t="shared" si="115"/>
        <v>19.317369349638568</v>
      </c>
      <c r="W285" s="227">
        <f t="shared" si="116"/>
        <v>-143.25616026070452</v>
      </c>
      <c r="X285" s="227" t="str">
        <f t="shared" si="104"/>
        <v>0.999785460964126-0.00395751230135417i</v>
      </c>
      <c r="Y285" s="227" t="str">
        <f t="shared" si="105"/>
        <v>288.928828355002-336.589202536607i</v>
      </c>
      <c r="Z285" s="227" t="str">
        <f t="shared" si="106"/>
        <v>52.7555737789796-61.9523988748512i</v>
      </c>
      <c r="AA285" s="227" t="str">
        <f t="shared" si="107"/>
        <v>-0.0592144569846249-0.805565818758521i</v>
      </c>
      <c r="AB285" s="227">
        <f t="shared" si="117"/>
        <v>-1.8545766346869894</v>
      </c>
      <c r="AC285" s="227">
        <f t="shared" si="118"/>
        <v>-94.204060729233376</v>
      </c>
      <c r="AD285" s="229">
        <f t="shared" si="119"/>
        <v>2.0348430992647057</v>
      </c>
      <c r="AE285" s="229">
        <f t="shared" si="120"/>
        <v>164.71878879074762</v>
      </c>
      <c r="AF285" s="227">
        <f t="shared" si="108"/>
        <v>0.18026646457771633</v>
      </c>
      <c r="AG285" s="227">
        <f t="shared" si="109"/>
        <v>70.514728061514248</v>
      </c>
      <c r="AH285" s="229" t="str">
        <f t="shared" si="110"/>
        <v>1.21929607615038-0.333131936143956i</v>
      </c>
    </row>
    <row r="286" spans="9:34" x14ac:dyDescent="0.2">
      <c r="I286" s="227">
        <v>282</v>
      </c>
      <c r="J286" s="227">
        <f t="shared" si="98"/>
        <v>3.7495345525529187</v>
      </c>
      <c r="K286" s="227">
        <f t="shared" si="97"/>
        <v>5617.3896863874743</v>
      </c>
      <c r="L286" s="227">
        <f t="shared" si="111"/>
        <v>35295.100342211925</v>
      </c>
      <c r="M286" s="227">
        <f t="shared" si="99"/>
        <v>838.91638543717363</v>
      </c>
      <c r="N286" s="227">
        <f>SQRT((ABS(AC286)-171.5+'Small Signal'!C$59)^2)</f>
        <v>7.1039030814390145</v>
      </c>
      <c r="O286" s="227">
        <f t="shared" si="112"/>
        <v>70.303803338964613</v>
      </c>
      <c r="P286" s="227">
        <f t="shared" si="113"/>
        <v>5.9119082615572971E-3</v>
      </c>
      <c r="Q286" s="227">
        <f t="shared" si="114"/>
        <v>5617.3896863874743</v>
      </c>
      <c r="R286" s="227" t="str">
        <f t="shared" si="100"/>
        <v>0.0355+0.0458836304448755i</v>
      </c>
      <c r="S286" s="227" t="str">
        <f t="shared" si="101"/>
        <v>0.018-0.128784293043029i</v>
      </c>
      <c r="T286" s="227" t="str">
        <f t="shared" si="102"/>
        <v>0.0205182074465105-0.128011382461028i</v>
      </c>
      <c r="U286" s="227" t="str">
        <f t="shared" si="103"/>
        <v>-7.23211467906436-5.21791725842699i</v>
      </c>
      <c r="V286" s="227">
        <f t="shared" si="115"/>
        <v>19.005317646895787</v>
      </c>
      <c r="W286" s="227">
        <f t="shared" si="116"/>
        <v>-144.18983018113977</v>
      </c>
      <c r="X286" s="227" t="str">
        <f t="shared" si="104"/>
        <v>0.999775608413236-0.00404736522595197i</v>
      </c>
      <c r="Y286" s="227" t="str">
        <f t="shared" si="105"/>
        <v>280.180063885374-335.184798458962i</v>
      </c>
      <c r="Z286" s="227" t="str">
        <f t="shared" si="106"/>
        <v>51.1457221429444-61.6924410347653i</v>
      </c>
      <c r="AA286" s="227" t="str">
        <f t="shared" si="107"/>
        <v>-0.0606495526674591-0.788913852984862i</v>
      </c>
      <c r="AB286" s="227">
        <f t="shared" si="117"/>
        <v>-2.0338165981555423</v>
      </c>
      <c r="AC286" s="227">
        <f t="shared" si="118"/>
        <v>-94.396096918560986</v>
      </c>
      <c r="AD286" s="229">
        <f t="shared" si="119"/>
        <v>2.027904689893985</v>
      </c>
      <c r="AE286" s="229">
        <f t="shared" si="120"/>
        <v>164.6999002575256</v>
      </c>
      <c r="AF286" s="227">
        <f t="shared" si="108"/>
        <v>-5.9119082615572971E-3</v>
      </c>
      <c r="AG286" s="227">
        <f t="shared" si="109"/>
        <v>70.303803338964613</v>
      </c>
      <c r="AH286" s="229" t="str">
        <f t="shared" si="110"/>
        <v>1.21821267326554-0.333267554717482i</v>
      </c>
    </row>
    <row r="287" spans="9:34" x14ac:dyDescent="0.2">
      <c r="I287" s="227">
        <v>283</v>
      </c>
      <c r="J287" s="227">
        <f t="shared" si="98"/>
        <v>3.759284675079702</v>
      </c>
      <c r="K287" s="227">
        <f t="shared" si="97"/>
        <v>5744.9291236634563</v>
      </c>
      <c r="L287" s="227">
        <f t="shared" si="111"/>
        <v>36096.454260590326</v>
      </c>
      <c r="M287" s="227">
        <f t="shared" si="99"/>
        <v>708.48124233183989</v>
      </c>
      <c r="N287" s="227">
        <f>SQRT((ABS(AC287)-171.5+'Small Signal'!C$59)^2)</f>
        <v>6.9105887727992439</v>
      </c>
      <c r="O287" s="227">
        <f t="shared" si="112"/>
        <v>70.084255958121545</v>
      </c>
      <c r="P287" s="227">
        <f t="shared" si="113"/>
        <v>0.19147301383192961</v>
      </c>
      <c r="Q287" s="227">
        <f t="shared" si="114"/>
        <v>5744.9291236634563</v>
      </c>
      <c r="R287" s="227" t="str">
        <f t="shared" si="100"/>
        <v>0.0355+0.0469253905387674i</v>
      </c>
      <c r="S287" s="227" t="str">
        <f t="shared" si="101"/>
        <v>0.018-0.125925236662849i</v>
      </c>
      <c r="T287" s="227" t="str">
        <f t="shared" si="102"/>
        <v>0.020405465187501-0.125171697041023i</v>
      </c>
      <c r="U287" s="227" t="str">
        <f t="shared" si="103"/>
        <v>-7.05621438601172-4.91962138569002i</v>
      </c>
      <c r="V287" s="227">
        <f t="shared" si="115"/>
        <v>18.691896735289188</v>
      </c>
      <c r="W287" s="227">
        <f t="shared" si="116"/>
        <v>-145.11563451383108</v>
      </c>
      <c r="X287" s="227" t="str">
        <f t="shared" si="104"/>
        <v>0.999765303391034-0.00413925820688922i</v>
      </c>
      <c r="Y287" s="227" t="str">
        <f t="shared" si="105"/>
        <v>271.571878875914-333.568616569652i</v>
      </c>
      <c r="Z287" s="227" t="str">
        <f t="shared" si="106"/>
        <v>49.5617486362036-61.3935335523454i</v>
      </c>
      <c r="AA287" s="227" t="str">
        <f t="shared" si="107"/>
        <v>-0.062022584920477-0.772654445475658i</v>
      </c>
      <c r="AB287" s="227">
        <f t="shared" si="117"/>
        <v>-2.2123993872317476</v>
      </c>
      <c r="AC287" s="227">
        <f t="shared" si="118"/>
        <v>-94.589411227200756</v>
      </c>
      <c r="AD287" s="229">
        <f t="shared" si="119"/>
        <v>2.020926373399818</v>
      </c>
      <c r="AE287" s="229">
        <f t="shared" si="120"/>
        <v>164.6736671853223</v>
      </c>
      <c r="AF287" s="227">
        <f t="shared" si="108"/>
        <v>-0.19147301383192961</v>
      </c>
      <c r="AG287" s="227">
        <f t="shared" si="109"/>
        <v>70.084255958121545</v>
      </c>
      <c r="AH287" s="229" t="str">
        <f t="shared" si="110"/>
        <v>1.21708175130221-0.333557192360878i</v>
      </c>
    </row>
    <row r="288" spans="9:34" x14ac:dyDescent="0.2">
      <c r="I288" s="227">
        <v>284</v>
      </c>
      <c r="J288" s="227">
        <f t="shared" si="98"/>
        <v>3.7690347976064857</v>
      </c>
      <c r="K288" s="227">
        <f t="shared" si="97"/>
        <v>5875.36426676879</v>
      </c>
      <c r="L288" s="227">
        <f t="shared" si="111"/>
        <v>36916.002435289622</v>
      </c>
      <c r="M288" s="227">
        <f t="shared" si="99"/>
        <v>575.08464814665058</v>
      </c>
      <c r="N288" s="227">
        <f>SQRT((ABS(AC288)-171.5+'Small Signal'!C$59)^2)</f>
        <v>6.7159591190512486</v>
      </c>
      <c r="O288" s="227">
        <f t="shared" si="112"/>
        <v>69.85604094917106</v>
      </c>
      <c r="P288" s="227">
        <f t="shared" si="113"/>
        <v>0.3764019288622471</v>
      </c>
      <c r="Q288" s="227">
        <f t="shared" si="114"/>
        <v>5875.36426676879</v>
      </c>
      <c r="R288" s="227" t="str">
        <f t="shared" si="100"/>
        <v>0.0355+0.0479908031658765i</v>
      </c>
      <c r="S288" s="227" t="str">
        <f t="shared" si="101"/>
        <v>0.018-0.123129652334982i</v>
      </c>
      <c r="T288" s="227" t="str">
        <f t="shared" si="102"/>
        <v>0.0202976694717073-0.122394909622721i</v>
      </c>
      <c r="U288" s="227" t="str">
        <f t="shared" si="103"/>
        <v>-6.88025038822919-4.63493969341507i</v>
      </c>
      <c r="V288" s="227">
        <f t="shared" si="115"/>
        <v>18.377178952937317</v>
      </c>
      <c r="W288" s="227">
        <f t="shared" si="116"/>
        <v>-146.03348341913588</v>
      </c>
      <c r="X288" s="227" t="str">
        <f t="shared" si="104"/>
        <v>0.9997545251181-0.00423323756241192i</v>
      </c>
      <c r="Y288" s="227" t="str">
        <f t="shared" si="105"/>
        <v>263.110302065291-331.750303479911i</v>
      </c>
      <c r="Z288" s="227" t="str">
        <f t="shared" si="106"/>
        <v>48.0047616710772-61.0574506112652i</v>
      </c>
      <c r="AA288" s="227" t="str">
        <f t="shared" si="107"/>
        <v>-0.0633362955670737-0.756779733836214i</v>
      </c>
      <c r="AB288" s="227">
        <f t="shared" si="117"/>
        <v>-2.3902967715289023</v>
      </c>
      <c r="AC288" s="227">
        <f t="shared" si="118"/>
        <v>-94.784040880948751</v>
      </c>
      <c r="AD288" s="229">
        <f t="shared" si="119"/>
        <v>2.0138948426666552</v>
      </c>
      <c r="AE288" s="229">
        <f t="shared" si="120"/>
        <v>164.64008183011981</v>
      </c>
      <c r="AF288" s="227">
        <f t="shared" si="108"/>
        <v>-0.3764019288622471</v>
      </c>
      <c r="AG288" s="227">
        <f t="shared" si="109"/>
        <v>69.85604094917106</v>
      </c>
      <c r="AH288" s="229" t="str">
        <f t="shared" si="110"/>
        <v>1.21590130626215-0.334000063767113i</v>
      </c>
    </row>
    <row r="289" spans="9:34" x14ac:dyDescent="0.2">
      <c r="I289" s="227">
        <v>285</v>
      </c>
      <c r="J289" s="227">
        <f t="shared" si="98"/>
        <v>3.7787849201332691</v>
      </c>
      <c r="K289" s="227">
        <f t="shared" si="97"/>
        <v>6008.7608609539793</v>
      </c>
      <c r="L289" s="227">
        <f t="shared" si="111"/>
        <v>37754.157955901806</v>
      </c>
      <c r="M289" s="227">
        <f t="shared" si="99"/>
        <v>438.65936492497076</v>
      </c>
      <c r="N289" s="227">
        <f>SQRT((ABS(AC289)-171.5+'Small Signal'!C$59)^2)</f>
        <v>6.5199797443601852</v>
      </c>
      <c r="O289" s="227">
        <f t="shared" si="112"/>
        <v>69.619114078211155</v>
      </c>
      <c r="P289" s="227">
        <f t="shared" si="113"/>
        <v>0.56068285250265415</v>
      </c>
      <c r="Q289" s="227">
        <f t="shared" si="114"/>
        <v>6008.7608609539793</v>
      </c>
      <c r="R289" s="227" t="str">
        <f t="shared" si="100"/>
        <v>0.0355+0.0490804053426723i</v>
      </c>
      <c r="S289" s="227" t="str">
        <f t="shared" si="101"/>
        <v>0.018-0.12039613095765i</v>
      </c>
      <c r="T289" s="227" t="str">
        <f t="shared" si="102"/>
        <v>0.0201946034269549-0.11967963322065i</v>
      </c>
      <c r="U289" s="227" t="str">
        <f t="shared" si="103"/>
        <v>-6.70461540160046-4.36346810248275i</v>
      </c>
      <c r="V289" s="227">
        <f t="shared" si="115"/>
        <v>18.061237941200105</v>
      </c>
      <c r="W289" s="227">
        <f t="shared" si="116"/>
        <v>-146.94329492118541</v>
      </c>
      <c r="X289" s="227" t="str">
        <f t="shared" si="104"/>
        <v>0.999743251860735-0.00432935066239391i</v>
      </c>
      <c r="Y289" s="227" t="str">
        <f t="shared" si="105"/>
        <v>254.80075802519-329.739586855624i</v>
      </c>
      <c r="Z289" s="227" t="str">
        <f t="shared" si="106"/>
        <v>46.4757585375153-60.6859812891308i</v>
      </c>
      <c r="AA289" s="227" t="str">
        <f t="shared" si="107"/>
        <v>-0.0645933091152577-0.741282028172577i</v>
      </c>
      <c r="AB289" s="227">
        <f t="shared" si="117"/>
        <v>-2.5674795584936887</v>
      </c>
      <c r="AC289" s="227">
        <f t="shared" si="118"/>
        <v>-94.980020255639815</v>
      </c>
      <c r="AD289" s="229">
        <f t="shared" si="119"/>
        <v>2.0067967059910345</v>
      </c>
      <c r="AE289" s="229">
        <f t="shared" si="120"/>
        <v>164.59913433385097</v>
      </c>
      <c r="AF289" s="227">
        <f t="shared" si="108"/>
        <v>-0.56068285250265415</v>
      </c>
      <c r="AG289" s="227">
        <f t="shared" si="109"/>
        <v>69.619114078211155</v>
      </c>
      <c r="AH289" s="229" t="str">
        <f t="shared" si="110"/>
        <v>1.21466925911436-0.334595400736356i</v>
      </c>
    </row>
    <row r="290" spans="9:34" x14ac:dyDescent="0.2">
      <c r="I290" s="227">
        <v>286</v>
      </c>
      <c r="J290" s="227">
        <f t="shared" si="98"/>
        <v>3.7885350426600524</v>
      </c>
      <c r="K290" s="227">
        <f t="shared" si="97"/>
        <v>6145.1861441756591</v>
      </c>
      <c r="L290" s="227">
        <f t="shared" si="111"/>
        <v>38611.343290968078</v>
      </c>
      <c r="M290" s="227">
        <f t="shared" si="99"/>
        <v>299.13662811296399</v>
      </c>
      <c r="N290" s="227">
        <f>SQRT((ABS(AC290)-171.5+'Small Signal'!C$59)^2)</f>
        <v>6.3226192863021993</v>
      </c>
      <c r="O290" s="227">
        <f t="shared" si="112"/>
        <v>69.373432032732921</v>
      </c>
      <c r="P290" s="227">
        <f t="shared" si="113"/>
        <v>0.74429910301226454</v>
      </c>
      <c r="Q290" s="227">
        <f t="shared" si="114"/>
        <v>6145.1861441756591</v>
      </c>
      <c r="R290" s="227" t="str">
        <f t="shared" si="100"/>
        <v>0.0355+0.0501947462782585i</v>
      </c>
      <c r="S290" s="227" t="str">
        <f t="shared" si="101"/>
        <v>0.018-0.11772329471163i</v>
      </c>
      <c r="T290" s="227" t="str">
        <f t="shared" si="102"/>
        <v>0.0200960596760078-0.117024511031264i</v>
      </c>
      <c r="U290" s="227" t="str">
        <f t="shared" si="103"/>
        <v>-6.52967444743113-4.10479769779863i</v>
      </c>
      <c r="V290" s="227">
        <f t="shared" si="115"/>
        <v>17.744148582413775</v>
      </c>
      <c r="W290" s="227">
        <f t="shared" si="116"/>
        <v>-147.84499472325606</v>
      </c>
      <c r="X290" s="227" t="str">
        <f t="shared" si="104"/>
        <v>0.999731460887135-0.00442764595221333i</v>
      </c>
      <c r="Y290" s="227" t="str">
        <f t="shared" si="105"/>
        <v>246.648077059952-327.546236716852i</v>
      </c>
      <c r="Z290" s="227" t="str">
        <f t="shared" si="106"/>
        <v>44.9756272238258-60.2809224390024i</v>
      </c>
      <c r="AA290" s="227" t="str">
        <f t="shared" si="107"/>
        <v>-0.0657961378536416-0.726153808610402i</v>
      </c>
      <c r="AB290" s="227">
        <f t="shared" si="117"/>
        <v>-2.7439175690366775</v>
      </c>
      <c r="AC290" s="227">
        <f t="shared" si="118"/>
        <v>-95.177380713697801</v>
      </c>
      <c r="AD290" s="229">
        <f t="shared" si="119"/>
        <v>1.999618466024413</v>
      </c>
      <c r="AE290" s="229">
        <f t="shared" si="120"/>
        <v>164.55081274643072</v>
      </c>
      <c r="AF290" s="227">
        <f t="shared" si="108"/>
        <v>-0.74429910301226454</v>
      </c>
      <c r="AG290" s="227">
        <f t="shared" si="109"/>
        <v>69.373432032732921</v>
      </c>
      <c r="AH290" s="229" t="str">
        <f t="shared" si="110"/>
        <v>1.21338345377674-0.335342448135465i</v>
      </c>
    </row>
    <row r="291" spans="9:34" x14ac:dyDescent="0.2">
      <c r="I291" s="227">
        <v>287</v>
      </c>
      <c r="J291" s="227">
        <f t="shared" si="98"/>
        <v>3.7982851651868361</v>
      </c>
      <c r="K291" s="227">
        <f t="shared" si="97"/>
        <v>6284.7088809876659</v>
      </c>
      <c r="L291" s="227">
        <f t="shared" si="111"/>
        <v>39487.990500922759</v>
      </c>
      <c r="M291" s="227">
        <f t="shared" si="99"/>
        <v>156.4461118992067</v>
      </c>
      <c r="N291" s="227">
        <f>SQRT((ABS(AC291)-171.5+'Small Signal'!C$59)^2)</f>
        <v>6.1238495666135719</v>
      </c>
      <c r="O291" s="227">
        <f t="shared" si="112"/>
        <v>69.118952619451377</v>
      </c>
      <c r="P291" s="227">
        <f t="shared" si="113"/>
        <v>0.92723311506939532</v>
      </c>
      <c r="Q291" s="227">
        <f t="shared" si="114"/>
        <v>6284.7088809876659</v>
      </c>
      <c r="R291" s="227" t="str">
        <f t="shared" si="100"/>
        <v>0.0355+0.0513343876511996i</v>
      </c>
      <c r="S291" s="227" t="str">
        <f t="shared" si="101"/>
        <v>0.018-0.115109796365767i</v>
      </c>
      <c r="T291" s="227" t="str">
        <f t="shared" si="102"/>
        <v>0.0200018399220202-0.114428215802516i</v>
      </c>
      <c r="U291" s="227" t="str">
        <f t="shared" si="103"/>
        <v>-6.35576543418011-3.85851635157443i</v>
      </c>
      <c r="V291" s="227">
        <f t="shared" si="115"/>
        <v>17.425986938590626</v>
      </c>
      <c r="W291" s="227">
        <f t="shared" si="116"/>
        <v>-148.73851597831975</v>
      </c>
      <c r="X291" s="227" t="str">
        <f t="shared" si="104"/>
        <v>0.999719128421555-0.00452817297717138i</v>
      </c>
      <c r="Y291" s="227" t="str">
        <f t="shared" si="105"/>
        <v>238.656507628131-325.180028552354i</v>
      </c>
      <c r="Z291" s="227" t="str">
        <f t="shared" si="106"/>
        <v>43.5051487013217-59.8440719047424i</v>
      </c>
      <c r="AA291" s="227" t="str">
        <f t="shared" si="107"/>
        <v>-0.0669471867378492-0.711387722810775i</v>
      </c>
      <c r="AB291" s="227">
        <f t="shared" si="117"/>
        <v>-2.9195796137721661</v>
      </c>
      <c r="AC291" s="227">
        <f t="shared" si="118"/>
        <v>-95.376150433386428</v>
      </c>
      <c r="AD291" s="229">
        <f t="shared" si="119"/>
        <v>1.9923464987027708</v>
      </c>
      <c r="AE291" s="229">
        <f t="shared" si="120"/>
        <v>164.49510305283781</v>
      </c>
      <c r="AF291" s="227">
        <f t="shared" si="108"/>
        <v>-0.92723311506939532</v>
      </c>
      <c r="AG291" s="227">
        <f t="shared" si="109"/>
        <v>69.118952619451377</v>
      </c>
      <c r="AH291" s="229" t="str">
        <f t="shared" si="110"/>
        <v>1.2120416551249-0.336240459668543i</v>
      </c>
    </row>
    <row r="292" spans="9:34" x14ac:dyDescent="0.2">
      <c r="I292" s="227">
        <v>288</v>
      </c>
      <c r="J292" s="227">
        <f t="shared" si="98"/>
        <v>3.8080352877136194</v>
      </c>
      <c r="K292" s="227">
        <f t="shared" si="97"/>
        <v>6427.3993972014232</v>
      </c>
      <c r="L292" s="227">
        <f t="shared" si="111"/>
        <v>40384.541455870909</v>
      </c>
      <c r="M292" s="227">
        <f t="shared" si="99"/>
        <v>10.515893767203124</v>
      </c>
      <c r="N292" s="227">
        <f>SQRT((ABS(AC292)-171.5+'Small Signal'!C$59)^2)</f>
        <v>5.9236457691307294</v>
      </c>
      <c r="O292" s="227">
        <f t="shared" si="112"/>
        <v>68.855634974475748</v>
      </c>
      <c r="P292" s="227">
        <f t="shared" si="113"/>
        <v>1.1094664378232557</v>
      </c>
      <c r="Q292" s="227">
        <f t="shared" si="114"/>
        <v>6427.3993972014232</v>
      </c>
      <c r="R292" s="227" t="str">
        <f t="shared" si="100"/>
        <v>0.0355+0.0524999038926322i</v>
      </c>
      <c r="S292" s="227" t="str">
        <f t="shared" si="101"/>
        <v>0.018-0.112554318597909i</v>
      </c>
      <c r="T292" s="227" t="str">
        <f t="shared" si="102"/>
        <v>0.0199117545519902-0.111889449214854i</v>
      </c>
      <c r="U292" s="227" t="str">
        <f t="shared" si="103"/>
        <v>-6.18319982433457-3.62421025842843i</v>
      </c>
      <c r="V292" s="227">
        <f t="shared" si="115"/>
        <v>17.106830191379267</v>
      </c>
      <c r="W292" s="227">
        <f t="shared" si="116"/>
        <v>-149.62379901670275</v>
      </c>
      <c r="X292" s="227" t="str">
        <f t="shared" si="104"/>
        <v>0.999706229596365-0.00463098240746535i</v>
      </c>
      <c r="Y292" s="227" t="str">
        <f t="shared" si="105"/>
        <v>230.829731051204-322.650708404838i</v>
      </c>
      <c r="Z292" s="227" t="str">
        <f t="shared" si="106"/>
        <v>42.064999629704-59.3772220988414i</v>
      </c>
      <c r="AA292" s="227" t="str">
        <f t="shared" si="107"/>
        <v>-0.0680487580759762-0.696976583487456i</v>
      </c>
      <c r="AB292" s="227">
        <f t="shared" si="117"/>
        <v>-3.094433469986166</v>
      </c>
      <c r="AC292" s="227">
        <f t="shared" si="118"/>
        <v>-95.576354230869271</v>
      </c>
      <c r="AD292" s="229">
        <f t="shared" si="119"/>
        <v>1.9849670321629103</v>
      </c>
      <c r="AE292" s="229">
        <f t="shared" si="120"/>
        <v>164.43198920534502</v>
      </c>
      <c r="AF292" s="227">
        <f t="shared" si="108"/>
        <v>-1.1094664378232557</v>
      </c>
      <c r="AG292" s="227">
        <f t="shared" si="109"/>
        <v>68.855634974475748</v>
      </c>
      <c r="AH292" s="229" t="str">
        <f t="shared" si="110"/>
        <v>1.2106415470384-0.337288693448961i</v>
      </c>
    </row>
    <row r="293" spans="9:34" x14ac:dyDescent="0.2">
      <c r="I293" s="227">
        <v>289</v>
      </c>
      <c r="J293" s="227">
        <f t="shared" si="98"/>
        <v>3.8177854102404027</v>
      </c>
      <c r="K293" s="227">
        <f t="shared" si="97"/>
        <v>6573.3296153334268</v>
      </c>
      <c r="L293" s="227">
        <f t="shared" si="111"/>
        <v>41301.448058311427</v>
      </c>
      <c r="M293" s="227">
        <f t="shared" si="99"/>
        <v>138.72758175678973</v>
      </c>
      <c r="N293" s="227">
        <f>SQRT((ABS(AC293)-171.5+'Small Signal'!C$59)^2)</f>
        <v>5.7219866247877462</v>
      </c>
      <c r="O293" s="227">
        <f t="shared" si="112"/>
        <v>68.583439785793132</v>
      </c>
      <c r="P293" s="227">
        <f t="shared" si="113"/>
        <v>1.2909797338141462</v>
      </c>
      <c r="Q293" s="227">
        <f t="shared" si="114"/>
        <v>6573.3296153334268</v>
      </c>
      <c r="R293" s="227" t="str">
        <f t="shared" si="100"/>
        <v>0.0355+0.0536918824758049i</v>
      </c>
      <c r="S293" s="227" t="str">
        <f t="shared" si="101"/>
        <v>0.018-0.110055573330917i</v>
      </c>
      <c r="T293" s="227" t="str">
        <f t="shared" si="102"/>
        <v>0.0198256222574389-0.109406941273556i</v>
      </c>
      <c r="U293" s="227" t="str">
        <f t="shared" si="103"/>
        <v>-6.01226337696816-3.4014653785936i</v>
      </c>
      <c r="V293" s="227">
        <f t="shared" si="115"/>
        <v>16.786756583538338</v>
      </c>
      <c r="W293" s="227">
        <f t="shared" si="116"/>
        <v>-150.50079103300655</v>
      </c>
      <c r="X293" s="227" t="str">
        <f t="shared" si="104"/>
        <v>0.999692738401907-0.00473612606372874i</v>
      </c>
      <c r="Y293" s="227" t="str">
        <f t="shared" si="105"/>
        <v>223.170878268241-319.967960054231i</v>
      </c>
      <c r="Z293" s="227" t="str">
        <f t="shared" si="106"/>
        <v>40.6557554388109-58.8821539661416i</v>
      </c>
      <c r="AA293" s="227" t="str">
        <f t="shared" si="107"/>
        <v>-0.0691030560210839-0.68291336592964i</v>
      </c>
      <c r="AB293" s="227">
        <f t="shared" si="117"/>
        <v>-3.2684458594602983</v>
      </c>
      <c r="AC293" s="227">
        <f t="shared" si="118"/>
        <v>-95.778013375212254</v>
      </c>
      <c r="AD293" s="229">
        <f t="shared" si="119"/>
        <v>1.9774661256461521</v>
      </c>
      <c r="AE293" s="229">
        <f t="shared" si="120"/>
        <v>164.36145316100539</v>
      </c>
      <c r="AF293" s="227">
        <f t="shared" si="108"/>
        <v>-1.2909797338141462</v>
      </c>
      <c r="AG293" s="227">
        <f t="shared" si="109"/>
        <v>68.583439785793132</v>
      </c>
      <c r="AH293" s="229" t="str">
        <f t="shared" si="110"/>
        <v>1.20918073049562-0.338486407363411i</v>
      </c>
    </row>
    <row r="294" spans="9:34" x14ac:dyDescent="0.2">
      <c r="I294" s="227">
        <v>290</v>
      </c>
      <c r="J294" s="227">
        <f t="shared" si="98"/>
        <v>3.8275355327671861</v>
      </c>
      <c r="K294" s="227">
        <f t="shared" si="97"/>
        <v>6722.5730908574196</v>
      </c>
      <c r="L294" s="227">
        <f t="shared" si="111"/>
        <v>42239.172470916194</v>
      </c>
      <c r="M294" s="227">
        <f t="shared" si="99"/>
        <v>291.35954017908898</v>
      </c>
      <c r="N294" s="227">
        <f>SQRT((ABS(AC294)-171.5+'Small Signal'!C$59)^2)</f>
        <v>5.5188546034588057</v>
      </c>
      <c r="O294" s="227">
        <f t="shared" si="112"/>
        <v>68.302329527980817</v>
      </c>
      <c r="P294" s="227">
        <f t="shared" si="113"/>
        <v>1.4717527788943396</v>
      </c>
      <c r="Q294" s="227">
        <f t="shared" si="114"/>
        <v>6722.5730908574196</v>
      </c>
      <c r="R294" s="227" t="str">
        <f t="shared" si="100"/>
        <v>0.0355+0.0549109242121911i</v>
      </c>
      <c r="S294" s="227" t="str">
        <f t="shared" si="101"/>
        <v>0.018-0.107612301083415i</v>
      </c>
      <c r="T294" s="227" t="str">
        <f t="shared" si="102"/>
        <v>0.0197432696715766-0.106979449712307i</v>
      </c>
      <c r="U294" s="227" t="str">
        <f t="shared" si="103"/>
        <v>-5.84321695650125-3.18986878650866i</v>
      </c>
      <c r="V294" s="227">
        <f t="shared" si="115"/>
        <v>16.465845362120824</v>
      </c>
      <c r="W294" s="227">
        <f t="shared" si="116"/>
        <v>-151.369445734674</v>
      </c>
      <c r="X294" s="227" t="str">
        <f t="shared" si="104"/>
        <v>0.999678627634049-0.00484365694315122i</v>
      </c>
      <c r="Y294" s="227" t="str">
        <f t="shared" si="105"/>
        <v>215.682548392052-317.141374397793i</v>
      </c>
      <c r="Z294" s="227" t="str">
        <f t="shared" si="106"/>
        <v>39.2778937417636-58.3606313516396i</v>
      </c>
      <c r="AA294" s="227" t="str">
        <f t="shared" si="107"/>
        <v>-0.0701121908786913-0.669191205534034i</v>
      </c>
      <c r="AB294" s="227">
        <f t="shared" si="117"/>
        <v>-3.441582427287269</v>
      </c>
      <c r="AC294" s="227">
        <f t="shared" si="118"/>
        <v>-95.981145396541194</v>
      </c>
      <c r="AD294" s="229">
        <f t="shared" si="119"/>
        <v>1.9698296483929294</v>
      </c>
      <c r="AE294" s="229">
        <f t="shared" si="120"/>
        <v>164.28347492452201</v>
      </c>
      <c r="AF294" s="227">
        <f t="shared" si="108"/>
        <v>-1.4717527788943396</v>
      </c>
      <c r="AG294" s="227">
        <f t="shared" si="109"/>
        <v>68.302329527980817</v>
      </c>
      <c r="AH294" s="229" t="str">
        <f t="shared" si="110"/>
        <v>1.20765672172977-0.339832854218557i</v>
      </c>
    </row>
    <row r="295" spans="9:34" x14ac:dyDescent="0.2">
      <c r="I295" s="227">
        <v>291</v>
      </c>
      <c r="J295" s="227">
        <f t="shared" si="98"/>
        <v>3.8372856552939694</v>
      </c>
      <c r="K295" s="227">
        <f t="shared" si="97"/>
        <v>6875.2050492797189</v>
      </c>
      <c r="L295" s="227">
        <f t="shared" si="111"/>
        <v>43198.187349481232</v>
      </c>
      <c r="M295" s="227">
        <f t="shared" si="99"/>
        <v>447.45691495565643</v>
      </c>
      <c r="N295" s="227">
        <f>SQRT((ABS(AC295)-171.5+'Small Signal'!C$59)^2)</f>
        <v>5.3142361123802146</v>
      </c>
      <c r="O295" s="227">
        <f t="shared" si="112"/>
        <v>68.012268709024667</v>
      </c>
      <c r="P295" s="227">
        <f t="shared" si="113"/>
        <v>1.6517644632906747</v>
      </c>
      <c r="Q295" s="227">
        <f t="shared" si="114"/>
        <v>6875.2050492797189</v>
      </c>
      <c r="R295" s="227" t="str">
        <f t="shared" si="100"/>
        <v>0.0355+0.0561576435543256i</v>
      </c>
      <c r="S295" s="227" t="str">
        <f t="shared" si="101"/>
        <v>0.018-0.105223270334956i</v>
      </c>
      <c r="T295" s="227" t="str">
        <f t="shared" si="102"/>
        <v>0.0196645310222455-0.104605759407908i</v>
      </c>
      <c r="U295" s="227" t="str">
        <f t="shared" si="103"/>
        <v>-5.67629739827447-2.98900992302547i</v>
      </c>
      <c r="V295" s="227">
        <f t="shared" si="115"/>
        <v>16.144176723520882</v>
      </c>
      <c r="W295" s="227">
        <f t="shared" si="116"/>
        <v>-152.22972295476052</v>
      </c>
      <c r="X295" s="227" t="str">
        <f t="shared" si="104"/>
        <v>0.999663868839327-0.00495362924619162i</v>
      </c>
      <c r="Y295" s="227" t="str">
        <f t="shared" si="105"/>
        <v>208.366828822569-314.180421098826i</v>
      </c>
      <c r="Z295" s="227" t="str">
        <f t="shared" si="106"/>
        <v>37.9317980345761-57.8143957855694i</v>
      </c>
      <c r="AA295" s="227" t="str">
        <f t="shared" si="107"/>
        <v>-0.0710781832368109-0.655803395349714i</v>
      </c>
      <c r="AB295" s="227">
        <f t="shared" si="117"/>
        <v>-3.6138077218223961</v>
      </c>
      <c r="AC295" s="227">
        <f t="shared" si="118"/>
        <v>-96.185763887619785</v>
      </c>
      <c r="AD295" s="229">
        <f t="shared" si="119"/>
        <v>1.9620432585317213</v>
      </c>
      <c r="AE295" s="229">
        <f t="shared" si="120"/>
        <v>164.19803259664445</v>
      </c>
      <c r="AF295" s="227">
        <f t="shared" si="108"/>
        <v>-1.6517644632906747</v>
      </c>
      <c r="AG295" s="227">
        <f t="shared" si="109"/>
        <v>68.012268709024667</v>
      </c>
      <c r="AH295" s="229" t="str">
        <f t="shared" si="110"/>
        <v>1.20606695045945-0.341327276660956i</v>
      </c>
    </row>
    <row r="296" spans="9:34" x14ac:dyDescent="0.2">
      <c r="I296" s="227">
        <v>292</v>
      </c>
      <c r="J296" s="227">
        <f t="shared" si="98"/>
        <v>3.8470357778207527</v>
      </c>
      <c r="K296" s="227">
        <f t="shared" si="97"/>
        <v>7031.3024240562863</v>
      </c>
      <c r="L296" s="227">
        <f t="shared" si="111"/>
        <v>44178.976081166664</v>
      </c>
      <c r="M296" s="227">
        <f t="shared" si="99"/>
        <v>607.09838627008321</v>
      </c>
      <c r="N296" s="227">
        <f>SQRT((ABS(AC296)-171.5+'Small Signal'!C$59)^2)</f>
        <v>5.1081217008080699</v>
      </c>
      <c r="O296" s="227">
        <f t="shared" si="112"/>
        <v>67.713224129055831</v>
      </c>
      <c r="P296" s="227">
        <f t="shared" si="113"/>
        <v>1.8309927939558199</v>
      </c>
      <c r="Q296" s="227">
        <f t="shared" si="114"/>
        <v>7031.3024240562863</v>
      </c>
      <c r="R296" s="227" t="str">
        <f t="shared" si="100"/>
        <v>0.0355+0.0574326689055167i</v>
      </c>
      <c r="S296" s="227" t="str">
        <f t="shared" si="101"/>
        <v>0.018-0.102887276905276i</v>
      </c>
      <c r="T296" s="227" t="str">
        <f t="shared" si="102"/>
        <v>0.01958924779996-0.102284681806015i</v>
      </c>
      <c r="U296" s="227" t="str">
        <f t="shared" si="103"/>
        <v>-5.51171842173158-2.79848175037266i</v>
      </c>
      <c r="V296" s="227">
        <f t="shared" si="115"/>
        <v>15.821831760482999</v>
      </c>
      <c r="W296" s="227">
        <f t="shared" si="116"/>
        <v>-153.08158823162253</v>
      </c>
      <c r="X296" s="227" t="str">
        <f t="shared" si="104"/>
        <v>0.999648432257575-0.00506609840389738i</v>
      </c>
      <c r="Y296" s="227" t="str">
        <f t="shared" si="105"/>
        <v>201.225316676303-311.094422549563i</v>
      </c>
      <c r="Z296" s="227" t="str">
        <f t="shared" si="106"/>
        <v>36.617761637871-57.2451616941556i</v>
      </c>
      <c r="AA296" s="227" t="str">
        <f t="shared" si="107"/>
        <v>-0.0720029679258898-0.642743383638872i</v>
      </c>
      <c r="AB296" s="227">
        <f t="shared" si="117"/>
        <v>-3.7850851759250101</v>
      </c>
      <c r="AC296" s="227">
        <f t="shared" si="118"/>
        <v>-96.39187829919193</v>
      </c>
      <c r="AD296" s="229">
        <f t="shared" si="119"/>
        <v>1.9540923819691902</v>
      </c>
      <c r="AE296" s="229">
        <f t="shared" si="120"/>
        <v>164.10510242824776</v>
      </c>
      <c r="AF296" s="227">
        <f t="shared" si="108"/>
        <v>-1.8309927939558199</v>
      </c>
      <c r="AG296" s="227">
        <f t="shared" si="109"/>
        <v>67.713224129055831</v>
      </c>
      <c r="AH296" s="229" t="str">
        <f t="shared" si="110"/>
        <v>1.20440875820861-0.342968901861203i</v>
      </c>
    </row>
    <row r="297" spans="9:34" x14ac:dyDescent="0.2">
      <c r="I297" s="227">
        <v>293</v>
      </c>
      <c r="J297" s="227">
        <f t="shared" si="98"/>
        <v>3.8567859003475364</v>
      </c>
      <c r="K297" s="227">
        <f t="shared" si="97"/>
        <v>7190.9438953707131</v>
      </c>
      <c r="L297" s="227">
        <f t="shared" si="111"/>
        <v>45182.033028146005</v>
      </c>
      <c r="M297" s="227">
        <f t="shared" si="99"/>
        <v>770.36442069192981</v>
      </c>
      <c r="N297" s="227">
        <f>SQRT((ABS(AC297)-171.5+'Small Signal'!C$59)^2)</f>
        <v>4.9005062704962654</v>
      </c>
      <c r="O297" s="227">
        <f t="shared" si="112"/>
        <v>67.405165150764049</v>
      </c>
      <c r="P297" s="227">
        <f t="shared" si="113"/>
        <v>2.0094148983592852</v>
      </c>
      <c r="Q297" s="227">
        <f t="shared" si="114"/>
        <v>7190.9438953707131</v>
      </c>
      <c r="R297" s="227" t="str">
        <f t="shared" si="100"/>
        <v>0.0355+0.0587366429365898i</v>
      </c>
      <c r="S297" s="227" t="str">
        <f t="shared" si="101"/>
        <v>0.018-0.100603143347334i</v>
      </c>
      <c r="T297" s="227" t="str">
        <f t="shared" si="102"/>
        <v>0.0195172684403939-0.100015054357788i</v>
      </c>
      <c r="U297" s="227" t="str">
        <f t="shared" si="103"/>
        <v>-5.34967158228301-2.61788180986415i</v>
      </c>
      <c r="V297" s="227">
        <f t="shared" si="115"/>
        <v>15.498892411124885</v>
      </c>
      <c r="W297" s="227">
        <f t="shared" si="116"/>
        <v>-153.92501235838233</v>
      </c>
      <c r="X297" s="227" t="str">
        <f t="shared" si="104"/>
        <v>0.99963228676191-0.00518112110584444i</v>
      </c>
      <c r="Y297" s="227" t="str">
        <f t="shared" si="105"/>
        <v>194.25914129627-307.892530169364i</v>
      </c>
      <c r="Z297" s="227" t="str">
        <f t="shared" si="106"/>
        <v>35.3359918373566-56.6546120399238i</v>
      </c>
      <c r="AA297" s="227" t="str">
        <f t="shared" si="107"/>
        <v>-0.0728883978157111-0.630004771456496i</v>
      </c>
      <c r="AB297" s="227">
        <f t="shared" si="117"/>
        <v>-3.9553770896491609</v>
      </c>
      <c r="AC297" s="227">
        <f t="shared" si="118"/>
        <v>-96.599493729503735</v>
      </c>
      <c r="AD297" s="229">
        <f t="shared" si="119"/>
        <v>1.9459621912898759</v>
      </c>
      <c r="AE297" s="229">
        <f t="shared" si="120"/>
        <v>164.00465888026778</v>
      </c>
      <c r="AF297" s="227">
        <f t="shared" si="108"/>
        <v>-2.0094148983592852</v>
      </c>
      <c r="AG297" s="227">
        <f t="shared" si="109"/>
        <v>67.405165150764049</v>
      </c>
      <c r="AH297" s="229" t="str">
        <f t="shared" si="110"/>
        <v>1.20267939673196-0.344756935953503i</v>
      </c>
    </row>
    <row r="298" spans="9:34" x14ac:dyDescent="0.2">
      <c r="I298" s="227">
        <v>294</v>
      </c>
      <c r="J298" s="227">
        <f t="shared" si="98"/>
        <v>3.8665360228743197</v>
      </c>
      <c r="K298" s="227">
        <f t="shared" si="97"/>
        <v>7354.2099297925597</v>
      </c>
      <c r="L298" s="227">
        <f t="shared" si="111"/>
        <v>46207.863776786828</v>
      </c>
      <c r="M298" s="227">
        <f t="shared" si="99"/>
        <v>937.33731173562956</v>
      </c>
      <c r="N298" s="227">
        <f>SQRT((ABS(AC298)-171.5+'Small Signal'!C$59)^2)</f>
        <v>4.6913892914915039</v>
      </c>
      <c r="O298" s="227">
        <f t="shared" si="112"/>
        <v>67.088063981170592</v>
      </c>
      <c r="P298" s="227">
        <f t="shared" si="113"/>
        <v>2.1870070298763715</v>
      </c>
      <c r="Q298" s="227">
        <f t="shared" si="114"/>
        <v>7354.2099297925597</v>
      </c>
      <c r="R298" s="227" t="str">
        <f t="shared" si="100"/>
        <v>0.0355+0.0600702229098229i</v>
      </c>
      <c r="S298" s="227" t="str">
        <f t="shared" si="101"/>
        <v>0.018-0.0983697183538275i</v>
      </c>
      <c r="T298" s="227" t="str">
        <f t="shared" si="102"/>
        <v>0.0194484480206902-0.0977957399673234i</v>
      </c>
      <c r="U298" s="227" t="str">
        <f t="shared" si="103"/>
        <v>-5.19032725326964-2.44681318312657i</v>
      </c>
      <c r="V298" s="227">
        <f t="shared" si="115"/>
        <v>15.175441409976518</v>
      </c>
      <c r="W298" s="227">
        <f t="shared" si="116"/>
        <v>-154.7599709051301</v>
      </c>
      <c r="X298" s="227" t="str">
        <f t="shared" si="104"/>
        <v>0.999615399795972-0.00529875532871122i</v>
      </c>
      <c r="Y298" s="227" t="str">
        <f t="shared" si="105"/>
        <v>187.468987614871-304.58370303655i</v>
      </c>
      <c r="Z298" s="227" t="str">
        <f t="shared" si="106"/>
        <v>34.0866141812163-56.0443943912643i</v>
      </c>
      <c r="AA298" s="227" t="str">
        <f t="shared" si="107"/>
        <v>-0.0737362474560994-0.617581310251593i</v>
      </c>
      <c r="AB298" s="227">
        <f t="shared" si="117"/>
        <v>-4.1246446145533273</v>
      </c>
      <c r="AC298" s="227">
        <f t="shared" si="118"/>
        <v>-96.808610708508496</v>
      </c>
      <c r="AD298" s="229">
        <f t="shared" si="119"/>
        <v>1.9376375846769558</v>
      </c>
      <c r="AE298" s="229">
        <f t="shared" si="120"/>
        <v>163.89667468967909</v>
      </c>
      <c r="AF298" s="227">
        <f t="shared" si="108"/>
        <v>-2.1870070298763715</v>
      </c>
      <c r="AG298" s="227">
        <f t="shared" si="109"/>
        <v>67.088063981170592</v>
      </c>
      <c r="AH298" s="229" t="str">
        <f t="shared" si="110"/>
        <v>1.20087602656335-0.34669055822228i</v>
      </c>
    </row>
    <row r="299" spans="9:34" x14ac:dyDescent="0.2">
      <c r="I299" s="227">
        <v>295</v>
      </c>
      <c r="J299" s="227">
        <f t="shared" si="98"/>
        <v>3.8762861454011031</v>
      </c>
      <c r="K299" s="227">
        <f t="shared" si="97"/>
        <v>7521.1828208362595</v>
      </c>
      <c r="L299" s="227">
        <f t="shared" si="111"/>
        <v>47256.9853924899</v>
      </c>
      <c r="M299" s="227">
        <f t="shared" si="99"/>
        <v>1108.1012213400645</v>
      </c>
      <c r="N299" s="227">
        <f>SQRT((ABS(AC299)-171.5+'Small Signal'!C$59)^2)</f>
        <v>4.4807750226562746</v>
      </c>
      <c r="O299" s="227">
        <f t="shared" si="112"/>
        <v>66.761895964371803</v>
      </c>
      <c r="P299" s="227">
        <f t="shared" si="113"/>
        <v>2.3637445749385213</v>
      </c>
      <c r="Q299" s="227">
        <f t="shared" si="114"/>
        <v>7521.1828208362595</v>
      </c>
      <c r="R299" s="227" t="str">
        <f t="shared" si="100"/>
        <v>0.0355+0.0614340810102369i</v>
      </c>
      <c r="S299" s="227" t="str">
        <f t="shared" si="101"/>
        <v>0.018-0.0961858761768774i</v>
      </c>
      <c r="T299" s="227" t="str">
        <f t="shared" si="102"/>
        <v>0.0193826479689984-0.095625626449749i</v>
      </c>
      <c r="U299" s="227" t="str">
        <f t="shared" si="103"/>
        <v>-5.03383562986171-2.28488535833408i</v>
      </c>
      <c r="V299" s="227">
        <f t="shared" si="115"/>
        <v>14.851562240992864</v>
      </c>
      <c r="W299" s="227">
        <f t="shared" si="116"/>
        <v>-155.58644371691884</v>
      </c>
      <c r="X299" s="227" t="str">
        <f t="shared" si="104"/>
        <v>0.999597737308271-0.00541906036550164i</v>
      </c>
      <c r="Y299" s="227" t="str">
        <f t="shared" si="105"/>
        <v>180.855120152213-301.176688831528i</v>
      </c>
      <c r="Z299" s="227" t="str">
        <f t="shared" si="106"/>
        <v>32.8696768943957-55.4161174171398i</v>
      </c>
      <c r="AA299" s="227" t="str">
        <f t="shared" si="107"/>
        <v>-0.0745482165679696-0.605466899492339i</v>
      </c>
      <c r="AB299" s="227">
        <f t="shared" si="117"/>
        <v>-4.2928477398065086</v>
      </c>
      <c r="AC299" s="227">
        <f t="shared" si="118"/>
        <v>-97.019224977343725</v>
      </c>
      <c r="AD299" s="229">
        <f t="shared" si="119"/>
        <v>1.9291031648679873</v>
      </c>
      <c r="AE299" s="229">
        <f t="shared" si="120"/>
        <v>163.78112094171553</v>
      </c>
      <c r="AF299" s="227">
        <f t="shared" si="108"/>
        <v>-2.3637445749385213</v>
      </c>
      <c r="AG299" s="227">
        <f t="shared" si="109"/>
        <v>66.761895964371803</v>
      </c>
      <c r="AH299" s="229" t="str">
        <f t="shared" si="110"/>
        <v>1.19899571570601-0.348768915027964i</v>
      </c>
    </row>
    <row r="300" spans="9:34" x14ac:dyDescent="0.2">
      <c r="I300" s="227">
        <v>296</v>
      </c>
      <c r="J300" s="227">
        <f t="shared" si="98"/>
        <v>3.8860362679278864</v>
      </c>
      <c r="K300" s="227">
        <f t="shared" si="97"/>
        <v>7691.9467304406944</v>
      </c>
      <c r="L300" s="227">
        <f t="shared" si="111"/>
        <v>48329.92668031303</v>
      </c>
      <c r="M300" s="227">
        <f t="shared" si="99"/>
        <v>1282.7422222901068</v>
      </c>
      <c r="N300" s="227">
        <f>SQRT((ABS(AC300)-171.5+'Small Signal'!C$59)^2)</f>
        <v>4.268672736227785</v>
      </c>
      <c r="O300" s="227">
        <f t="shared" si="112"/>
        <v>66.426639884772641</v>
      </c>
      <c r="P300" s="227">
        <f t="shared" si="113"/>
        <v>2.5396020621113657</v>
      </c>
      <c r="Q300" s="227">
        <f t="shared" si="114"/>
        <v>7691.9467304406944</v>
      </c>
      <c r="R300" s="227" t="str">
        <f t="shared" si="100"/>
        <v>0.0355+0.0628289046844069i</v>
      </c>
      <c r="S300" s="227" t="str">
        <f t="shared" si="101"/>
        <v>0.018-0.0940505160606027i</v>
      </c>
      <c r="T300" s="227" t="str">
        <f t="shared" si="102"/>
        <v>0.019319735786666-0.093503625999839i</v>
      </c>
      <c r="U300" s="227" t="str">
        <f t="shared" si="103"/>
        <v>-4.88032774719404-2.13171500357852i</v>
      </c>
      <c r="V300" s="227">
        <f t="shared" si="115"/>
        <v>14.527339092452545</v>
      </c>
      <c r="W300" s="227">
        <f t="shared" si="116"/>
        <v>-156.40441439068286</v>
      </c>
      <c r="X300" s="227" t="str">
        <f t="shared" si="104"/>
        <v>0.999579263683528-0.00554209685543137i</v>
      </c>
      <c r="Y300" s="227" t="str">
        <f t="shared" si="105"/>
        <v>174.417407443915-297.680007049926i</v>
      </c>
      <c r="Z300" s="227" t="str">
        <f t="shared" si="106"/>
        <v>31.6851553719019-54.7713477993455i</v>
      </c>
      <c r="AA300" s="227" t="str">
        <f t="shared" si="107"/>
        <v>-0.0753259333911223-0.593655584317485i</v>
      </c>
      <c r="AB300" s="227">
        <f t="shared" si="117"/>
        <v>-4.4599452802728781</v>
      </c>
      <c r="AC300" s="227">
        <f t="shared" si="118"/>
        <v>-97.231327263772215</v>
      </c>
      <c r="AD300" s="229">
        <f t="shared" si="119"/>
        <v>1.9203432181615123</v>
      </c>
      <c r="AE300" s="229">
        <f t="shared" si="120"/>
        <v>163.65796714854486</v>
      </c>
      <c r="AF300" s="227">
        <f t="shared" si="108"/>
        <v>-2.5396020621113657</v>
      </c>
      <c r="AG300" s="227">
        <f t="shared" si="109"/>
        <v>66.426639884772641</v>
      </c>
      <c r="AH300" s="229" t="str">
        <f t="shared" si="110"/>
        <v>1.19703543848491-0.350991113464666i</v>
      </c>
    </row>
    <row r="301" spans="9:34" x14ac:dyDescent="0.2">
      <c r="I301" s="227">
        <v>297</v>
      </c>
      <c r="J301" s="227">
        <f t="shared" si="98"/>
        <v>3.8957863904546697</v>
      </c>
      <c r="K301" s="227">
        <f t="shared" si="97"/>
        <v>7866.5877313907367</v>
      </c>
      <c r="L301" s="227">
        <f t="shared" si="111"/>
        <v>49427.228451513467</v>
      </c>
      <c r="M301" s="227">
        <f t="shared" si="99"/>
        <v>1461.3483416011668</v>
      </c>
      <c r="N301" s="227">
        <f>SQRT((ABS(AC301)-171.5+'Small Signal'!C$59)^2)</f>
        <v>4.0550969456248822</v>
      </c>
      <c r="O301" s="227">
        <f t="shared" si="112"/>
        <v>66.082278280249227</v>
      </c>
      <c r="P301" s="227">
        <f t="shared" si="113"/>
        <v>2.714553173268595</v>
      </c>
      <c r="Q301" s="227">
        <f t="shared" si="114"/>
        <v>7866.5877313907367</v>
      </c>
      <c r="R301" s="227" t="str">
        <f t="shared" si="100"/>
        <v>0.0355+0.0642553969869675i</v>
      </c>
      <c r="S301" s="227" t="str">
        <f t="shared" si="101"/>
        <v>0.018-0.0919625616862875i</v>
      </c>
      <c r="T301" s="227" t="str">
        <f t="shared" si="102"/>
        <v>0.0192595847825381-0.0914286746710227i</v>
      </c>
      <c r="U301" s="227" t="str">
        <f t="shared" si="103"/>
        <v>-4.72991650554824-1.986926650067i</v>
      </c>
      <c r="V301" s="227">
        <f t="shared" si="115"/>
        <v>14.202856813614499</v>
      </c>
      <c r="W301" s="227">
        <f t="shared" si="116"/>
        <v>-157.2138697342682</v>
      </c>
      <c r="X301" s="227" t="str">
        <f t="shared" si="104"/>
        <v>0.999559941670857-0.00566792681449287i</v>
      </c>
      <c r="Y301" s="227" t="str">
        <f t="shared" si="105"/>
        <v>168.155346705453-294.101934428011i</v>
      </c>
      <c r="Z301" s="227" t="str">
        <f t="shared" si="106"/>
        <v>30.5329567156204-54.1116075517031i</v>
      </c>
      <c r="AA301" s="227" t="str">
        <f t="shared" si="107"/>
        <v>-0.0760709578948621-0.582141553216027i</v>
      </c>
      <c r="AB301" s="227">
        <f t="shared" si="117"/>
        <v>-4.6258948667653881</v>
      </c>
      <c r="AC301" s="227">
        <f t="shared" si="118"/>
        <v>-97.444903054375118</v>
      </c>
      <c r="AD301" s="229">
        <f t="shared" si="119"/>
        <v>1.9113416934967931</v>
      </c>
      <c r="AE301" s="229">
        <f t="shared" si="120"/>
        <v>163.52718133462434</v>
      </c>
      <c r="AF301" s="227">
        <f t="shared" si="108"/>
        <v>-2.714553173268595</v>
      </c>
      <c r="AG301" s="227">
        <f t="shared" si="109"/>
        <v>66.082278280249227</v>
      </c>
      <c r="AH301" s="229" t="str">
        <f t="shared" si="110"/>
        <v>1.19499207458348-0.353356214743283i</v>
      </c>
    </row>
    <row r="302" spans="9:34" x14ac:dyDescent="0.2">
      <c r="I302" s="227">
        <v>298</v>
      </c>
      <c r="J302" s="227">
        <f t="shared" si="98"/>
        <v>3.905536512981453</v>
      </c>
      <c r="K302" s="227">
        <f t="shared" si="97"/>
        <v>8045.1938507017967</v>
      </c>
      <c r="L302" s="227">
        <f t="shared" si="111"/>
        <v>50549.443796141088</v>
      </c>
      <c r="M302" s="227">
        <f t="shared" si="99"/>
        <v>1644.0096048888272</v>
      </c>
      <c r="N302" s="227">
        <f>SQRT((ABS(AC302)-171.5+'Small Signal'!C$59)^2)</f>
        <v>3.8400676356052372</v>
      </c>
      <c r="O302" s="227">
        <f t="shared" si="112"/>
        <v>65.728797764574097</v>
      </c>
      <c r="P302" s="227">
        <f t="shared" si="113"/>
        <v>2.8885707570373658</v>
      </c>
      <c r="Q302" s="227">
        <f t="shared" si="114"/>
        <v>8045.1938507017967</v>
      </c>
      <c r="R302" s="227" t="str">
        <f t="shared" si="100"/>
        <v>0.0355+0.0657142769349834i</v>
      </c>
      <c r="S302" s="227" t="str">
        <f t="shared" si="101"/>
        <v>0.018-0.0899209606298687i</v>
      </c>
      <c r="T302" s="227" t="str">
        <f t="shared" si="102"/>
        <v>0.019202073818841-0.0893997318646438i</v>
      </c>
      <c r="U302" s="227" t="str">
        <f t="shared" si="103"/>
        <v>-4.58269769593222-1.85015328832583i</v>
      </c>
      <c r="V302" s="227">
        <f t="shared" si="115"/>
        <v>13.878200872966314</v>
      </c>
      <c r="W302" s="227">
        <f t="shared" si="116"/>
        <v>-158.0147992108044</v>
      </c>
      <c r="X302" s="227" t="str">
        <f t="shared" si="104"/>
        <v>0.999539732308655-0.00579661366671421i</v>
      </c>
      <c r="Y302" s="227" t="str">
        <f t="shared" si="105"/>
        <v>162.068088554084-290.450492508171i</v>
      </c>
      <c r="Z302" s="227" t="str">
        <f t="shared" si="106"/>
        <v>29.4129242817296-53.4383717329059i</v>
      </c>
      <c r="AA302" s="227" t="str">
        <f t="shared" si="107"/>
        <v>-0.0767847848573066-0.570919135736913i</v>
      </c>
      <c r="AB302" s="227">
        <f t="shared" si="117"/>
        <v>-4.7906529386652155</v>
      </c>
      <c r="AC302" s="227">
        <f t="shared" si="118"/>
        <v>-97.659932364394763</v>
      </c>
      <c r="AD302" s="229">
        <f t="shared" si="119"/>
        <v>1.9020821816278499</v>
      </c>
      <c r="AE302" s="229">
        <f t="shared" si="120"/>
        <v>163.38873012896886</v>
      </c>
      <c r="AF302" s="227">
        <f t="shared" si="108"/>
        <v>-2.8885707570373658</v>
      </c>
      <c r="AG302" s="227">
        <f t="shared" si="109"/>
        <v>65.728797764574097</v>
      </c>
      <c r="AH302" s="229" t="str">
        <f t="shared" si="110"/>
        <v>1.19286240828788-0.355863227294401i</v>
      </c>
    </row>
    <row r="303" spans="9:34" x14ac:dyDescent="0.2">
      <c r="I303" s="227">
        <v>299</v>
      </c>
      <c r="J303" s="227">
        <f t="shared" si="98"/>
        <v>3.9152866355082363</v>
      </c>
      <c r="K303" s="227">
        <f t="shared" si="97"/>
        <v>8227.8551139894571</v>
      </c>
      <c r="L303" s="227">
        <f t="shared" si="111"/>
        <v>51697.138361820973</v>
      </c>
      <c r="M303" s="227">
        <f t="shared" si="99"/>
        <v>1830.8180817458879</v>
      </c>
      <c r="N303" s="227">
        <f>SQRT((ABS(AC303)-171.5+'Small Signal'!C$59)^2)</f>
        <v>3.6236104937507747</v>
      </c>
      <c r="O303" s="227">
        <f t="shared" si="112"/>
        <v>65.366189358329493</v>
      </c>
      <c r="P303" s="227">
        <f t="shared" si="113"/>
        <v>3.0616268446838406</v>
      </c>
      <c r="Q303" s="227">
        <f t="shared" si="114"/>
        <v>8227.8551139894571</v>
      </c>
      <c r="R303" s="227" t="str">
        <f t="shared" si="100"/>
        <v>0.0355+0.0672062798703673i</v>
      </c>
      <c r="S303" s="227" t="str">
        <f t="shared" si="101"/>
        <v>0.018-0.0879246838314639i</v>
      </c>
      <c r="T303" s="227" t="str">
        <f t="shared" si="102"/>
        <v>0.0191470870681481-0.0874157798293251i</v>
      </c>
      <c r="U303" s="227" t="str">
        <f t="shared" si="103"/>
        <v>-4.43875101996733-1.72103688099924i</v>
      </c>
      <c r="V303" s="227">
        <f t="shared" si="115"/>
        <v>13.55345731786155</v>
      </c>
      <c r="W303" s="227">
        <f t="shared" si="116"/>
        <v>-158.80719437169117</v>
      </c>
      <c r="X303" s="227" t="str">
        <f t="shared" si="104"/>
        <v>0.999518594846032-0.00592822227612766i</v>
      </c>
      <c r="Y303" s="227" t="str">
        <f t="shared" si="105"/>
        <v>156.154461623971-286.733437259828i</v>
      </c>
      <c r="Z303" s="227" t="str">
        <f t="shared" si="106"/>
        <v>28.324842208475-52.7530665374468i</v>
      </c>
      <c r="AA303" s="227" t="str">
        <f t="shared" si="107"/>
        <v>-0.0774688468191544-0.559982800230576i</v>
      </c>
      <c r="AB303" s="227">
        <f t="shared" si="117"/>
        <v>-4.9541747391059374</v>
      </c>
      <c r="AC303" s="227">
        <f t="shared" si="118"/>
        <v>-97.876389506249225</v>
      </c>
      <c r="AD303" s="229">
        <f t="shared" si="119"/>
        <v>1.8925478944220966</v>
      </c>
      <c r="AE303" s="229">
        <f t="shared" si="120"/>
        <v>163.24257886457872</v>
      </c>
      <c r="AF303" s="227">
        <f t="shared" si="108"/>
        <v>-3.0616268446838406</v>
      </c>
      <c r="AG303" s="227">
        <f t="shared" si="109"/>
        <v>65.366189358329493</v>
      </c>
      <c r="AH303" s="229" t="str">
        <f t="shared" si="110"/>
        <v>1.19064312796442-0.358511099586514i</v>
      </c>
    </row>
    <row r="304" spans="9:34" x14ac:dyDescent="0.2">
      <c r="I304" s="227">
        <v>300</v>
      </c>
      <c r="J304" s="227">
        <f t="shared" si="98"/>
        <v>3.9250367580350205</v>
      </c>
      <c r="K304" s="227">
        <f t="shared" si="97"/>
        <v>8414.6635908465178</v>
      </c>
      <c r="L304" s="227">
        <f t="shared" si="111"/>
        <v>52870.890638865858</v>
      </c>
      <c r="M304" s="227">
        <f t="shared" si="99"/>
        <v>2021.8679321495083</v>
      </c>
      <c r="N304" s="227">
        <f>SQRT((ABS(AC304)-171.5+'Small Signal'!C$59)^2)</f>
        <v>3.405757142155494</v>
      </c>
      <c r="O304" s="227">
        <f t="shared" si="112"/>
        <v>64.994448827431967</v>
      </c>
      <c r="P304" s="227">
        <f t="shared" si="113"/>
        <v>3.2336926686142897</v>
      </c>
      <c r="Q304" s="227">
        <f t="shared" si="114"/>
        <v>8414.6635908465178</v>
      </c>
      <c r="R304" s="227" t="str">
        <f t="shared" si="100"/>
        <v>0.0355+0.0687321578305256i</v>
      </c>
      <c r="S304" s="227" t="str">
        <f t="shared" si="101"/>
        <v>0.018-0.0859727250766821i</v>
      </c>
      <c r="T304" s="227" t="str">
        <f t="shared" si="102"/>
        <v>0.0190945137809479-0.0854758231703027i</v>
      </c>
      <c r="U304" s="227" t="str">
        <f t="shared" si="103"/>
        <v>-4.29814109856626-1.59922879616897i</v>
      </c>
      <c r="V304" s="227">
        <f t="shared" si="115"/>
        <v>13.228712735314582</v>
      </c>
      <c r="W304" s="227">
        <f t="shared" si="116"/>
        <v>-159.59104828149012</v>
      </c>
      <c r="X304" s="227" t="str">
        <f t="shared" si="104"/>
        <v>0.999496486660643-0.00606281897946418i</v>
      </c>
      <c r="Y304" s="227" t="str">
        <f t="shared" si="105"/>
        <v>150.412996925319-282.958250661102i</v>
      </c>
      <c r="Z304" s="227" t="str">
        <f t="shared" si="106"/>
        <v>27.2684398968565-52.0570677472144i</v>
      </c>
      <c r="AA304" s="227" t="str">
        <f t="shared" si="107"/>
        <v>-0.0781245169172961-0.549327151623762i</v>
      </c>
      <c r="AB304" s="227">
        <f t="shared" si="117"/>
        <v>-5.1164143129276995</v>
      </c>
      <c r="AC304" s="227">
        <f t="shared" si="118"/>
        <v>-98.094242857844506</v>
      </c>
      <c r="AD304" s="229">
        <f t="shared" si="119"/>
        <v>1.88272164431341</v>
      </c>
      <c r="AE304" s="229">
        <f t="shared" si="120"/>
        <v>163.08869168527647</v>
      </c>
      <c r="AF304" s="227">
        <f t="shared" si="108"/>
        <v>-3.2336926686142897</v>
      </c>
      <c r="AG304" s="227">
        <f t="shared" si="109"/>
        <v>64.994448827431967</v>
      </c>
      <c r="AH304" s="229" t="str">
        <f t="shared" si="110"/>
        <v>1.18833082579675-0.361298712656272i</v>
      </c>
    </row>
    <row r="305" spans="9:34" x14ac:dyDescent="0.2">
      <c r="I305" s="227">
        <v>301</v>
      </c>
      <c r="J305" s="227">
        <f t="shared" si="98"/>
        <v>3.9347868805618038</v>
      </c>
      <c r="K305" s="227">
        <f t="shared" si="97"/>
        <v>8605.7134412501382</v>
      </c>
      <c r="L305" s="227">
        <f t="shared" si="111"/>
        <v>54071.292251860745</v>
      </c>
      <c r="M305" s="227">
        <f t="shared" si="99"/>
        <v>2217.2554539223029</v>
      </c>
      <c r="N305" s="227">
        <f>SQRT((ABS(AC305)-171.5+'Small Signal'!C$59)^2)</f>
        <v>3.1865453680512559</v>
      </c>
      <c r="O305" s="227">
        <f t="shared" si="112"/>
        <v>64.613577028263464</v>
      </c>
      <c r="P305" s="227">
        <f t="shared" si="113"/>
        <v>3.4047386836615563</v>
      </c>
      <c r="Q305" s="227">
        <f t="shared" ref="Q305:Q368" si="121">K305</f>
        <v>8605.7134412501382</v>
      </c>
      <c r="R305" s="227" t="str">
        <f t="shared" si="100"/>
        <v>0.0355+0.070292679927419i</v>
      </c>
      <c r="S305" s="227" t="str">
        <f t="shared" si="101"/>
        <v>0.018-0.0840641004894443i</v>
      </c>
      <c r="T305" s="227" t="str">
        <f t="shared" si="102"/>
        <v>0.0190442480633549-0.0835788883685726i</v>
      </c>
      <c r="U305" s="227" t="str">
        <f t="shared" si="103"/>
        <v>-4.16091846445818-1.48439016538538i</v>
      </c>
      <c r="V305" s="227">
        <f t="shared" si="115"/>
        <v>12.904054213692142</v>
      </c>
      <c r="W305" s="227">
        <f t="shared" si="116"/>
        <v>-160.36635493803308</v>
      </c>
      <c r="X305" s="227" t="str">
        <f t="shared" si="104"/>
        <v>0.999473363172744-0.00620047161959003i</v>
      </c>
      <c r="Y305" s="227" t="str">
        <f t="shared" si="105"/>
        <v>144.841951813574-279.132134138221i</v>
      </c>
      <c r="Z305" s="227" t="str">
        <f t="shared" si="106"/>
        <v>26.2433964195911-51.3516995248085i</v>
      </c>
      <c r="AA305" s="227" t="str">
        <f t="shared" si="107"/>
        <v>-0.0787531116035973-0.538946929229066i</v>
      </c>
      <c r="AB305" s="227">
        <f t="shared" si="117"/>
        <v>-5.2773245076077222</v>
      </c>
      <c r="AC305" s="227">
        <f t="shared" si="118"/>
        <v>-98.313454631948744</v>
      </c>
      <c r="AD305" s="229">
        <f t="shared" si="119"/>
        <v>1.8725858239461659</v>
      </c>
      <c r="AE305" s="229">
        <f t="shared" si="120"/>
        <v>162.92703166021221</v>
      </c>
      <c r="AF305" s="227">
        <f t="shared" si="108"/>
        <v>-3.4047386836615563</v>
      </c>
      <c r="AG305" s="227">
        <f t="shared" si="109"/>
        <v>64.613577028263464</v>
      </c>
      <c r="AH305" s="229" t="str">
        <f t="shared" si="110"/>
        <v>1.18592199781151-0.364224872348887i</v>
      </c>
    </row>
    <row r="306" spans="9:34" x14ac:dyDescent="0.2">
      <c r="I306" s="227">
        <v>302</v>
      </c>
      <c r="J306" s="227">
        <f t="shared" si="98"/>
        <v>3.9445370030885871</v>
      </c>
      <c r="K306" s="227">
        <f t="shared" si="97"/>
        <v>8801.1009630229328</v>
      </c>
      <c r="L306" s="227">
        <f t="shared" si="111"/>
        <v>55298.948257869801</v>
      </c>
      <c r="M306" s="227">
        <f t="shared" si="99"/>
        <v>2417.0791312707088</v>
      </c>
      <c r="N306" s="227">
        <f>SQRT((ABS(AC306)-171.5+'Small Signal'!C$59)^2)</f>
        <v>2.9660193519883933</v>
      </c>
      <c r="O306" s="227">
        <f t="shared" si="112"/>
        <v>64.223580258289928</v>
      </c>
      <c r="P306" s="227">
        <f t="shared" si="113"/>
        <v>3.5747345913245714</v>
      </c>
      <c r="Q306" s="227">
        <f t="shared" si="121"/>
        <v>8801.1009630229328</v>
      </c>
      <c r="R306" s="227" t="str">
        <f t="shared" si="100"/>
        <v>0.0355+0.0718886327352307i</v>
      </c>
      <c r="S306" s="227" t="str">
        <f t="shared" si="101"/>
        <v>0.018-0.0821978480360637i</v>
      </c>
      <c r="T306" s="227" t="str">
        <f t="shared" si="102"/>
        <v>0.0189961886645227-0.0817240233097066i</v>
      </c>
      <c r="U306" s="227" t="str">
        <f t="shared" si="103"/>
        <v>-4.02712053418634-1.37619217079816i</v>
      </c>
      <c r="V306" s="227">
        <f t="shared" si="115"/>
        <v>12.579569305016051</v>
      </c>
      <c r="W306" s="227">
        <f t="shared" si="116"/>
        <v>-161.13310869107659</v>
      </c>
      <c r="X306" s="227" t="str">
        <f t="shared" si="104"/>
        <v>0.999449177755297-0.0063412495797028i</v>
      </c>
      <c r="Y306" s="227" t="str">
        <f t="shared" si="105"/>
        <v>139.439333449925-275.262003753448i</v>
      </c>
      <c r="Z306" s="227" t="str">
        <f t="shared" si="106"/>
        <v>25.2493448365018-50.6382335284841i</v>
      </c>
      <c r="AA306" s="227" t="str">
        <f t="shared" si="107"/>
        <v>-0.0793558932538886-0.528837004590326i</v>
      </c>
      <c r="AB306" s="227">
        <f t="shared" si="117"/>
        <v>-5.4368569773768662</v>
      </c>
      <c r="AC306" s="227">
        <f t="shared" si="118"/>
        <v>-98.533980648011607</v>
      </c>
      <c r="AD306" s="229">
        <f t="shared" si="119"/>
        <v>1.8621223860522949</v>
      </c>
      <c r="AE306" s="229">
        <f t="shared" si="120"/>
        <v>162.75756090630153</v>
      </c>
      <c r="AF306" s="227">
        <f t="shared" si="108"/>
        <v>-3.5747345913245714</v>
      </c>
      <c r="AG306" s="227">
        <f t="shared" si="109"/>
        <v>64.223580258289928</v>
      </c>
      <c r="AH306" s="229" t="str">
        <f t="shared" si="110"/>
        <v>1.18341304422295-0.367288301268541i</v>
      </c>
    </row>
    <row r="307" spans="9:34" x14ac:dyDescent="0.2">
      <c r="I307" s="227">
        <v>303</v>
      </c>
      <c r="J307" s="227">
        <f t="shared" si="98"/>
        <v>3.9542871256153704</v>
      </c>
      <c r="K307" s="227">
        <f t="shared" si="97"/>
        <v>9000.9246403713387</v>
      </c>
      <c r="L307" s="227">
        <f t="shared" si="111"/>
        <v>56554.477451411898</v>
      </c>
      <c r="M307" s="227">
        <f t="shared" si="99"/>
        <v>2621.4396844255398</v>
      </c>
      <c r="N307" s="227">
        <f>SQRT((ABS(AC307)-171.5+'Small Signal'!C$59)^2)</f>
        <v>2.7442298920469739</v>
      </c>
      <c r="O307" s="227">
        <f t="shared" si="112"/>
        <v>63.824470610904228</v>
      </c>
      <c r="P307" s="227">
        <f t="shared" si="113"/>
        <v>3.7436493671212947</v>
      </c>
      <c r="Q307" s="227">
        <f t="shared" si="121"/>
        <v>9000.9246403713387</v>
      </c>
      <c r="R307" s="227" t="str">
        <f t="shared" si="100"/>
        <v>0.0355+0.0735208206868355i</v>
      </c>
      <c r="S307" s="227" t="str">
        <f t="shared" si="101"/>
        <v>0.018-0.0803730270403387i</v>
      </c>
      <c r="T307" s="227" t="str">
        <f t="shared" si="102"/>
        <v>0.0189502387733393-0.0799102968221903i</v>
      </c>
      <c r="U307" s="227" t="str">
        <f t="shared" si="103"/>
        <v>-3.89677255576266-1.27431626591141i</v>
      </c>
      <c r="V307" s="227">
        <f t="shared" si="115"/>
        <v>12.255345987576947</v>
      </c>
      <c r="W307" s="227">
        <f t="shared" si="116"/>
        <v>-161.89130366283217</v>
      </c>
      <c r="X307" s="227" t="str">
        <f t="shared" si="104"/>
        <v>0.999423881639953-0.00648522381830363i</v>
      </c>
      <c r="Y307" s="227" t="str">
        <f t="shared" si="105"/>
        <v>134.202921649411-271.354487027755i</v>
      </c>
      <c r="Z307" s="227" t="str">
        <f t="shared" si="106"/>
        <v>24.2858763972584-49.9178883277948i</v>
      </c>
      <c r="AA307" s="227" t="str">
        <f t="shared" si="107"/>
        <v>-0.0799340726721374-0.51899237936521i</v>
      </c>
      <c r="AB307" s="227">
        <f t="shared" si="117"/>
        <v>-5.5949621907267657</v>
      </c>
      <c r="AC307" s="227">
        <f t="shared" si="118"/>
        <v>-98.755770107953026</v>
      </c>
      <c r="AD307" s="229">
        <f t="shared" si="119"/>
        <v>1.8513128236054712</v>
      </c>
      <c r="AE307" s="229">
        <f t="shared" si="120"/>
        <v>162.58024071885725</v>
      </c>
      <c r="AF307" s="227">
        <f t="shared" si="108"/>
        <v>-3.7436493671212947</v>
      </c>
      <c r="AG307" s="227">
        <f t="shared" si="109"/>
        <v>63.824470610904228</v>
      </c>
      <c r="AH307" s="229" t="str">
        <f t="shared" si="110"/>
        <v>1.18080027012835-0.370487630440462i</v>
      </c>
    </row>
    <row r="308" spans="9:34" x14ac:dyDescent="0.2">
      <c r="I308" s="227">
        <v>304</v>
      </c>
      <c r="J308" s="227">
        <f t="shared" si="98"/>
        <v>3.9640372481421537</v>
      </c>
      <c r="K308" s="227">
        <f t="shared" si="97"/>
        <v>9205.2851935261697</v>
      </c>
      <c r="L308" s="227">
        <f t="shared" si="111"/>
        <v>57838.512676361424</v>
      </c>
      <c r="M308" s="227">
        <f t="shared" si="99"/>
        <v>2830.4401204095839</v>
      </c>
      <c r="N308" s="227">
        <f>SQRT((ABS(AC308)-171.5+'Small Signal'!C$59)^2)</f>
        <v>2.5212346224359123</v>
      </c>
      <c r="O308" s="227">
        <f t="shared" si="112"/>
        <v>63.4162663331212</v>
      </c>
      <c r="P308" s="227">
        <f t="shared" si="113"/>
        <v>3.9114512912120927</v>
      </c>
      <c r="Q308" s="227">
        <f t="shared" si="121"/>
        <v>9205.2851935261697</v>
      </c>
      <c r="R308" s="227" t="str">
        <f t="shared" si="100"/>
        <v>0.0355+0.0751900664792699i</v>
      </c>
      <c r="S308" s="227" t="str">
        <f t="shared" si="101"/>
        <v>0.018-0.0785887177094074i</v>
      </c>
      <c r="T308" s="227" t="str">
        <f t="shared" si="102"/>
        <v>0.0189063058239999-0.0781367982251289i</v>
      </c>
      <c r="U308" s="227" t="str">
        <f t="shared" si="103"/>
        <v>-3.76988852870101-1.17845433456344i</v>
      </c>
      <c r="V308" s="227">
        <f t="shared" si="115"/>
        <v>11.931472628538444</v>
      </c>
      <c r="W308" s="227">
        <f t="shared" si="116"/>
        <v>-162.64093317371822</v>
      </c>
      <c r="X308" s="227" t="str">
        <f t="shared" si="104"/>
        <v>0.999397423818708-0.00663246690496353i</v>
      </c>
      <c r="Y308" s="227" t="str">
        <f t="shared" si="105"/>
        <v>129.130291027408-267.415921281737i</v>
      </c>
      <c r="Z308" s="227" t="str">
        <f t="shared" si="106"/>
        <v>23.3525446150549-49.1918290985048i</v>
      </c>
      <c r="AA308" s="227" t="str">
        <f t="shared" si="107"/>
        <v>-0.0804888114944052-0.509408183245773i</v>
      </c>
      <c r="AB308" s="227">
        <f t="shared" si="117"/>
        <v>-5.7515894415172495</v>
      </c>
      <c r="AC308" s="227">
        <f t="shared" si="118"/>
        <v>-98.978765377564088</v>
      </c>
      <c r="AD308" s="229">
        <f t="shared" si="119"/>
        <v>1.8401381503051568</v>
      </c>
      <c r="AE308" s="229">
        <f t="shared" si="120"/>
        <v>162.39503171068529</v>
      </c>
      <c r="AF308" s="227">
        <f t="shared" si="108"/>
        <v>-3.9114512912120927</v>
      </c>
      <c r="AG308" s="227">
        <f t="shared" si="109"/>
        <v>63.4162663331212</v>
      </c>
      <c r="AH308" s="229" t="str">
        <f t="shared" si="110"/>
        <v>1.17807988658827-0.373821390688423i</v>
      </c>
    </row>
    <row r="309" spans="9:34" x14ac:dyDescent="0.2">
      <c r="I309" s="227">
        <v>305</v>
      </c>
      <c r="J309" s="227">
        <f t="shared" si="98"/>
        <v>3.9737873706689371</v>
      </c>
      <c r="K309" s="227">
        <f t="shared" si="97"/>
        <v>9414.2856295102138</v>
      </c>
      <c r="L309" s="227">
        <f t="shared" si="111"/>
        <v>59151.701144930499</v>
      </c>
      <c r="M309" s="227">
        <f t="shared" si="99"/>
        <v>3044.1857849577655</v>
      </c>
      <c r="N309" s="227">
        <f>SQRT((ABS(AC309)-171.5+'Small Signal'!C$59)^2)</f>
        <v>2.297098224683495</v>
      </c>
      <c r="O309" s="227">
        <f t="shared" si="112"/>
        <v>62.998992184587266</v>
      </c>
      <c r="P309" s="227">
        <f t="shared" si="113"/>
        <v>4.0781079824367961</v>
      </c>
      <c r="Q309" s="227">
        <f t="shared" si="121"/>
        <v>9414.2856295102138</v>
      </c>
      <c r="R309" s="227" t="str">
        <f t="shared" si="100"/>
        <v>0.0355+0.0768972114884097i</v>
      </c>
      <c r="S309" s="227" t="str">
        <f t="shared" si="101"/>
        <v>0.018-0.0768440206701327i</v>
      </c>
      <c r="T309" s="227" t="str">
        <f t="shared" si="102"/>
        <v>0.0188643013100743-0.0764026368851745i</v>
      </c>
      <c r="U309" s="227" t="str">
        <f t="shared" si="103"/>
        <v>-3.64647209366927-1.08830879275757i</v>
      </c>
      <c r="V309" s="227">
        <f t="shared" si="115"/>
        <v>11.608037946203478</v>
      </c>
      <c r="W309" s="227">
        <f t="shared" si="116"/>
        <v>-163.38198917667606</v>
      </c>
      <c r="X309" s="227" t="str">
        <f t="shared" si="104"/>
        <v>0.999369750941056-0.00678305305690176i</v>
      </c>
      <c r="Y309" s="227" t="str">
        <f t="shared" si="105"/>
        <v>124.218832369307-263.452353376721i</v>
      </c>
      <c r="Z309" s="227" t="str">
        <f t="shared" si="106"/>
        <v>22.4488691973944-48.4611675750552i</v>
      </c>
      <c r="AA309" s="227" t="str">
        <f t="shared" si="107"/>
        <v>-0.0810212244972712-0.50007967191809i</v>
      </c>
      <c r="AB309" s="227">
        <f t="shared" si="117"/>
        <v>-5.9066868638828165</v>
      </c>
      <c r="AC309" s="227">
        <f t="shared" si="118"/>
        <v>-99.202901775316505</v>
      </c>
      <c r="AD309" s="229">
        <f t="shared" si="119"/>
        <v>1.8285788814460209</v>
      </c>
      <c r="AE309" s="229">
        <f t="shared" si="120"/>
        <v>162.20189395990377</v>
      </c>
      <c r="AF309" s="227">
        <f t="shared" si="108"/>
        <v>-4.0781079824367961</v>
      </c>
      <c r="AG309" s="227">
        <f t="shared" si="109"/>
        <v>62.998992184587266</v>
      </c>
      <c r="AH309" s="229" t="str">
        <f t="shared" si="110"/>
        <v>1.17524801212692-0.377288003733834i</v>
      </c>
    </row>
    <row r="310" spans="9:34" x14ac:dyDescent="0.2">
      <c r="I310" s="227">
        <v>306</v>
      </c>
      <c r="J310" s="227">
        <f t="shared" si="98"/>
        <v>3.9835374931957204</v>
      </c>
      <c r="K310" s="227">
        <f t="shared" si="97"/>
        <v>9628.0312940583954</v>
      </c>
      <c r="L310" s="227">
        <f t="shared" si="111"/>
        <v>60494.704763892965</v>
      </c>
      <c r="M310" s="227">
        <f t="shared" si="99"/>
        <v>3262.7844156162946</v>
      </c>
      <c r="N310" s="227">
        <f>SQRT((ABS(AC310)-171.5+'Small Signal'!C$59)^2)</f>
        <v>2.0718926295144939</v>
      </c>
      <c r="O310" s="227">
        <f t="shared" si="112"/>
        <v>62.572679796259976</v>
      </c>
      <c r="P310" s="227">
        <f t="shared" si="113"/>
        <v>4.2435864359001449</v>
      </c>
      <c r="Q310" s="227">
        <f t="shared" si="121"/>
        <v>9628.0312940583954</v>
      </c>
      <c r="R310" s="227" t="str">
        <f t="shared" si="100"/>
        <v>0.0355+0.0786431161930609i</v>
      </c>
      <c r="S310" s="227" t="str">
        <f t="shared" si="101"/>
        <v>0.018-0.0751380565157753i</v>
      </c>
      <c r="T310" s="227" t="str">
        <f t="shared" si="102"/>
        <v>0.0188241406066961-0.0747069417825172i</v>
      </c>
      <c r="U310" s="227" t="str">
        <f t="shared" si="103"/>
        <v>-3.52651738949087-1.00359263794773i</v>
      </c>
      <c r="V310" s="227">
        <f t="shared" si="115"/>
        <v>11.28513097160798</v>
      </c>
      <c r="W310" s="227">
        <f t="shared" si="116"/>
        <v>-164.1144617033965</v>
      </c>
      <c r="X310" s="227" t="str">
        <f t="shared" si="104"/>
        <v>0.999340807206405-0.00693705817639467i</v>
      </c>
      <c r="Y310" s="227" t="str">
        <f t="shared" si="105"/>
        <v>119.465773161486-259.469540738277i</v>
      </c>
      <c r="Z310" s="227" t="str">
        <f t="shared" si="106"/>
        <v>21.5743398225918-47.726962238916i</v>
      </c>
      <c r="AA310" s="227" t="str">
        <f t="shared" si="107"/>
        <v>-0.081532381814973-0.491002225061698i</v>
      </c>
      <c r="AB310" s="227">
        <f t="shared" si="117"/>
        <v>-6.0602014511360123</v>
      </c>
      <c r="AC310" s="227">
        <f t="shared" si="118"/>
        <v>-99.428107370485506</v>
      </c>
      <c r="AD310" s="229">
        <f t="shared" si="119"/>
        <v>1.8166150152358673</v>
      </c>
      <c r="AE310" s="229">
        <f t="shared" si="120"/>
        <v>162.00078716674548</v>
      </c>
      <c r="AF310" s="227">
        <f t="shared" si="108"/>
        <v>-4.2435864359001449</v>
      </c>
      <c r="AG310" s="227">
        <f t="shared" si="109"/>
        <v>62.572679796259976</v>
      </c>
      <c r="AH310" s="229" t="str">
        <f t="shared" si="110"/>
        <v>1.17230067468982-0.380885773025188i</v>
      </c>
    </row>
    <row r="311" spans="9:34" x14ac:dyDescent="0.2">
      <c r="I311" s="227">
        <v>307</v>
      </c>
      <c r="J311" s="227">
        <f t="shared" si="98"/>
        <v>3.9932876157225037</v>
      </c>
      <c r="K311" s="227">
        <f t="shared" si="97"/>
        <v>9846.6299247169245</v>
      </c>
      <c r="L311" s="227">
        <f t="shared" si="111"/>
        <v>61868.200468216215</v>
      </c>
      <c r="M311" s="227">
        <f t="shared" si="99"/>
        <v>3486.3461960472277</v>
      </c>
      <c r="N311" s="227">
        <f>SQRT((ABS(AC311)-171.5+'Small Signal'!C$59)^2)</f>
        <v>1.8456972073526572</v>
      </c>
      <c r="O311" s="227">
        <f t="shared" si="112"/>
        <v>62.137368026945808</v>
      </c>
      <c r="P311" s="227">
        <f t="shared" si="113"/>
        <v>4.407853064225292</v>
      </c>
      <c r="Q311" s="227">
        <f t="shared" si="121"/>
        <v>9846.6299247169245</v>
      </c>
      <c r="R311" s="227" t="str">
        <f t="shared" si="100"/>
        <v>0.0355+0.0804286606086811i</v>
      </c>
      <c r="S311" s="227" t="str">
        <f t="shared" si="101"/>
        <v>0.018-0.0734699653627341i</v>
      </c>
      <c r="T311" s="227" t="str">
        <f t="shared" si="102"/>
        <v>0.0187857428005236-0.0730488610857947i</v>
      </c>
      <c r="U311" s="227" t="str">
        <f t="shared" si="103"/>
        <v>-3.41000987568704-0.924029450318745i</v>
      </c>
      <c r="V311" s="227">
        <f t="shared" si="115"/>
        <v>10.962841009103602</v>
      </c>
      <c r="W311" s="227">
        <f t="shared" si="116"/>
        <v>-164.83833832580186</v>
      </c>
      <c r="X311" s="227" t="str">
        <f t="shared" si="104"/>
        <v>0.99931053425156-0.00709455988903391i</v>
      </c>
      <c r="Y311" s="227" t="str">
        <f t="shared" si="105"/>
        <v>114.868197234242-255.472953545318i</v>
      </c>
      <c r="Z311" s="227" t="str">
        <f t="shared" si="106"/>
        <v>20.7284197529226-46.9902187213358i</v>
      </c>
      <c r="AA311" s="227" t="str">
        <f t="shared" si="107"/>
        <v>-0.0820233110696132-0.482171344389582i</v>
      </c>
      <c r="AB311" s="227">
        <f t="shared" si="117"/>
        <v>-6.2120790788556519</v>
      </c>
      <c r="AC311" s="227">
        <f t="shared" si="118"/>
        <v>-99.654302792647343</v>
      </c>
      <c r="AD311" s="229">
        <f t="shared" si="119"/>
        <v>1.8042260146303601</v>
      </c>
      <c r="AE311" s="229">
        <f t="shared" si="120"/>
        <v>161.79167081959315</v>
      </c>
      <c r="AF311" s="227">
        <f t="shared" si="108"/>
        <v>-4.407853064225292</v>
      </c>
      <c r="AG311" s="227">
        <f t="shared" si="109"/>
        <v>62.137368026945808</v>
      </c>
      <c r="AH311" s="229" t="str">
        <f t="shared" si="110"/>
        <v>1.16923381409731-0.384612874309548i</v>
      </c>
    </row>
    <row r="312" spans="9:34" x14ac:dyDescent="0.2">
      <c r="I312" s="227">
        <v>308</v>
      </c>
      <c r="J312" s="227">
        <f t="shared" si="98"/>
        <v>4.0030377382492865</v>
      </c>
      <c r="K312" s="227">
        <f t="shared" si="97"/>
        <v>10070.191705147858</v>
      </c>
      <c r="L312" s="227">
        <f t="shared" si="111"/>
        <v>63272.880562266764</v>
      </c>
      <c r="M312" s="227">
        <f t="shared" si="99"/>
        <v>3714.9838115660596</v>
      </c>
      <c r="N312" s="227">
        <f>SQRT((ABS(AC312)-171.5+'Small Signal'!C$59)^2)</f>
        <v>1.61859894528979</v>
      </c>
      <c r="O312" s="227">
        <f t="shared" si="112"/>
        <v>61.693103315777307</v>
      </c>
      <c r="P312" s="227">
        <f t="shared" si="113"/>
        <v>4.5708737425770209</v>
      </c>
      <c r="Q312" s="227">
        <f t="shared" si="121"/>
        <v>10070.191705147858</v>
      </c>
      <c r="R312" s="227" t="str">
        <f t="shared" si="100"/>
        <v>0.0355+0.0822547447309468i</v>
      </c>
      <c r="S312" s="227" t="str">
        <f t="shared" si="101"/>
        <v>0.018-0.0718389064171239i</v>
      </c>
      <c r="T312" s="227" t="str">
        <f t="shared" si="102"/>
        <v>0.0187490305271329-0.0714275617357654i</v>
      </c>
      <c r="U312" s="227" t="str">
        <f t="shared" si="103"/>
        <v>-3.29692711918171-0.849353350501917i</v>
      </c>
      <c r="V312" s="227">
        <f t="shared" si="115"/>
        <v>10.641257595596329</v>
      </c>
      <c r="W312" s="227">
        <f t="shared" si="116"/>
        <v>-165.55360363612422</v>
      </c>
      <c r="X312" s="227" t="str">
        <f t="shared" si="104"/>
        <v>0.999278871033042-0.00725563758285329i</v>
      </c>
      <c r="Y312" s="227" t="str">
        <f t="shared" si="105"/>
        <v>110.423063478997-251.467777970384i</v>
      </c>
      <c r="Z312" s="227" t="str">
        <f t="shared" si="106"/>
        <v>19.9105492774819-46.2518903994457i</v>
      </c>
      <c r="AA312" s="227" t="str">
        <f t="shared" si="107"/>
        <v>-0.0824949994183965-0.473582651729441i</v>
      </c>
      <c r="AB312" s="227">
        <f t="shared" si="117"/>
        <v>-6.3622645323369023</v>
      </c>
      <c r="AC312" s="227">
        <f t="shared" si="118"/>
        <v>-99.88140105471021</v>
      </c>
      <c r="AD312" s="229">
        <f t="shared" si="119"/>
        <v>1.7913907897598811</v>
      </c>
      <c r="AE312" s="229">
        <f t="shared" si="120"/>
        <v>161.57450437048752</v>
      </c>
      <c r="AF312" s="227">
        <f t="shared" si="108"/>
        <v>-4.5708737425770209</v>
      </c>
      <c r="AG312" s="227">
        <f t="shared" si="109"/>
        <v>61.693103315777307</v>
      </c>
      <c r="AH312" s="229" t="str">
        <f t="shared" si="110"/>
        <v>1.16604328503399-0.38846734596098i</v>
      </c>
    </row>
    <row r="313" spans="9:34" x14ac:dyDescent="0.2">
      <c r="I313" s="227">
        <v>309</v>
      </c>
      <c r="J313" s="227">
        <f t="shared" si="98"/>
        <v>4.0127878607760703</v>
      </c>
      <c r="K313" s="227">
        <f t="shared" si="97"/>
        <v>10298.829320666689</v>
      </c>
      <c r="L313" s="227">
        <f t="shared" si="111"/>
        <v>64709.453068763265</v>
      </c>
      <c r="M313" s="227">
        <f t="shared" si="99"/>
        <v>3948.8125059402819</v>
      </c>
      <c r="N313" s="227">
        <f>SQRT((ABS(AC313)-171.5+'Small Signal'!C$59)^2)</f>
        <v>1.3906926082199931</v>
      </c>
      <c r="O313" s="227">
        <f t="shared" si="112"/>
        <v>61.23994002854748</v>
      </c>
      <c r="P313" s="227">
        <f t="shared" si="113"/>
        <v>4.7326138575411703</v>
      </c>
      <c r="Q313" s="227">
        <f t="shared" si="121"/>
        <v>10298.829320666689</v>
      </c>
      <c r="R313" s="227" t="str">
        <f t="shared" si="100"/>
        <v>0.0355+0.0841222889893923i</v>
      </c>
      <c r="S313" s="227" t="str">
        <f t="shared" si="101"/>
        <v>0.018-0.0702440575509785i</v>
      </c>
      <c r="T313" s="227" t="str">
        <f t="shared" si="102"/>
        <v>0.0187139298155197-0.0698422290375967i</v>
      </c>
      <c r="U313" s="227" t="str">
        <f t="shared" si="103"/>
        <v>-3.18723954418634-0.779308918035636i</v>
      </c>
      <c r="V313" s="227">
        <f t="shared" si="115"/>
        <v>10.3204704581117</v>
      </c>
      <c r="W313" s="227">
        <f t="shared" si="116"/>
        <v>-166.26023874891186</v>
      </c>
      <c r="X313" s="227" t="str">
        <f t="shared" si="104"/>
        <v>0.999245753703991-0.00742037244834392i</v>
      </c>
      <c r="Y313" s="227" t="str">
        <f t="shared" si="105"/>
        <v>106.127223612964-247.458920359766i</v>
      </c>
      <c r="Z313" s="227" t="str">
        <f t="shared" si="106"/>
        <v>19.120148979823-45.5128791652323i</v>
      </c>
      <c r="AA313" s="227" t="str">
        <f t="shared" si="107"/>
        <v>-0.0829483955219014-0.465231887146722i</v>
      </c>
      <c r="AB313" s="227">
        <f t="shared" si="117"/>
        <v>-6.5107015385700908</v>
      </c>
      <c r="AC313" s="227">
        <f t="shared" si="118"/>
        <v>-100.10930739178001</v>
      </c>
      <c r="AD313" s="229">
        <f t="shared" si="119"/>
        <v>1.7780876810289203</v>
      </c>
      <c r="AE313" s="229">
        <f t="shared" si="120"/>
        <v>161.34924742032749</v>
      </c>
      <c r="AF313" s="227">
        <f t="shared" si="108"/>
        <v>-4.7326138575411703</v>
      </c>
      <c r="AG313" s="227">
        <f t="shared" si="109"/>
        <v>61.23994002854748</v>
      </c>
      <c r="AH313" s="229" t="str">
        <f t="shared" si="110"/>
        <v>1.16272486061518-0.392447079084387i</v>
      </c>
    </row>
    <row r="314" spans="9:34" x14ac:dyDescent="0.2">
      <c r="I314" s="227">
        <v>310</v>
      </c>
      <c r="J314" s="227">
        <f t="shared" si="98"/>
        <v>4.0225379833028541</v>
      </c>
      <c r="K314" s="227">
        <f t="shared" si="97"/>
        <v>10532.658015040912</v>
      </c>
      <c r="L314" s="227">
        <f t="shared" si="111"/>
        <v>66178.642085652362</v>
      </c>
      <c r="M314" s="227">
        <f t="shared" si="99"/>
        <v>4187.9501394774279</v>
      </c>
      <c r="N314" s="227">
        <f>SQRT((ABS(AC314)-171.5+'Small Signal'!C$59)^2)</f>
        <v>1.1620808817452399</v>
      </c>
      <c r="O314" s="227">
        <f t="shared" si="112"/>
        <v>60.777940795719573</v>
      </c>
      <c r="P314" s="227">
        <f t="shared" si="113"/>
        <v>4.8930383599195277</v>
      </c>
      <c r="Q314" s="227">
        <f t="shared" si="121"/>
        <v>10532.658015040912</v>
      </c>
      <c r="R314" s="227" t="str">
        <f t="shared" si="100"/>
        <v>0.0355+0.0860322347113481i</v>
      </c>
      <c r="S314" s="227" t="str">
        <f t="shared" si="101"/>
        <v>0.018-0.0686846148878599i</v>
      </c>
      <c r="T314" s="227" t="str">
        <f t="shared" si="102"/>
        <v>0.018680369939401-0.0682920662616161i</v>
      </c>
      <c r="U314" s="227" t="str">
        <f t="shared" si="103"/>
        <v>-3.08091114464555-0.713651074725322i</v>
      </c>
      <c r="V314" s="227">
        <f t="shared" si="115"/>
        <v>10.000569469371161</v>
      </c>
      <c r="W314" s="227">
        <f t="shared" si="116"/>
        <v>-166.9582208282815</v>
      </c>
      <c r="X314" s="227" t="str">
        <f t="shared" si="104"/>
        <v>0.999211115485427-0.00758884751937795i</v>
      </c>
      <c r="Y314" s="227" t="str">
        <f t="shared" si="105"/>
        <v>101.977438974305-243.451012246007i</v>
      </c>
      <c r="Z314" s="227" t="str">
        <f t="shared" si="106"/>
        <v>18.3566228272535-44.7740363476158i</v>
      </c>
      <c r="AA314" s="227" t="str">
        <f t="shared" si="107"/>
        <v>-0.0833844114371397-0.457114907110045i</v>
      </c>
      <c r="AB314" s="227">
        <f t="shared" si="117"/>
        <v>-6.6573328028970398</v>
      </c>
      <c r="AC314" s="227">
        <f t="shared" si="118"/>
        <v>-100.33791911825476</v>
      </c>
      <c r="AD314" s="229">
        <f t="shared" si="119"/>
        <v>1.7642944429775123</v>
      </c>
      <c r="AE314" s="229">
        <f t="shared" si="120"/>
        <v>161.11585991397433</v>
      </c>
      <c r="AF314" s="227">
        <f t="shared" si="108"/>
        <v>-4.8930383599195277</v>
      </c>
      <c r="AG314" s="227">
        <f t="shared" si="109"/>
        <v>60.777940795719573</v>
      </c>
      <c r="AH314" s="229" t="str">
        <f t="shared" si="110"/>
        <v>1.15927423657298-0.396549807416936i</v>
      </c>
    </row>
    <row r="315" spans="9:34" x14ac:dyDescent="0.2">
      <c r="I315" s="227">
        <v>311</v>
      </c>
      <c r="J315" s="227">
        <f t="shared" si="98"/>
        <v>4.0322881058296378</v>
      </c>
      <c r="K315" s="227">
        <f t="shared" si="97"/>
        <v>10771.795648578058</v>
      </c>
      <c r="L315" s="227">
        <f t="shared" si="111"/>
        <v>67681.188151086651</v>
      </c>
      <c r="M315" s="227">
        <f t="shared" si="99"/>
        <v>4432.5172484320492</v>
      </c>
      <c r="N315" s="227">
        <f>SQRT((ABS(AC315)-171.5+'Small Signal'!C$59)^2)</f>
        <v>0.93287449435031533</v>
      </c>
      <c r="O315" s="227">
        <f t="shared" si="112"/>
        <v>60.307176839783821</v>
      </c>
      <c r="P315" s="227">
        <f t="shared" si="113"/>
        <v>5.0521118214795671</v>
      </c>
      <c r="Q315" s="227">
        <f t="shared" si="121"/>
        <v>10771.795648578058</v>
      </c>
      <c r="R315" s="227" t="str">
        <f t="shared" si="100"/>
        <v>0.0355+0.0879855445964127i</v>
      </c>
      <c r="S315" s="227" t="str">
        <f t="shared" si="101"/>
        <v>0.018-0.0671597923976687i</v>
      </c>
      <c r="T315" s="227" t="str">
        <f t="shared" si="102"/>
        <v>0.0186482832750195-0.0667762942523772i</v>
      </c>
      <c r="U315" s="227" t="str">
        <f t="shared" si="103"/>
        <v>-2.97790015895253-0.65214493687978i</v>
      </c>
      <c r="V315" s="227">
        <f t="shared" si="115"/>
        <v>9.6816446010781085</v>
      </c>
      <c r="W315" s="227">
        <f t="shared" si="116"/>
        <v>-167.6475226437172</v>
      </c>
      <c r="X315" s="227" t="str">
        <f t="shared" si="104"/>
        <v>0.999174886531593-0.00776114771506139i</v>
      </c>
      <c r="Y315" s="227" t="str">
        <f t="shared" si="105"/>
        <v>97.9703963397982-239.448416089827i</v>
      </c>
      <c r="Z315" s="227" t="str">
        <f t="shared" si="106"/>
        <v>17.6193610803205-44.0361637686907i</v>
      </c>
      <c r="AA315" s="227" t="str">
        <f t="shared" si="107"/>
        <v>-0.0838039244390937-0.449227682699478i</v>
      </c>
      <c r="AB315" s="227">
        <f t="shared" si="117"/>
        <v>-6.8021000504776143</v>
      </c>
      <c r="AC315" s="227">
        <f t="shared" si="118"/>
        <v>-100.56712550564968</v>
      </c>
      <c r="AD315" s="229">
        <f t="shared" si="119"/>
        <v>1.7499882289980477</v>
      </c>
      <c r="AE315" s="229">
        <f t="shared" si="120"/>
        <v>160.87430234543351</v>
      </c>
      <c r="AF315" s="227">
        <f t="shared" si="108"/>
        <v>-5.0521118214795671</v>
      </c>
      <c r="AG315" s="227">
        <f t="shared" si="109"/>
        <v>60.307176839783821</v>
      </c>
      <c r="AH315" s="229" t="str">
        <f t="shared" si="110"/>
        <v>1.15568703610482-0.400773097053582i</v>
      </c>
    </row>
    <row r="316" spans="9:34" x14ac:dyDescent="0.2">
      <c r="I316" s="227">
        <v>312</v>
      </c>
      <c r="J316" s="227">
        <f t="shared" si="98"/>
        <v>4.0420382283564207</v>
      </c>
      <c r="K316" s="227">
        <f t="shared" si="97"/>
        <v>11016.362757532679</v>
      </c>
      <c r="L316" s="227">
        <f t="shared" si="111"/>
        <v>69217.84861668972</v>
      </c>
      <c r="M316" s="227">
        <f t="shared" si="99"/>
        <v>4682.6371057615934</v>
      </c>
      <c r="N316" s="227">
        <f>SQRT((ABS(AC316)-171.5+'Small Signal'!C$59)^2)</f>
        <v>0.70319231627165379</v>
      </c>
      <c r="O316" s="227">
        <f t="shared" si="112"/>
        <v>59.827728289544851</v>
      </c>
      <c r="P316" s="227">
        <f t="shared" si="113"/>
        <v>5.2097984956690091</v>
      </c>
      <c r="Q316" s="227">
        <f t="shared" si="121"/>
        <v>11016.362757532679</v>
      </c>
      <c r="R316" s="227" t="str">
        <f t="shared" si="100"/>
        <v>0.0355+0.0899832032016966i</v>
      </c>
      <c r="S316" s="227" t="str">
        <f t="shared" si="101"/>
        <v>0.018-0.0656688215004499i</v>
      </c>
      <c r="T316" s="227" t="str">
        <f t="shared" si="102"/>
        <v>0.0186176051651692-0.0652941510458899i</v>
      </c>
      <c r="U316" s="227" t="str">
        <f t="shared" si="103"/>
        <v>-2.8781597069377-0.594565640208576i</v>
      </c>
      <c r="V316" s="227">
        <f t="shared" si="115"/>
        <v>9.3637858746310663</v>
      </c>
      <c r="W316" s="227">
        <f t="shared" si="116"/>
        <v>-168.32811215768001</v>
      </c>
      <c r="X316" s="227" t="str">
        <f t="shared" si="104"/>
        <v>0.999136993789116-0.00793735988253719i</v>
      </c>
      <c r="Y316" s="227" t="str">
        <f t="shared" si="105"/>
        <v>94.1027227650858-235.455231653484i</v>
      </c>
      <c r="Z316" s="227" t="str">
        <f t="shared" si="106"/>
        <v>16.907743022498-43.3000149161075i</v>
      </c>
      <c r="AA316" s="227" t="str">
        <f t="shared" si="107"/>
        <v>-0.0842077787742122-0.441566297858057i</v>
      </c>
      <c r="AB316" s="227">
        <f t="shared" si="117"/>
        <v>-6.9449440726795997</v>
      </c>
      <c r="AC316" s="227">
        <f t="shared" si="118"/>
        <v>-100.79680768372835</v>
      </c>
      <c r="AD316" s="229">
        <f t="shared" si="119"/>
        <v>1.7351455770105908</v>
      </c>
      <c r="AE316" s="229">
        <f t="shared" si="120"/>
        <v>160.6245359732732</v>
      </c>
      <c r="AF316" s="227">
        <f t="shared" si="108"/>
        <v>-5.2097984956690091</v>
      </c>
      <c r="AG316" s="227">
        <f t="shared" si="109"/>
        <v>59.827728289544851</v>
      </c>
      <c r="AH316" s="229" t="str">
        <f t="shared" si="110"/>
        <v>1.15195881542845-0.405114336027543i</v>
      </c>
    </row>
    <row r="317" spans="9:34" x14ac:dyDescent="0.2">
      <c r="I317" s="227">
        <v>313</v>
      </c>
      <c r="J317" s="227">
        <f t="shared" si="98"/>
        <v>4.0517883508832035</v>
      </c>
      <c r="K317" s="227">
        <f t="shared" si="97"/>
        <v>11266.482614862223</v>
      </c>
      <c r="L317" s="227">
        <f t="shared" si="111"/>
        <v>70789.398029296572</v>
      </c>
      <c r="M317" s="227">
        <f t="shared" si="99"/>
        <v>4938.4357832614342</v>
      </c>
      <c r="N317" s="227">
        <f>SQRT((ABS(AC317)-171.5+'Small Signal'!C$59)^2)</f>
        <v>0.47316143240564656</v>
      </c>
      <c r="O317" s="227">
        <f t="shared" si="112"/>
        <v>59.339684478803377</v>
      </c>
      <c r="P317" s="227">
        <f t="shared" si="113"/>
        <v>5.3660623822753912</v>
      </c>
      <c r="Q317" s="227">
        <f t="shared" si="121"/>
        <v>11266.482614862223</v>
      </c>
      <c r="R317" s="227" t="str">
        <f t="shared" si="100"/>
        <v>0.0355+0.0920262174380855i</v>
      </c>
      <c r="S317" s="227" t="str">
        <f t="shared" si="101"/>
        <v>0.018-0.0642109506789901i</v>
      </c>
      <c r="T317" s="227" t="str">
        <f t="shared" si="102"/>
        <v>0.0185882737891683-0.0638448914948665i</v>
      </c>
      <c r="U317" s="227" t="str">
        <f t="shared" si="103"/>
        <v>-2.78163838939672-0.540698140959618i</v>
      </c>
      <c r="V317" s="227">
        <f t="shared" si="115"/>
        <v>9.0470833090069807</v>
      </c>
      <c r="W317" s="227">
        <f t="shared" si="116"/>
        <v>-168.99995214826117</v>
      </c>
      <c r="X317" s="227" t="str">
        <f t="shared" si="104"/>
        <v>0.9990973608497-0.00811757284076027i</v>
      </c>
      <c r="Y317" s="227" t="str">
        <f t="shared" si="105"/>
        <v>90.3709994547363-231.475302912941i</v>
      </c>
      <c r="Z317" s="227" t="str">
        <f t="shared" si="106"/>
        <v>16.2211395114068-42.5662962145526i</v>
      </c>
      <c r="AA317" s="227" t="str">
        <f t="shared" si="107"/>
        <v>-0.0845967873493382-0.43412694768697i</v>
      </c>
      <c r="AB317" s="227">
        <f t="shared" si="117"/>
        <v>-7.0858047784806555</v>
      </c>
      <c r="AC317" s="227">
        <f t="shared" si="118"/>
        <v>-101.02683856759435</v>
      </c>
      <c r="AD317" s="229">
        <f t="shared" si="119"/>
        <v>1.719742396205264</v>
      </c>
      <c r="AE317" s="229">
        <f t="shared" si="120"/>
        <v>160.36652304639773</v>
      </c>
      <c r="AF317" s="227">
        <f t="shared" si="108"/>
        <v>-5.3660623822753912</v>
      </c>
      <c r="AG317" s="227">
        <f t="shared" si="109"/>
        <v>59.339684478803377</v>
      </c>
      <c r="AH317" s="229" t="str">
        <f t="shared" si="110"/>
        <v>1.14808507008729-0.409570723781497i</v>
      </c>
    </row>
    <row r="318" spans="9:34" x14ac:dyDescent="0.2">
      <c r="I318" s="227">
        <v>314</v>
      </c>
      <c r="J318" s="227">
        <f t="shared" si="98"/>
        <v>4.0615384734099873</v>
      </c>
      <c r="K318" s="227">
        <f t="shared" si="97"/>
        <v>11522.281292362064</v>
      </c>
      <c r="L318" s="227">
        <f t="shared" si="111"/>
        <v>72396.62852135954</v>
      </c>
      <c r="M318" s="227">
        <f t="shared" si="99"/>
        <v>5200.0422151108296</v>
      </c>
      <c r="N318" s="227">
        <f>SQRT((ABS(AC318)-171.5+'Small Signal'!C$59)^2)</f>
        <v>0.24291718656739647</v>
      </c>
      <c r="O318" s="227">
        <f t="shared" si="112"/>
        <v>58.843144226827306</v>
      </c>
      <c r="P318" s="227">
        <f t="shared" si="113"/>
        <v>5.5208672959789595</v>
      </c>
      <c r="Q318" s="227">
        <f t="shared" si="121"/>
        <v>11522.281292362064</v>
      </c>
      <c r="R318" s="227" t="str">
        <f t="shared" si="100"/>
        <v>0.0355+0.0941156170777674i</v>
      </c>
      <c r="S318" s="227" t="str">
        <f t="shared" si="101"/>
        <v>0.018-0.0627854451000225i</v>
      </c>
      <c r="T318" s="227" t="str">
        <f t="shared" si="102"/>
        <v>0.0185602300385231-0.0624277869018411i</v>
      </c>
      <c r="U318" s="227" t="str">
        <f t="shared" si="103"/>
        <v>-2.68828085065278-0.490336996663094i</v>
      </c>
      <c r="V318" s="227">
        <f t="shared" si="115"/>
        <v>8.7316268655823031</v>
      </c>
      <c r="W318" s="227">
        <f t="shared" si="116"/>
        <v>-169.66299987004618</v>
      </c>
      <c r="X318" s="227" t="str">
        <f t="shared" si="104"/>
        <v>0.999055907796051-0.00830187742526616i</v>
      </c>
      <c r="Y318" s="227" t="str">
        <f t="shared" si="105"/>
        <v>86.7717746755936-227.512225421734i</v>
      </c>
      <c r="Z318" s="227" t="str">
        <f t="shared" si="106"/>
        <v>15.5589153540467-41.8356683803062i</v>
      </c>
      <c r="AA318" s="227" t="str">
        <f t="shared" si="107"/>
        <v>-0.084971733359321-0.426905936784746i</v>
      </c>
      <c r="AB318" s="227">
        <f t="shared" si="117"/>
        <v>-7.2246212509467842</v>
      </c>
      <c r="AC318" s="227">
        <f t="shared" si="118"/>
        <v>-101.2570828134326</v>
      </c>
      <c r="AD318" s="229">
        <f t="shared" si="119"/>
        <v>1.7037539549678242</v>
      </c>
      <c r="AE318" s="229">
        <f t="shared" si="120"/>
        <v>160.10022704025991</v>
      </c>
      <c r="AF318" s="227">
        <f t="shared" si="108"/>
        <v>-5.5208672959789595</v>
      </c>
      <c r="AG318" s="227">
        <f t="shared" si="109"/>
        <v>58.843144226827306</v>
      </c>
      <c r="AH318" s="229" t="str">
        <f t="shared" si="110"/>
        <v>1.14406124205004-0.414139260570334i</v>
      </c>
    </row>
    <row r="319" spans="9:34" x14ac:dyDescent="0.2">
      <c r="I319" s="227">
        <v>315</v>
      </c>
      <c r="J319" s="227">
        <f t="shared" si="98"/>
        <v>4.0712885959367711</v>
      </c>
      <c r="K319" s="227">
        <f t="shared" ref="K319:K382" si="122">10^(J319)</f>
        <v>11783.887724211459</v>
      </c>
      <c r="L319" s="227">
        <f t="shared" si="111"/>
        <v>74040.350210219331</v>
      </c>
      <c r="M319" s="227">
        <f t="shared" si="99"/>
        <v>5467.5882628616446</v>
      </c>
      <c r="N319" s="227">
        <f>SQRT((ABS(AC319)-171.5+'Small Signal'!C$59)^2)</f>
        <v>1.2603194380218952E-2</v>
      </c>
      <c r="O319" s="227">
        <f t="shared" si="112"/>
        <v>58.338216097930726</v>
      </c>
      <c r="P319" s="227">
        <f t="shared" si="113"/>
        <v>5.6741769387128276</v>
      </c>
      <c r="Q319" s="227">
        <f t="shared" si="121"/>
        <v>11783.887724211459</v>
      </c>
      <c r="R319" s="227" t="str">
        <f t="shared" si="100"/>
        <v>0.0355+0.0962524552732851i</v>
      </c>
      <c r="S319" s="227" t="str">
        <f t="shared" si="101"/>
        <v>0.018-0.0613915862438364i</v>
      </c>
      <c r="T319" s="227" t="str">
        <f t="shared" si="102"/>
        <v>0.0185334173980324-0.0610421246600138i</v>
      </c>
      <c r="U319" s="227" t="str">
        <f t="shared" si="103"/>
        <v>-2.5980283048484-0.443286129629205i</v>
      </c>
      <c r="V319" s="227">
        <f t="shared" si="115"/>
        <v>8.4175063896925835</v>
      </c>
      <c r="W319" s="227">
        <f t="shared" si="116"/>
        <v>-170.31720675629865</v>
      </c>
      <c r="X319" s="227" t="str">
        <f t="shared" si="104"/>
        <v>0.999012551040734-0.00849036653395635i</v>
      </c>
      <c r="Y319" s="227" t="str">
        <f t="shared" si="105"/>
        <v>83.3015757323663-223.569354045307i</v>
      </c>
      <c r="Z319" s="227" t="str">
        <f t="shared" si="106"/>
        <v>14.9204315095254-41.1087478439332i</v>
      </c>
      <c r="AA319" s="227" t="str">
        <f t="shared" si="107"/>
        <v>-0.085333371856518-0.419899677630782i</v>
      </c>
      <c r="AB319" s="227">
        <f t="shared" si="117"/>
        <v>-7.3613318088233983</v>
      </c>
      <c r="AC319" s="227">
        <f t="shared" si="118"/>
        <v>-101.48739680561978</v>
      </c>
      <c r="AD319" s="229">
        <f t="shared" si="119"/>
        <v>1.6871548701105703</v>
      </c>
      <c r="AE319" s="229">
        <f t="shared" si="120"/>
        <v>159.82561290355051</v>
      </c>
      <c r="AF319" s="227">
        <f t="shared" si="108"/>
        <v>-5.6741769387128276</v>
      </c>
      <c r="AG319" s="227">
        <f t="shared" si="109"/>
        <v>58.338216097930726</v>
      </c>
      <c r="AH319" s="229" t="str">
        <f t="shared" si="110"/>
        <v>1.13988272764777-0.418816736841748i</v>
      </c>
    </row>
    <row r="320" spans="9:34" x14ac:dyDescent="0.2">
      <c r="I320" s="227">
        <v>316</v>
      </c>
      <c r="J320" s="227">
        <f t="shared" si="98"/>
        <v>4.0810387184635548</v>
      </c>
      <c r="K320" s="227">
        <f t="shared" si="122"/>
        <v>12051.433771962274</v>
      </c>
      <c r="L320" s="227">
        <f t="shared" si="111"/>
        <v>75721.391606441219</v>
      </c>
      <c r="M320" s="227">
        <f t="shared" si="99"/>
        <v>5741.2087819026319</v>
      </c>
      <c r="N320" s="227">
        <f>SQRT((ABS(AC320)-171.5+'Small Signal'!C$59)^2)</f>
        <v>0.21762867792288887</v>
      </c>
      <c r="O320" s="227">
        <f t="shared" si="112"/>
        <v>57.825018637431</v>
      </c>
      <c r="P320" s="227">
        <f t="shared" si="113"/>
        <v>5.8259549757052298</v>
      </c>
      <c r="Q320" s="227">
        <f t="shared" si="121"/>
        <v>12051.433771962274</v>
      </c>
      <c r="R320" s="227" t="str">
        <f t="shared" si="100"/>
        <v>0.0355+0.0984378090883736i</v>
      </c>
      <c r="S320" s="227" t="str">
        <f t="shared" si="101"/>
        <v>0.018-0.0600286715421099i</v>
      </c>
      <c r="T320" s="227" t="str">
        <f t="shared" si="102"/>
        <v>0.0185077818320965-0.059687207901672i</v>
      </c>
      <c r="U320" s="227" t="str">
        <f t="shared" si="103"/>
        <v>-2.51081902683111-0.399358576126973i</v>
      </c>
      <c r="V320" s="227">
        <f t="shared" si="115"/>
        <v>8.104811548761587</v>
      </c>
      <c r="W320" s="227">
        <f t="shared" si="116"/>
        <v>-170.96251816547203</v>
      </c>
      <c r="X320" s="227" t="str">
        <f t="shared" si="104"/>
        <v>0.998967203157618-0.00868313517392299i</v>
      </c>
      <c r="Y320" s="227" t="str">
        <f t="shared" si="105"/>
        <v>79.956920029015-219.64981099025i</v>
      </c>
      <c r="Z320" s="227" t="str">
        <f t="shared" si="106"/>
        <v>14.3050471236195-40.3861082272063i</v>
      </c>
      <c r="AA320" s="227" t="str">
        <f t="shared" si="107"/>
        <v>-0.0856824312652894-0.413104689013501i</v>
      </c>
      <c r="AB320" s="227">
        <f t="shared" si="117"/>
        <v>-7.4958740732451359</v>
      </c>
      <c r="AC320" s="227">
        <f t="shared" si="118"/>
        <v>-101.71762867792289</v>
      </c>
      <c r="AD320" s="229">
        <f t="shared" si="119"/>
        <v>1.6699190975399056</v>
      </c>
      <c r="AE320" s="229">
        <f t="shared" si="120"/>
        <v>159.54264731535389</v>
      </c>
      <c r="AF320" s="227">
        <f t="shared" si="108"/>
        <v>-5.8259549757052298</v>
      </c>
      <c r="AG320" s="227">
        <f t="shared" si="109"/>
        <v>57.825018637431</v>
      </c>
      <c r="AH320" s="229" t="str">
        <f t="shared" si="110"/>
        <v>1.13554488639099-0.423599722646785i</v>
      </c>
    </row>
    <row r="321" spans="9:34" x14ac:dyDescent="0.2">
      <c r="I321" s="227">
        <v>317</v>
      </c>
      <c r="J321" s="227">
        <f t="shared" si="98"/>
        <v>4.0907888409903386</v>
      </c>
      <c r="K321" s="227">
        <f t="shared" si="122"/>
        <v>12325.054291003262</v>
      </c>
      <c r="L321" s="227">
        <f t="shared" si="111"/>
        <v>77440.600031422407</v>
      </c>
      <c r="M321" s="227">
        <f t="shared" si="99"/>
        <v>6021.0416894325435</v>
      </c>
      <c r="N321" s="227">
        <f>SQRT((ABS(AC321)-171.5+'Small Signal'!C$59)^2)</f>
        <v>0.4476183714687636</v>
      </c>
      <c r="O321" s="227">
        <f t="shared" si="112"/>
        <v>57.303680581237842</v>
      </c>
      <c r="P321" s="227">
        <f t="shared" si="113"/>
        <v>5.9761651150433241</v>
      </c>
      <c r="Q321" s="227">
        <f t="shared" si="121"/>
        <v>12325.054291003262</v>
      </c>
      <c r="R321" s="227" t="str">
        <f t="shared" si="100"/>
        <v>0.0355+0.100672780040849i</v>
      </c>
      <c r="S321" s="227" t="str">
        <f t="shared" si="101"/>
        <v>0.018-0.0586960140237832i</v>
      </c>
      <c r="T321" s="227" t="str">
        <f t="shared" si="102"/>
        <v>0.0184832716760024-0.058362355154053i</v>
      </c>
      <c r="U321" s="227" t="str">
        <f t="shared" si="103"/>
        <v>-2.42658880864222-0.35837622395175i</v>
      </c>
      <c r="V321" s="227">
        <f t="shared" si="115"/>
        <v>7.7936317668722976</v>
      </c>
      <c r="W321" s="227">
        <f t="shared" si="116"/>
        <v>-171.59887317495372</v>
      </c>
      <c r="X321" s="227" t="str">
        <f t="shared" si="104"/>
        <v>0.998919772705592-0.00888028050933688i</v>
      </c>
      <c r="Y321" s="227" t="str">
        <f t="shared" si="105"/>
        <v>76.7343252434352-215.756494058895i</v>
      </c>
      <c r="Z321" s="227" t="str">
        <f t="shared" si="106"/>
        <v>13.7121214002257-39.6682818614713i</v>
      </c>
      <c r="AA321" s="227" t="str">
        <f t="shared" si="107"/>
        <v>-0.0860196148444402-0.406517594503374i</v>
      </c>
      <c r="AB321" s="227">
        <f t="shared" si="117"/>
        <v>-7.6281850395393311</v>
      </c>
      <c r="AC321" s="227">
        <f t="shared" si="118"/>
        <v>-101.94761837146876</v>
      </c>
      <c r="AD321" s="229">
        <f t="shared" si="119"/>
        <v>1.6520199244960068</v>
      </c>
      <c r="AE321" s="229">
        <f t="shared" si="120"/>
        <v>159.25129895270661</v>
      </c>
      <c r="AF321" s="227">
        <f t="shared" si="108"/>
        <v>-5.9761651150433241</v>
      </c>
      <c r="AG321" s="227">
        <f t="shared" si="109"/>
        <v>57.303680581237842</v>
      </c>
      <c r="AH321" s="229" t="str">
        <f t="shared" si="110"/>
        <v>1.13104305070733-0.428484557138267i</v>
      </c>
    </row>
    <row r="322" spans="9:34" x14ac:dyDescent="0.2">
      <c r="I322" s="227">
        <v>318</v>
      </c>
      <c r="J322" s="227">
        <f t="shared" si="98"/>
        <v>4.1005389635171214</v>
      </c>
      <c r="K322" s="227">
        <f t="shared" si="122"/>
        <v>12604.887198533173</v>
      </c>
      <c r="L322" s="227">
        <f t="shared" si="111"/>
        <v>79198.842044479694</v>
      </c>
      <c r="M322" s="227">
        <f t="shared" si="99"/>
        <v>6307.2280339768085</v>
      </c>
      <c r="N322" s="227">
        <f>SQRT((ABS(AC322)-171.5+'Small Signal'!C$59)^2)</f>
        <v>0.67719773211136669</v>
      </c>
      <c r="O322" s="227">
        <f t="shared" si="112"/>
        <v>56.774341036315789</v>
      </c>
      <c r="P322" s="227">
        <f t="shared" si="113"/>
        <v>6.1247711905532176</v>
      </c>
      <c r="Q322" s="227">
        <f t="shared" si="121"/>
        <v>12604.887198533173</v>
      </c>
      <c r="R322" s="227" t="str">
        <f t="shared" si="100"/>
        <v>0.0355+0.102958494657824i</v>
      </c>
      <c r="S322" s="227" t="str">
        <f t="shared" si="101"/>
        <v>0.018-0.0573929419687946i</v>
      </c>
      <c r="T322" s="227" t="str">
        <f t="shared" si="102"/>
        <v>0.0184598375319699-0.0570669000025022i</v>
      </c>
      <c r="U322" s="227" t="str">
        <f t="shared" si="103"/>
        <v>-2.34527138273459-0.320169540872104i</v>
      </c>
      <c r="V322" s="227">
        <f t="shared" si="115"/>
        <v>7.4840561556871084</v>
      </c>
      <c r="W322" s="227">
        <f t="shared" si="116"/>
        <v>-172.22620442480439</v>
      </c>
      <c r="X322" s="227" t="str">
        <f t="shared" si="104"/>
        <v>0.998870164044176-0.00908190191042255i</v>
      </c>
      <c r="Y322" s="227" t="str">
        <f t="shared" si="105"/>
        <v>73.6303186460993-211.892085065306i</v>
      </c>
      <c r="Z322" s="227" t="str">
        <f t="shared" si="106"/>
        <v>13.1410153153418-38.9557613356845i</v>
      </c>
      <c r="AA322" s="227" t="str">
        <f t="shared" si="107"/>
        <v>-0.0863456021005433-0.400135120971159i</v>
      </c>
      <c r="AB322" s="227">
        <f t="shared" si="117"/>
        <v>-7.7582011540609139</v>
      </c>
      <c r="AC322" s="227">
        <f t="shared" si="118"/>
        <v>-102.17719773211137</v>
      </c>
      <c r="AD322" s="229">
        <f t="shared" si="119"/>
        <v>1.6334299635076965</v>
      </c>
      <c r="AE322" s="229">
        <f t="shared" si="120"/>
        <v>158.95153876842716</v>
      </c>
      <c r="AF322" s="227">
        <f t="shared" si="108"/>
        <v>-6.1247711905532176</v>
      </c>
      <c r="AG322" s="227">
        <f t="shared" si="109"/>
        <v>56.774341036315789</v>
      </c>
      <c r="AH322" s="229" t="str">
        <f t="shared" si="110"/>
        <v>1.12637253663841-0.433467338221447i</v>
      </c>
    </row>
    <row r="323" spans="9:34" x14ac:dyDescent="0.2">
      <c r="I323" s="227">
        <v>319</v>
      </c>
      <c r="J323" s="227">
        <f t="shared" si="98"/>
        <v>4.1102890860439043</v>
      </c>
      <c r="K323" s="227">
        <f t="shared" si="122"/>
        <v>12891.073543077438</v>
      </c>
      <c r="L323" s="227">
        <f t="shared" si="111"/>
        <v>80997.003879635653</v>
      </c>
      <c r="M323" s="227">
        <f t="shared" si="99"/>
        <v>6599.9120664824341</v>
      </c>
      <c r="N323" s="227">
        <f>SQRT((ABS(AC323)-171.5+'Small Signal'!C$59)^2)</f>
        <v>0.90619064972705132</v>
      </c>
      <c r="O323" s="227">
        <f t="shared" si="112"/>
        <v>56.237149629295459</v>
      </c>
      <c r="P323" s="227">
        <f t="shared" si="113"/>
        <v>6.2717372477533564</v>
      </c>
      <c r="Q323" s="227">
        <f t="shared" si="121"/>
        <v>12891.073543077438</v>
      </c>
      <c r="R323" s="227" t="str">
        <f t="shared" si="100"/>
        <v>0.0355+0.105296105043526i</v>
      </c>
      <c r="S323" s="227" t="str">
        <f t="shared" si="101"/>
        <v>0.018-0.0561187985695034i</v>
      </c>
      <c r="T323" s="227" t="str">
        <f t="shared" si="102"/>
        <v>0.0184374321697483-0.0558001907607898i</v>
      </c>
      <c r="U323" s="227" t="str">
        <f t="shared" si="103"/>
        <v>-2.266798813141-0.284577296234765i</v>
      </c>
      <c r="V323" s="227">
        <f t="shared" si="115"/>
        <v>7.1761734416687704</v>
      </c>
      <c r="W323" s="227">
        <f t="shared" si="116"/>
        <v>-172.84443801409557</v>
      </c>
      <c r="X323" s="227" t="str">
        <f t="shared" si="104"/>
        <v>0.998818277140672-0.0092881010035454i</v>
      </c>
      <c r="Y323" s="227" t="str">
        <f t="shared" si="105"/>
        <v>70.6414455959241-208.059058354513i</v>
      </c>
      <c r="Z323" s="227" t="str">
        <f t="shared" si="106"/>
        <v>12.591093179699-38.2490010634282i</v>
      </c>
      <c r="AA323" s="227" t="str">
        <f t="shared" si="107"/>
        <v>-0.0866610501549314-0.39395409715148i</v>
      </c>
      <c r="AB323" s="227">
        <f t="shared" si="117"/>
        <v>-7.8858583959652941</v>
      </c>
      <c r="AC323" s="227">
        <f t="shared" si="118"/>
        <v>-102.40619064972705</v>
      </c>
      <c r="AD323" s="229">
        <f t="shared" si="119"/>
        <v>1.6141211482119378</v>
      </c>
      <c r="AE323" s="229">
        <f t="shared" si="120"/>
        <v>158.64334027902251</v>
      </c>
      <c r="AF323" s="227">
        <f t="shared" si="108"/>
        <v>-6.2717372477533564</v>
      </c>
      <c r="AG323" s="227">
        <f t="shared" si="109"/>
        <v>56.237149629295459</v>
      </c>
      <c r="AH323" s="229" t="str">
        <f t="shared" si="110"/>
        <v>1.12152865553175-0.438543912427552i</v>
      </c>
    </row>
    <row r="324" spans="9:34" x14ac:dyDescent="0.2">
      <c r="I324" s="227">
        <v>320</v>
      </c>
      <c r="J324" s="227">
        <f t="shared" ref="J324:J387" si="123">1+I324*(LOG(fsw)-1)/500</f>
        <v>4.1200392085706881</v>
      </c>
      <c r="K324" s="227">
        <f t="shared" si="122"/>
        <v>13183.757575583064</v>
      </c>
      <c r="L324" s="227">
        <f t="shared" si="111"/>
        <v>82835.991892321064</v>
      </c>
      <c r="M324" s="227">
        <f t="shared" ref="M324:M387" si="124">SQRT((Fco_target-K325)^2)</f>
        <v>6899.2413130268642</v>
      </c>
      <c r="N324" s="227">
        <f>SQRT((ABS(AC324)-171.5+'Small Signal'!C$59)^2)</f>
        <v>1.1344132418354036</v>
      </c>
      <c r="O324" s="227">
        <f t="shared" si="112"/>
        <v>55.692266620563146</v>
      </c>
      <c r="P324" s="227">
        <f t="shared" si="113"/>
        <v>6.4170276325916999</v>
      </c>
      <c r="Q324" s="227">
        <f t="shared" si="121"/>
        <v>13183.757575583064</v>
      </c>
      <c r="R324" s="227" t="str">
        <f t="shared" ref="R324:R387" si="125">IMSUM(COMPLEX(DCRss,Lss*L324),COMPLEX(Rdsonss,0),COMPLEX(40/3*Risense,0))</f>
        <v>0.0355+0.107686789460017i</v>
      </c>
      <c r="S324" s="227" t="str">
        <f t="shared" ref="S324:S387" si="126">IMSUM(COMPLEX(ESRss,0),IMDIV(COMPLEX(1,0),COMPLEX(0,L324*Cbulkss)))</f>
        <v>0.018-0.0548729415996275i</v>
      </c>
      <c r="T324" s="227" t="str">
        <f t="shared" ref="T324:T387" si="127">IMDIV(IMPRODUCT(S324,COMPLEX(Ross,0)),IMSUM(S324,COMPLEX(Ross,0)))</f>
        <v>0.0184160104315672-0.0545615901484429i</v>
      </c>
      <c r="U324" s="227" t="str">
        <f t="shared" ref="U324:U387" si="128">IMPRODUCT(COMPLEX(Vinss,0),COMPLEX(M^2,0),IMDIV(IMSUB(COMPLEX(1,0),IMDIV(IMPRODUCT(R324,COMPLEX(M^2,0)),COMPLEX(Ross,0))),IMSUM(COMPLEX(1,0),IMDIV(IMPRODUCT(R324,COMPLEX(M^2,0)),T324))))</f>
        <v>-2.19110185588771-0.251446277800459i</v>
      </c>
      <c r="V324" s="227">
        <f t="shared" si="115"/>
        <v>6.870071889594608</v>
      </c>
      <c r="W324" s="227">
        <f t="shared" si="116"/>
        <v>-173.45349345225702</v>
      </c>
      <c r="X324" s="227" t="str">
        <f t="shared" ref="X324:X387" si="129">IMSUM(COMPLEX(1,L324/(wn*q0)),IMPOWER(COMPLEX(0,L324/wn),2))</f>
        <v>0.99876400736845-0.00949898172243611i</v>
      </c>
      <c r="Y324" s="227" t="str">
        <f t="shared" ref="Y324:Y387" si="130">IMPRODUCT(COMPLEX(2*Ioutss*M^2,0),IMDIV(IMSUM(COMPLEX(1,0),IMDIV(COMPLEX(Ross,0),IMPRODUCT(COMPLEX(2,0),S324))),IMSUM(COMPLEX(1,0),IMDIV(IMPRODUCT(R324,COMPLEX(M^2,0)),T324))))</f>
        <v>67.7642772485551-204.259689372167i</v>
      </c>
      <c r="Z324" s="227" t="str">
        <f t="shared" ref="Z324:Z387" si="131">IMPRODUCT(COMPLEX(Fm*40/3*Risense,0),Y324,X324)</f>
        <v>12.0617240565173-37.548418859186i</v>
      </c>
      <c r="AA324" s="227" t="str">
        <f t="shared" ref="AA324:AA387" si="132">IMDIV(IMPRODUCT(COMPLEX(Fm,0),U324),IMSUM(COMPLEX(1,0),Z324))</f>
        <v>-0.0869665950671147-0.387971452252125i</v>
      </c>
      <c r="AB324" s="227">
        <f t="shared" si="117"/>
        <v>-8.0110923637831881</v>
      </c>
      <c r="AC324" s="227">
        <f t="shared" si="118"/>
        <v>-102.6344132418354</v>
      </c>
      <c r="AD324" s="229">
        <f t="shared" si="119"/>
        <v>1.5940647311914882</v>
      </c>
      <c r="AE324" s="229">
        <f t="shared" si="120"/>
        <v>158.32667986239855</v>
      </c>
      <c r="AF324" s="227">
        <f t="shared" ref="AF324:AF387" si="133">AD324+AB324</f>
        <v>-6.4170276325916999</v>
      </c>
      <c r="AG324" s="227">
        <f t="shared" ref="AG324:AG387" si="134">AE324+AC324</f>
        <v>55.692266620563146</v>
      </c>
      <c r="AH324" s="229" t="str">
        <f t="shared" ref="AH324:AH387" si="135">IMDIV(IMPRODUCT(COMPLEX(gea*Rea*Rslss/(Rslss+Rshss),0),COMPLEX(1,L324*Ccompss*Rcompss),COMPLEX(1,k_3*L324*Cffss*Rshss)),IMPRODUCT(COMPLEX(1,L324*Rea*Ccompss),COMPLEX(1,L324*Rcompss*Chfss),COMPLEX(1,k_3*L324*Rffss*Cffss)))</f>
        <v>1.11650672675979-0.443709865087437i</v>
      </c>
    </row>
    <row r="325" spans="9:34" x14ac:dyDescent="0.2">
      <c r="I325" s="227">
        <v>321</v>
      </c>
      <c r="J325" s="227">
        <f t="shared" si="123"/>
        <v>4.1297893310974718</v>
      </c>
      <c r="K325" s="227">
        <f t="shared" si="122"/>
        <v>13483.086822127494</v>
      </c>
      <c r="L325" s="227">
        <f t="shared" ref="L325:L388" si="136">2*PI()*K325</f>
        <v>84716.733016218175</v>
      </c>
      <c r="M325" s="227">
        <f t="shared" si="124"/>
        <v>7205.3666491779613</v>
      </c>
      <c r="N325" s="227">
        <f>SQRT((ABS(AC325)-171.5+'Small Signal'!C$59)^2)</f>
        <v>1.3616740837731527</v>
      </c>
      <c r="O325" s="227">
        <f t="shared" ref="O325:O388" si="137">ABS(AG325)</f>
        <v>55.139862981244761</v>
      </c>
      <c r="P325" s="227">
        <f t="shared" ref="P325:P388" si="138">ABS(AF325)</f>
        <v>6.5606070826382643</v>
      </c>
      <c r="Q325" s="227">
        <f t="shared" si="121"/>
        <v>13483.086822127494</v>
      </c>
      <c r="R325" s="227" t="str">
        <f t="shared" si="125"/>
        <v>0.0355+0.110131752921084i</v>
      </c>
      <c r="S325" s="227" t="str">
        <f t="shared" si="126"/>
        <v>0.018-0.053654743090534i</v>
      </c>
      <c r="T325" s="227" t="str">
        <f t="shared" si="127"/>
        <v>0.0183955291412496-0.0533504749749657i</v>
      </c>
      <c r="U325" s="227" t="str">
        <f t="shared" si="128"/>
        <v>-2.11811029000255-0.220631005685933i</v>
      </c>
      <c r="V325" s="227">
        <f t="shared" ref="V325:V388" si="139">20*LOG(IMABS(U325))</f>
        <v>6.5658392224027935</v>
      </c>
      <c r="W325" s="227">
        <f t="shared" ref="W325:W388" si="140">IF(DEGREES(IMARGUMENT(U325))&gt;0,DEGREES(IMARGUMENT(U325))-360, DEGREES(IMARGUMENT(U325)))</f>
        <v>-174.05328366760958</v>
      </c>
      <c r="X325" s="227" t="str">
        <f t="shared" si="129"/>
        <v>0.998707245295978-0.0097146503605778i</v>
      </c>
      <c r="Y325" s="227" t="str">
        <f t="shared" si="130"/>
        <v>64.9954175137894-200.496063237245i</v>
      </c>
      <c r="Z325" s="227" t="str">
        <f t="shared" si="131"/>
        <v>11.5522830411405-36.8543975151647i</v>
      </c>
      <c r="AA325" s="227" t="str">
        <f t="shared" si="132"/>
        <v>-0.0872628531172448-0.382184214609178i</v>
      </c>
      <c r="AB325" s="227">
        <f t="shared" ref="AB325:AB388" si="141">20*LOG(IMABS(AA325))</f>
        <v>-8.1338383666289911</v>
      </c>
      <c r="AC325" s="227">
        <f t="shared" ref="AC325:AC388" si="142">IF(DEGREES(IMARGUMENT(AA325))&gt;0,DEGREES(IMARGUMENT(AA325))-360, DEGREES(IMARGUMENT(AA325)))</f>
        <v>-102.86167408377315</v>
      </c>
      <c r="AD325" s="229">
        <f t="shared" ref="AD325:AD388" si="143">20*LOG(IMABS(AH325))</f>
        <v>1.5732312839907268</v>
      </c>
      <c r="AE325" s="229">
        <f t="shared" ref="AE325:AE388" si="144">180+DEGREES(IMARGUMENT(AH325))</f>
        <v>158.00153706501791</v>
      </c>
      <c r="AF325" s="227">
        <f t="shared" si="133"/>
        <v>-6.5606070826382643</v>
      </c>
      <c r="AG325" s="227">
        <f t="shared" si="134"/>
        <v>55.139862981244761</v>
      </c>
      <c r="AH325" s="229" t="str">
        <f t="shared" si="135"/>
        <v>1.11130209149397-0.448960510889309i</v>
      </c>
    </row>
    <row r="326" spans="9:34" x14ac:dyDescent="0.2">
      <c r="I326" s="227">
        <v>322</v>
      </c>
      <c r="J326" s="227">
        <f t="shared" si="123"/>
        <v>4.1395394536242547</v>
      </c>
      <c r="K326" s="227">
        <f t="shared" si="122"/>
        <v>13789.212158278591</v>
      </c>
      <c r="L326" s="227">
        <f t="shared" si="136"/>
        <v>86640.175230478155</v>
      </c>
      <c r="M326" s="227">
        <f t="shared" si="124"/>
        <v>7518.4423760422696</v>
      </c>
      <c r="N326" s="227">
        <f>SQRT((ABS(AC326)-171.5+'Small Signal'!C$59)^2)</f>
        <v>1.5877744874423598</v>
      </c>
      <c r="O326" s="227">
        <f t="shared" si="137"/>
        <v>54.580120430622273</v>
      </c>
      <c r="P326" s="227">
        <f t="shared" si="138"/>
        <v>6.7024408203578911</v>
      </c>
      <c r="Q326" s="227">
        <f t="shared" si="121"/>
        <v>13789.212158278591</v>
      </c>
      <c r="R326" s="227" t="str">
        <f t="shared" si="125"/>
        <v>0.0355+0.112632227799622i</v>
      </c>
      <c r="S326" s="227" t="str">
        <f t="shared" si="126"/>
        <v>0.018-0.0524635890147132i</v>
      </c>
      <c r="T326" s="227" t="str">
        <f t="shared" si="127"/>
        <v>0.0183759470173063-0.0521662358308029i</v>
      </c>
      <c r="U326" s="227" t="str">
        <f t="shared" si="128"/>
        <v>-2.04775322050346-0.191993445097365i</v>
      </c>
      <c r="V326" s="227">
        <f t="shared" si="139"/>
        <v>6.2635625374527795</v>
      </c>
      <c r="W326" s="227">
        <f t="shared" si="140"/>
        <v>-174.64371507501485</v>
      </c>
      <c r="X326" s="227" t="str">
        <f t="shared" si="129"/>
        <v>0.998647876466162-0.00993521562478285i</v>
      </c>
      <c r="Y326" s="227" t="str">
        <f t="shared" si="130"/>
        <v>62.3315092997375-196.770083275338i</v>
      </c>
      <c r="Z326" s="227" t="str">
        <f t="shared" si="131"/>
        <v>11.0621524094673-36.1672863708499i</v>
      </c>
      <c r="AA326" s="227" t="str">
        <f t="shared" si="132"/>
        <v>-0.0875504220502464-0.376589510388332i</v>
      </c>
      <c r="AB326" s="227">
        <f t="shared" si="141"/>
        <v>-8.2540315198306864</v>
      </c>
      <c r="AC326" s="227">
        <f t="shared" si="142"/>
        <v>-103.08777448744236</v>
      </c>
      <c r="AD326" s="229">
        <f t="shared" si="143"/>
        <v>1.5515906994727953</v>
      </c>
      <c r="AE326" s="229">
        <f t="shared" si="144"/>
        <v>157.66789491806463</v>
      </c>
      <c r="AF326" s="227">
        <f t="shared" si="133"/>
        <v>-6.7024408203578911</v>
      </c>
      <c r="AG326" s="227">
        <f t="shared" si="134"/>
        <v>54.580120430622273</v>
      </c>
      <c r="AH326" s="229" t="str">
        <f t="shared" si="135"/>
        <v>1.10591012755651-0.454290884910979i</v>
      </c>
    </row>
    <row r="327" spans="9:34" x14ac:dyDescent="0.2">
      <c r="I327" s="227">
        <v>323</v>
      </c>
      <c r="J327" s="227">
        <f t="shared" si="123"/>
        <v>4.1492895761510376</v>
      </c>
      <c r="K327" s="227">
        <f t="shared" si="122"/>
        <v>14102.2878851429</v>
      </c>
      <c r="L327" s="227">
        <f t="shared" si="136"/>
        <v>88607.288037546547</v>
      </c>
      <c r="M327" s="227">
        <f t="shared" si="124"/>
        <v>7838.6262980396214</v>
      </c>
      <c r="N327" s="227">
        <f>SQRT((ABS(AC327)-171.5+'Small Signal'!C$59)^2)</f>
        <v>1.8125088304046102</v>
      </c>
      <c r="O327" s="227">
        <f t="shared" si="137"/>
        <v>54.013231431665375</v>
      </c>
      <c r="P327" s="227">
        <f t="shared" si="138"/>
        <v>6.842494648051149</v>
      </c>
      <c r="Q327" s="227">
        <f t="shared" si="121"/>
        <v>14102.2878851429</v>
      </c>
      <c r="R327" s="227" t="str">
        <f t="shared" si="125"/>
        <v>0.0355+0.115189474448811i</v>
      </c>
      <c r="S327" s="227" t="str">
        <f t="shared" si="126"/>
        <v>0.018-0.0512988789762808i</v>
      </c>
      <c r="T327" s="227" t="str">
        <f t="shared" si="127"/>
        <v>0.0183572245898377-0.0510082767849209i</v>
      </c>
      <c r="U327" s="227" t="str">
        <f t="shared" si="128"/>
        <v>-1.9799593547748-0.165402719360808i</v>
      </c>
      <c r="V327" s="227">
        <f t="shared" si="139"/>
        <v>5.9633282193268586</v>
      </c>
      <c r="W327" s="227">
        <f t="shared" si="140"/>
        <v>-175.22468770427054</v>
      </c>
      <c r="X327" s="227" t="str">
        <f t="shared" si="129"/>
        <v>0.998585781165544-0.0101607886899862i</v>
      </c>
      <c r="Y327" s="227" t="str">
        <f t="shared" si="130"/>
        <v>59.7692400819386-193.083479474943i</v>
      </c>
      <c r="Z327" s="227" t="str">
        <f t="shared" si="131"/>
        <v>10.5907226422084-35.4874028683843i</v>
      </c>
      <c r="AA327" s="227" t="str">
        <f t="shared" si="132"/>
        <v>-0.0878298822841337-0.371184562332544i</v>
      </c>
      <c r="AB327" s="227">
        <f t="shared" si="141"/>
        <v>-8.3716068447350445</v>
      </c>
      <c r="AC327" s="227">
        <f t="shared" si="142"/>
        <v>-103.31250883040461</v>
      </c>
      <c r="AD327" s="229">
        <f t="shared" si="143"/>
        <v>1.5291121966838954</v>
      </c>
      <c r="AE327" s="229">
        <f t="shared" si="144"/>
        <v>157.32574026206998</v>
      </c>
      <c r="AF327" s="227">
        <f t="shared" si="133"/>
        <v>-6.842494648051149</v>
      </c>
      <c r="AG327" s="227">
        <f t="shared" si="134"/>
        <v>54.013231431665375</v>
      </c>
      <c r="AH327" s="229" t="str">
        <f t="shared" si="135"/>
        <v>1.1003262653663-0.459695734223807i</v>
      </c>
    </row>
    <row r="328" spans="9:34" x14ac:dyDescent="0.2">
      <c r="I328" s="227">
        <v>324</v>
      </c>
      <c r="J328" s="227">
        <f t="shared" si="123"/>
        <v>4.1590396986778213</v>
      </c>
      <c r="K328" s="227">
        <f t="shared" si="122"/>
        <v>14422.471807140251</v>
      </c>
      <c r="L328" s="227">
        <f t="shared" si="136"/>
        <v>90619.06295183544</v>
      </c>
      <c r="M328" s="227">
        <f t="shared" si="124"/>
        <v>8166.0798024437836</v>
      </c>
      <c r="N328" s="227">
        <f>SQRT((ABS(AC328)-171.5+'Small Signal'!C$59)^2)</f>
        <v>2.0356649367906812</v>
      </c>
      <c r="O328" s="227">
        <f t="shared" si="137"/>
        <v>53.439399142570664</v>
      </c>
      <c r="P328" s="227">
        <f t="shared" si="138"/>
        <v>6.9807350440056801</v>
      </c>
      <c r="Q328" s="227">
        <f t="shared" si="121"/>
        <v>14422.471807140251</v>
      </c>
      <c r="R328" s="227" t="str">
        <f t="shared" si="125"/>
        <v>0.0355+0.117804781837386i</v>
      </c>
      <c r="S328" s="227" t="str">
        <f t="shared" si="126"/>
        <v>0.018-0.0501600259083509i</v>
      </c>
      <c r="T328" s="227" t="str">
        <f t="shared" si="127"/>
        <v>0.0183393241210756-0.0498760150888737i</v>
      </c>
      <c r="U328" s="227" t="str">
        <f t="shared" si="128"/>
        <v>-1.91465725374721-0.14073482458528i</v>
      </c>
      <c r="V328" s="227">
        <f t="shared" si="139"/>
        <v>5.6652218493469322</v>
      </c>
      <c r="W328" s="227">
        <f t="shared" si="140"/>
        <v>-175.7960953905486</v>
      </c>
      <c r="X328" s="227" t="str">
        <f t="shared" si="129"/>
        <v>0.998520834182914-0.0103914832552825i</v>
      </c>
      <c r="Y328" s="227" t="str">
        <f t="shared" si="130"/>
        <v>57.3053468357838-189.437816833745i</v>
      </c>
      <c r="Z328" s="227" t="str">
        <f t="shared" si="131"/>
        <v>10.1373933320245-34.8150340876939i</v>
      </c>
      <c r="AA328" s="227" t="str">
        <f t="shared" si="132"/>
        <v>-0.0881017980849268-0.36596668855635i</v>
      </c>
      <c r="AB328" s="227">
        <f t="shared" si="141"/>
        <v>-8.486499372401008</v>
      </c>
      <c r="AC328" s="227">
        <f t="shared" si="142"/>
        <v>-103.53566493679068</v>
      </c>
      <c r="AD328" s="229">
        <f t="shared" si="143"/>
        <v>1.5057643283953279</v>
      </c>
      <c r="AE328" s="229">
        <f t="shared" si="144"/>
        <v>156.97506407936135</v>
      </c>
      <c r="AF328" s="227">
        <f t="shared" si="133"/>
        <v>-6.9807350440056801</v>
      </c>
      <c r="AG328" s="227">
        <f t="shared" si="134"/>
        <v>53.439399142570664</v>
      </c>
      <c r="AH328" s="229" t="str">
        <f t="shared" si="135"/>
        <v>1.09454600498866-0.46516951017181i</v>
      </c>
    </row>
    <row r="329" spans="9:34" x14ac:dyDescent="0.2">
      <c r="I329" s="227">
        <v>325</v>
      </c>
      <c r="J329" s="227">
        <f t="shared" si="123"/>
        <v>4.1687898212046051</v>
      </c>
      <c r="K329" s="227">
        <f t="shared" si="122"/>
        <v>14749.925311544413</v>
      </c>
      <c r="L329" s="227">
        <f t="shared" si="136"/>
        <v>92676.513999492134</v>
      </c>
      <c r="M329" s="227">
        <f t="shared" si="124"/>
        <v>8500.9679407290205</v>
      </c>
      <c r="N329" s="227">
        <f>SQRT((ABS(AC329)-171.5+'Small Signal'!C$59)^2)</f>
        <v>2.2570245111838432</v>
      </c>
      <c r="O329" s="227">
        <f t="shared" si="137"/>
        <v>52.858837322393256</v>
      </c>
      <c r="P329" s="227">
        <f t="shared" si="138"/>
        <v>7.1171292593661732</v>
      </c>
      <c r="Q329" s="227">
        <f t="shared" si="121"/>
        <v>14749.925311544413</v>
      </c>
      <c r="R329" s="227" t="str">
        <f t="shared" si="125"/>
        <v>0.0355+0.12047946819934i</v>
      </c>
      <c r="S329" s="227" t="str">
        <f t="shared" si="126"/>
        <v>0.018-0.0490464557771287i</v>
      </c>
      <c r="T329" s="227" t="str">
        <f t="shared" si="127"/>
        <v>0.0183222095294072-0.0487688808872235i</v>
      </c>
      <c r="U329" s="227" t="str">
        <f t="shared" si="128"/>
        <v>-1.85177555929189-0.117872347134103i</v>
      </c>
      <c r="V329" s="227">
        <f t="shared" si="139"/>
        <v>5.369328112020888</v>
      </c>
      <c r="W329" s="227">
        <f t="shared" si="140"/>
        <v>-176.35782602781259</v>
      </c>
      <c r="X329" s="227" t="str">
        <f t="shared" si="129"/>
        <v>0.998452904556827-0.0106274156012355i</v>
      </c>
      <c r="Y329" s="227" t="str">
        <f t="shared" si="130"/>
        <v>54.936620370449-185.834503565994i</v>
      </c>
      <c r="Z329" s="227" t="str">
        <f t="shared" si="131"/>
        <v>9.70157398057348-34.1504382560476i</v>
      </c>
      <c r="AA329" s="227" t="str">
        <f t="shared" si="132"/>
        <v>-0.0883667187106721-0.360933301387148i</v>
      </c>
      <c r="AB329" s="227">
        <f t="shared" si="141"/>
        <v>-8.5986442508568022</v>
      </c>
      <c r="AC329" s="227">
        <f t="shared" si="142"/>
        <v>-103.75702451118384</v>
      </c>
      <c r="AD329" s="229">
        <f t="shared" si="143"/>
        <v>1.4815149914906292</v>
      </c>
      <c r="AE329" s="229">
        <f t="shared" si="144"/>
        <v>156.6158618335771</v>
      </c>
      <c r="AF329" s="227">
        <f t="shared" si="133"/>
        <v>-7.1171292593661732</v>
      </c>
      <c r="AG329" s="227">
        <f t="shared" si="134"/>
        <v>52.858837322393256</v>
      </c>
      <c r="AH329" s="229" t="str">
        <f t="shared" si="135"/>
        <v>1.08856493429005-0.470706361435481i</v>
      </c>
    </row>
    <row r="330" spans="9:34" x14ac:dyDescent="0.2">
      <c r="I330" s="227">
        <v>326</v>
      </c>
      <c r="J330" s="227">
        <f t="shared" si="123"/>
        <v>4.1785399437313888</v>
      </c>
      <c r="K330" s="227">
        <f t="shared" si="122"/>
        <v>15084.813449829649</v>
      </c>
      <c r="L330" s="227">
        <f t="shared" si="136"/>
        <v>94780.678229514655</v>
      </c>
      <c r="M330" s="227">
        <f t="shared" si="124"/>
        <v>8843.4595117636236</v>
      </c>
      <c r="N330" s="227">
        <f>SQRT((ABS(AC330)-171.5+'Small Signal'!C$59)^2)</f>
        <v>2.476363626236477</v>
      </c>
      <c r="O330" s="227">
        <f t="shared" si="137"/>
        <v>52.271770189141947</v>
      </c>
      <c r="P330" s="227">
        <f t="shared" si="138"/>
        <v>7.2516454151963927</v>
      </c>
      <c r="Q330" s="227">
        <f t="shared" si="121"/>
        <v>15084.813449829649</v>
      </c>
      <c r="R330" s="227" t="str">
        <f t="shared" si="125"/>
        <v>0.0355+0.123214881698369i</v>
      </c>
      <c r="S330" s="227" t="str">
        <f t="shared" si="126"/>
        <v>0.018-0.0479576072925705i</v>
      </c>
      <c r="T330" s="227" t="str">
        <f t="shared" si="127"/>
        <v>0.0183058463167278-0.0476863169341906i</v>
      </c>
      <c r="U330" s="227" t="str">
        <f t="shared" si="128"/>
        <v>-1.79124319922629-0.0967041849310256i</v>
      </c>
      <c r="V330" s="227">
        <f t="shared" si="139"/>
        <v>5.0757306986771242</v>
      </c>
      <c r="W330" s="227">
        <f t="shared" si="140"/>
        <v>-176.90976188574334</v>
      </c>
      <c r="X330" s="227" t="str">
        <f t="shared" si="129"/>
        <v>0.99838185531153-0.0108687046484889i</v>
      </c>
      <c r="Y330" s="227" t="str">
        <f t="shared" si="130"/>
        <v>52.6599091021058-182.274799146257i</v>
      </c>
      <c r="Z330" s="227" t="str">
        <f t="shared" si="131"/>
        <v>9.28268469241484-33.4938462275045i</v>
      </c>
      <c r="AA330" s="227" t="str">
        <f t="shared" si="132"/>
        <v>-0.088625179526811-0.356081906253633i</v>
      </c>
      <c r="AB330" s="227">
        <f t="shared" si="141"/>
        <v>-8.7079768555652937</v>
      </c>
      <c r="AC330" s="227">
        <f t="shared" si="142"/>
        <v>-103.97636362623648</v>
      </c>
      <c r="AD330" s="229">
        <f t="shared" si="143"/>
        <v>1.4563314403689007</v>
      </c>
      <c r="AE330" s="229">
        <f t="shared" si="144"/>
        <v>156.24813381537842</v>
      </c>
      <c r="AF330" s="227">
        <f t="shared" si="133"/>
        <v>-7.2516454151963927</v>
      </c>
      <c r="AG330" s="227">
        <f t="shared" si="134"/>
        <v>52.271770189141947</v>
      </c>
      <c r="AH330" s="229" t="str">
        <f t="shared" si="135"/>
        <v>1.08237874819027-0.476300127995673i</v>
      </c>
    </row>
    <row r="331" spans="9:34" x14ac:dyDescent="0.2">
      <c r="I331" s="227">
        <v>327</v>
      </c>
      <c r="J331" s="227">
        <f t="shared" si="123"/>
        <v>4.1882900662581726</v>
      </c>
      <c r="K331" s="227">
        <f t="shared" si="122"/>
        <v>15427.305020864254</v>
      </c>
      <c r="L331" s="227">
        <f t="shared" si="136"/>
        <v>96932.616236472139</v>
      </c>
      <c r="M331" s="227">
        <f t="shared" si="124"/>
        <v>9193.727146892059</v>
      </c>
      <c r="N331" s="227">
        <f>SQRT((ABS(AC331)-171.5+'Small Signal'!C$59)^2)</f>
        <v>2.6934532643905413</v>
      </c>
      <c r="O331" s="227">
        <f t="shared" si="137"/>
        <v>51.678432228981166</v>
      </c>
      <c r="P331" s="227">
        <f t="shared" si="138"/>
        <v>7.3842525991706651</v>
      </c>
      <c r="Q331" s="227">
        <f t="shared" si="121"/>
        <v>15427.305020864254</v>
      </c>
      <c r="R331" s="227" t="str">
        <f t="shared" si="125"/>
        <v>0.0355+0.126012401107414i</v>
      </c>
      <c r="S331" s="227" t="str">
        <f t="shared" si="126"/>
        <v>0.018-0.0468929316254672i</v>
      </c>
      <c r="T331" s="227" t="str">
        <f t="shared" si="127"/>
        <v>0.0182902014989777-0.0466277783164042i</v>
      </c>
      <c r="U331" s="227" t="str">
        <f t="shared" si="128"/>
        <v>-1.73298957130469-0.0771252734886155i</v>
      </c>
      <c r="V331" s="227">
        <f t="shared" si="139"/>
        <v>4.7845122085843625</v>
      </c>
      <c r="W331" s="227">
        <f t="shared" si="140"/>
        <v>-177.45177999027112</v>
      </c>
      <c r="X331" s="227" t="str">
        <f t="shared" si="129"/>
        <v>0.998307543180752-0.0111154720177078i</v>
      </c>
      <c r="Y331" s="227" t="str">
        <f t="shared" si="130"/>
        <v>50.4721223034807-178.75982216833i</v>
      </c>
      <c r="Z331" s="227" t="str">
        <f t="shared" si="131"/>
        <v>8.88015677258898-32.8454629283427i</v>
      </c>
      <c r="AA331" s="227" t="str">
        <f t="shared" si="132"/>
        <v>-0.0888777030953043-0.351410100621805i</v>
      </c>
      <c r="AB331" s="227">
        <f t="shared" si="141"/>
        <v>-8.8144329027029276</v>
      </c>
      <c r="AC331" s="227">
        <f t="shared" si="142"/>
        <v>-104.19345326439054</v>
      </c>
      <c r="AD331" s="229">
        <f t="shared" si="143"/>
        <v>1.4301803035322624</v>
      </c>
      <c r="AE331" s="229">
        <f t="shared" si="144"/>
        <v>155.87188549337171</v>
      </c>
      <c r="AF331" s="227">
        <f t="shared" si="133"/>
        <v>-7.3842525991706651</v>
      </c>
      <c r="AG331" s="227">
        <f t="shared" si="134"/>
        <v>51.678432228981166</v>
      </c>
      <c r="AH331" s="229" t="str">
        <f t="shared" si="135"/>
        <v>1.0759832689944-0.481944336117918i</v>
      </c>
    </row>
    <row r="332" spans="9:34" x14ac:dyDescent="0.2">
      <c r="I332" s="227">
        <v>328</v>
      </c>
      <c r="J332" s="227">
        <f t="shared" si="123"/>
        <v>4.1980401887849554</v>
      </c>
      <c r="K332" s="227">
        <f t="shared" si="122"/>
        <v>15777.572655992688</v>
      </c>
      <c r="L332" s="227">
        <f t="shared" si="136"/>
        <v>99133.412695091654</v>
      </c>
      <c r="M332" s="227">
        <f t="shared" si="124"/>
        <v>9551.9473969491592</v>
      </c>
      <c r="N332" s="227">
        <f>SQRT((ABS(AC332)-171.5+'Small Signal'!C$59)^2)</f>
        <v>2.9080599136069765</v>
      </c>
      <c r="O332" s="227">
        <f t="shared" si="137"/>
        <v>51.079067955512571</v>
      </c>
      <c r="P332" s="227">
        <f t="shared" si="138"/>
        <v>7.5149209613110397</v>
      </c>
      <c r="Q332" s="227">
        <f t="shared" si="121"/>
        <v>15777.572655992688</v>
      </c>
      <c r="R332" s="227" t="str">
        <f t="shared" si="125"/>
        <v>0.0355+0.128873436503619i</v>
      </c>
      <c r="S332" s="227" t="str">
        <f t="shared" si="126"/>
        <v>0.018-0.0458518921308113i</v>
      </c>
      <c r="T332" s="227" t="str">
        <f t="shared" si="127"/>
        <v>0.0182752435397229-0.0455927321816367i</v>
      </c>
      <c r="U332" s="227" t="str">
        <f t="shared" si="128"/>
        <v>-1.67694470753665-0.0590363174182408i</v>
      </c>
      <c r="V332" s="227">
        <f t="shared" si="139"/>
        <v>4.4957540478917082</v>
      </c>
      <c r="W332" s="227">
        <f t="shared" si="140"/>
        <v>-177.98375256733669</v>
      </c>
      <c r="X332" s="227" t="str">
        <f t="shared" si="129"/>
        <v>0.998229818318826-0.0113678420908808i</v>
      </c>
      <c r="Y332" s="227" t="str">
        <f t="shared" si="130"/>
        <v>48.3702328659693-175.290558001626i</v>
      </c>
      <c r="Z332" s="227" t="str">
        <f t="shared" si="131"/>
        <v>8.49343323453378-32.2054687652217i</v>
      </c>
      <c r="AA332" s="227" t="str">
        <f t="shared" si="132"/>
        <v>-0.0891248002397363-0.346915572978883i</v>
      </c>
      <c r="AB332" s="227">
        <f t="shared" si="141"/>
        <v>-8.9179485648301497</v>
      </c>
      <c r="AC332" s="227">
        <f t="shared" si="142"/>
        <v>-104.40805991360698</v>
      </c>
      <c r="AD332" s="229">
        <f t="shared" si="143"/>
        <v>1.40302760351911</v>
      </c>
      <c r="AE332" s="229">
        <f t="shared" si="144"/>
        <v>155.48712786911955</v>
      </c>
      <c r="AF332" s="227">
        <f t="shared" si="133"/>
        <v>-7.5149209613110397</v>
      </c>
      <c r="AG332" s="227">
        <f t="shared" si="134"/>
        <v>51.079067955512571</v>
      </c>
      <c r="AH332" s="229" t="str">
        <f t="shared" si="135"/>
        <v>1.06937446777512-0.487632194482019i</v>
      </c>
    </row>
    <row r="333" spans="9:34" x14ac:dyDescent="0.2">
      <c r="I333" s="227">
        <v>329</v>
      </c>
      <c r="J333" s="227">
        <f t="shared" si="123"/>
        <v>4.2077903113117383</v>
      </c>
      <c r="K333" s="227">
        <f t="shared" si="122"/>
        <v>16135.792906049788</v>
      </c>
      <c r="L333" s="227">
        <f t="shared" si="136"/>
        <v>101384.17690698462</v>
      </c>
      <c r="M333" s="227">
        <f t="shared" si="124"/>
        <v>9918.3008212498353</v>
      </c>
      <c r="N333" s="227">
        <f>SQRT((ABS(AC333)-171.5+'Small Signal'!C$59)^2)</f>
        <v>3.1199462165390912</v>
      </c>
      <c r="O333" s="227">
        <f t="shared" si="137"/>
        <v>50.473931618457328</v>
      </c>
      <c r="P333" s="227">
        <f t="shared" si="138"/>
        <v>7.6436218081599137</v>
      </c>
      <c r="Q333" s="227">
        <f t="shared" si="121"/>
        <v>16135.792906049788</v>
      </c>
      <c r="R333" s="227" t="str">
        <f t="shared" si="125"/>
        <v>0.0355+0.13179942997908i</v>
      </c>
      <c r="S333" s="227" t="str">
        <f t="shared" si="126"/>
        <v>0.018-0.0448339640773017i</v>
      </c>
      <c r="T333" s="227" t="str">
        <f t="shared" si="127"/>
        <v>0.0182609422866476-0.0445806574733926i</v>
      </c>
      <c r="U333" s="227" t="str">
        <f t="shared" si="128"/>
        <v>-1.62303942013927-0.0423435280625151i</v>
      </c>
      <c r="V333" s="227">
        <f t="shared" si="139"/>
        <v>4.2095363267565835</v>
      </c>
      <c r="W333" s="227">
        <f t="shared" si="140"/>
        <v>-178.50554754901017</v>
      </c>
      <c r="X333" s="227" t="str">
        <f t="shared" si="129"/>
        <v>0.998148523998528-0.0116259420740147i</v>
      </c>
      <c r="Y333" s="227" t="str">
        <f t="shared" si="130"/>
        <v>46.3512796094375-171.867866230423i</v>
      </c>
      <c r="Z333" s="227" t="str">
        <f t="shared" si="131"/>
        <v>8.12196922479987-31.5740209933845i</v>
      </c>
      <c r="AA333" s="227" t="str">
        <f t="shared" si="132"/>
        <v>-0.0893669710886611-0.342596101865454i</v>
      </c>
      <c r="AB333" s="227">
        <f t="shared" si="141"/>
        <v>-9.0184605885042899</v>
      </c>
      <c r="AC333" s="227">
        <f t="shared" si="142"/>
        <v>-104.61994621653909</v>
      </c>
      <c r="AD333" s="229">
        <f t="shared" si="143"/>
        <v>1.3748387803443767</v>
      </c>
      <c r="AE333" s="229">
        <f t="shared" si="144"/>
        <v>155.09387783499642</v>
      </c>
      <c r="AF333" s="227">
        <f t="shared" si="133"/>
        <v>-7.6436218081599137</v>
      </c>
      <c r="AG333" s="227">
        <f t="shared" si="134"/>
        <v>50.473931618457328</v>
      </c>
      <c r="AH333" s="229" t="str">
        <f t="shared" si="135"/>
        <v>1.06254848676446-0.493356591585453i</v>
      </c>
    </row>
    <row r="334" spans="9:34" x14ac:dyDescent="0.2">
      <c r="I334" s="227">
        <v>330</v>
      </c>
      <c r="J334" s="227">
        <f t="shared" si="123"/>
        <v>4.2175404338385221</v>
      </c>
      <c r="K334" s="227">
        <f t="shared" si="122"/>
        <v>16502.146330350464</v>
      </c>
      <c r="L334" s="227">
        <f t="shared" si="136"/>
        <v>103686.04335978556</v>
      </c>
      <c r="M334" s="227">
        <f t="shared" si="124"/>
        <v>10292.972078598963</v>
      </c>
      <c r="N334" s="227">
        <f>SQRT((ABS(AC334)-171.5+'Small Signal'!C$59)^2)</f>
        <v>3.3288716720659437</v>
      </c>
      <c r="O334" s="227">
        <f t="shared" si="137"/>
        <v>49.863286861439079</v>
      </c>
      <c r="P334" s="227">
        <f t="shared" si="138"/>
        <v>7.7703276947619919</v>
      </c>
      <c r="Q334" s="227">
        <f t="shared" si="121"/>
        <v>16502.146330350464</v>
      </c>
      <c r="R334" s="227" t="str">
        <f t="shared" si="125"/>
        <v>0.0355+0.134791856367721i</v>
      </c>
      <c r="S334" s="227" t="str">
        <f t="shared" si="126"/>
        <v>0.018-0.0438386343828556i</v>
      </c>
      <c r="T334" s="227" t="str">
        <f t="shared" si="127"/>
        <v>0.0182472689108303-0.0435910446712385i</v>
      </c>
      <c r="U334" s="227" t="str">
        <f t="shared" si="128"/>
        <v>-1.57120543038753-0.0269583677828575i</v>
      </c>
      <c r="V334" s="227">
        <f t="shared" si="139"/>
        <v>3.9259377550588068</v>
      </c>
      <c r="W334" s="227">
        <f t="shared" si="140"/>
        <v>-179.01702914056887</v>
      </c>
      <c r="X334" s="227" t="str">
        <f t="shared" si="129"/>
        <v>0.998063496295052-0.0118899020612515i</v>
      </c>
      <c r="Y334" s="227" t="str">
        <f t="shared" si="130"/>
        <v>44.4123691736734-168.492487864258i</v>
      </c>
      <c r="Z334" s="227" t="str">
        <f t="shared" si="131"/>
        <v>7.76523237081308-30.9512550427493i</v>
      </c>
      <c r="AA334" s="227" t="str">
        <f t="shared" si="132"/>
        <v>-0.089604706099399-0.338449554956346i</v>
      </c>
      <c r="AB334" s="227">
        <f t="shared" si="141"/>
        <v>-9.1159064133591219</v>
      </c>
      <c r="AC334" s="227">
        <f t="shared" si="142"/>
        <v>-104.82887167206594</v>
      </c>
      <c r="AD334" s="229">
        <f t="shared" si="143"/>
        <v>1.3455787185971302</v>
      </c>
      <c r="AE334" s="229">
        <f t="shared" si="144"/>
        <v>154.69215853350502</v>
      </c>
      <c r="AF334" s="227">
        <f t="shared" si="133"/>
        <v>-7.7703276947619919</v>
      </c>
      <c r="AG334" s="227">
        <f t="shared" si="134"/>
        <v>49.863286861439079</v>
      </c>
      <c r="AH334" s="229" t="str">
        <f t="shared" si="135"/>
        <v>1.05550166270027-0.499110094551638i</v>
      </c>
    </row>
    <row r="335" spans="9:34" x14ac:dyDescent="0.2">
      <c r="I335" s="227">
        <v>331</v>
      </c>
      <c r="J335" s="227">
        <f t="shared" si="123"/>
        <v>4.2272905563653058</v>
      </c>
      <c r="K335" s="227">
        <f t="shared" si="122"/>
        <v>16876.817587699592</v>
      </c>
      <c r="L335" s="227">
        <f t="shared" si="136"/>
        <v>106040.17229898411</v>
      </c>
      <c r="M335" s="227">
        <f t="shared" si="124"/>
        <v>10676.150020368004</v>
      </c>
      <c r="N335" s="227">
        <f>SQRT((ABS(AC335)-171.5+'Small Signal'!C$59)^2)</f>
        <v>3.5345933875735653</v>
      </c>
      <c r="O335" s="227">
        <f t="shared" si="137"/>
        <v>49.247406328965226</v>
      </c>
      <c r="P335" s="227">
        <f t="shared" si="138"/>
        <v>7.8950125138224818</v>
      </c>
      <c r="Q335" s="227">
        <f t="shared" si="121"/>
        <v>16876.817587699592</v>
      </c>
      <c r="R335" s="227" t="str">
        <f t="shared" si="125"/>
        <v>0.0355+0.137852223988679i</v>
      </c>
      <c r="S335" s="227" t="str">
        <f t="shared" si="126"/>
        <v>0.018-0.0428654013559924i</v>
      </c>
      <c r="T335" s="227" t="str">
        <f t="shared" si="127"/>
        <v>0.0182341958486816-0.042623395536755i</v>
      </c>
      <c r="U335" s="227" t="str">
        <f t="shared" si="128"/>
        <v>-1.52137548158098-0.0127973013359518i</v>
      </c>
      <c r="V335" s="227">
        <f t="shared" si="139"/>
        <v>3.6450355371237246</v>
      </c>
      <c r="W335" s="227">
        <f t="shared" si="140"/>
        <v>-179.51805844659347</v>
      </c>
      <c r="X335" s="227" t="str">
        <f t="shared" si="129"/>
        <v>0.99797456375546-0.0121598551004422i</v>
      </c>
      <c r="Y335" s="227" t="str">
        <f t="shared" si="130"/>
        <v>42.550677524139-165.165052310311i</v>
      </c>
      <c r="Z335" s="227" t="str">
        <f t="shared" si="131"/>
        <v>7.42270305768966-30.3372858002038i</v>
      </c>
      <c r="AA335" s="227" t="str">
        <f t="shared" si="132"/>
        <v>-0.0898384870644841-0.334473888190624i</v>
      </c>
      <c r="AB335" s="227">
        <f t="shared" si="141"/>
        <v>-9.2102242921585891</v>
      </c>
      <c r="AC335" s="227">
        <f t="shared" si="142"/>
        <v>-105.03459338757357</v>
      </c>
      <c r="AD335" s="229">
        <f t="shared" si="143"/>
        <v>1.3152117783361073</v>
      </c>
      <c r="AE335" s="229">
        <f t="shared" si="144"/>
        <v>154.28199971653879</v>
      </c>
      <c r="AF335" s="227">
        <f t="shared" si="133"/>
        <v>-7.8950125138224818</v>
      </c>
      <c r="AG335" s="227">
        <f t="shared" si="134"/>
        <v>49.247406328965226</v>
      </c>
      <c r="AH335" s="229" t="str">
        <f t="shared" si="135"/>
        <v>1.04823055105848-0.504884949475391i</v>
      </c>
    </row>
    <row r="336" spans="9:34" x14ac:dyDescent="0.2">
      <c r="I336" s="227">
        <v>332</v>
      </c>
      <c r="J336" s="227">
        <f t="shared" si="123"/>
        <v>4.2370406788920896</v>
      </c>
      <c r="K336" s="227">
        <f t="shared" si="122"/>
        <v>17259.995529468633</v>
      </c>
      <c r="L336" s="227">
        <f t="shared" si="136"/>
        <v>108447.75031274266</v>
      </c>
      <c r="M336" s="227">
        <f t="shared" si="124"/>
        <v>11068.027785684601</v>
      </c>
      <c r="N336" s="227">
        <f>SQRT((ABS(AC336)-171.5+'Small Signal'!C$59)^2)</f>
        <v>3.7368668798104068</v>
      </c>
      <c r="O336" s="227">
        <f t="shared" si="137"/>
        <v>48.626571223122653</v>
      </c>
      <c r="P336" s="227">
        <f t="shared" si="138"/>
        <v>8.0176515814005871</v>
      </c>
      <c r="Q336" s="227">
        <f t="shared" si="121"/>
        <v>17259.995529468633</v>
      </c>
      <c r="R336" s="227" t="str">
        <f t="shared" si="125"/>
        <v>0.0355+0.140982075406565i</v>
      </c>
      <c r="S336" s="227" t="str">
        <f t="shared" si="126"/>
        <v>0.018-0.0419137744429582i</v>
      </c>
      <c r="T336" s="227" t="str">
        <f t="shared" si="127"/>
        <v>0.0182216967464276-0.0416772228649944i</v>
      </c>
      <c r="U336" s="227" t="str">
        <f t="shared" si="128"/>
        <v>-1.47348343729623+0.000218445316633766i</v>
      </c>
      <c r="V336" s="227">
        <f t="shared" si="139"/>
        <v>3.3669052658980867</v>
      </c>
      <c r="W336" s="227">
        <f t="shared" si="140"/>
        <v>-180.00849415357445</v>
      </c>
      <c r="X336" s="227" t="str">
        <f t="shared" si="129"/>
        <v>0.997881547052962-0.0124359372602087i</v>
      </c>
      <c r="Y336" s="227" t="str">
        <f t="shared" si="130"/>
        <v>40.7634511033064-161.88608410102i</v>
      </c>
      <c r="Z336" s="227" t="str">
        <f t="shared" si="131"/>
        <v>7.0938746398596-29.7322088468595i</v>
      </c>
      <c r="AA336" s="227" t="str">
        <f t="shared" si="132"/>
        <v>-0.0900687881029168-0.330667144951233i</v>
      </c>
      <c r="AB336" s="227">
        <f t="shared" si="141"/>
        <v>-9.3013534113150076</v>
      </c>
      <c r="AC336" s="227">
        <f t="shared" si="142"/>
        <v>-105.23686687981041</v>
      </c>
      <c r="AD336" s="229">
        <f t="shared" si="143"/>
        <v>1.2837018299144212</v>
      </c>
      <c r="AE336" s="229">
        <f t="shared" si="144"/>
        <v>153.86343810293306</v>
      </c>
      <c r="AF336" s="227">
        <f t="shared" si="133"/>
        <v>-8.0176515814005871</v>
      </c>
      <c r="AG336" s="227">
        <f t="shared" si="134"/>
        <v>48.626571223122653</v>
      </c>
      <c r="AH336" s="229" t="str">
        <f t="shared" si="135"/>
        <v>1.04073195108732-0.510673083438187i</v>
      </c>
    </row>
    <row r="337" spans="9:34" x14ac:dyDescent="0.2">
      <c r="I337" s="227">
        <v>333</v>
      </c>
      <c r="J337" s="227">
        <f t="shared" si="123"/>
        <v>4.2467908014188724</v>
      </c>
      <c r="K337" s="227">
        <f t="shared" si="122"/>
        <v>17651.87329478523</v>
      </c>
      <c r="L337" s="227">
        <f t="shared" si="136"/>
        <v>110909.99092999026</v>
      </c>
      <c r="M337" s="227">
        <f t="shared" si="124"/>
        <v>11468.802898783702</v>
      </c>
      <c r="N337" s="227">
        <f>SQRT((ABS(AC337)-171.5+'Small Signal'!C$59)^2)</f>
        <v>3.9354469215837184</v>
      </c>
      <c r="O337" s="227">
        <f t="shared" si="137"/>
        <v>48.001070810931935</v>
      </c>
      <c r="P337" s="227">
        <f t="shared" si="138"/>
        <v>8.1382217185006578</v>
      </c>
      <c r="Q337" s="227">
        <f t="shared" si="121"/>
        <v>17651.87329478523</v>
      </c>
      <c r="R337" s="227" t="str">
        <f t="shared" si="125"/>
        <v>0.0355+0.144182988208987i</v>
      </c>
      <c r="S337" s="227" t="str">
        <f t="shared" si="126"/>
        <v>0.018-0.0409832739804637i</v>
      </c>
      <c r="T337" s="227" t="str">
        <f t="shared" si="127"/>
        <v>0.018209746407028-0.0407520502413297i</v>
      </c>
      <c r="U337" s="227" t="str">
        <f t="shared" si="128"/>
        <v>-1.42746436604387+0.0121631185023862i</v>
      </c>
      <c r="V337" s="227">
        <f t="shared" si="139"/>
        <v>3.0916208170395083</v>
      </c>
      <c r="W337" s="227">
        <f t="shared" si="140"/>
        <v>-180.48819326595239</v>
      </c>
      <c r="X337" s="227" t="str">
        <f t="shared" si="129"/>
        <v>0.997784258625315-0.0127182876985287i</v>
      </c>
      <c r="Y337" s="227" t="str">
        <f t="shared" si="130"/>
        <v>39.0480076574304-158.65600937224i</v>
      </c>
      <c r="Z337" s="227" t="str">
        <f t="shared" si="131"/>
        <v>6.77825359298916-29.1361016494045i</v>
      </c>
      <c r="AA337" s="227" t="str">
        <f t="shared" si="132"/>
        <v>-0.0902960766384174-0.3270274552949i</v>
      </c>
      <c r="AB337" s="227">
        <f t="shared" si="141"/>
        <v>-9.3892340113501103</v>
      </c>
      <c r="AC337" s="227">
        <f t="shared" si="142"/>
        <v>-105.43544692158372</v>
      </c>
      <c r="AD337" s="229">
        <f t="shared" si="143"/>
        <v>1.251012292849452</v>
      </c>
      <c r="AE337" s="229">
        <f t="shared" si="144"/>
        <v>153.43651773251565</v>
      </c>
      <c r="AF337" s="227">
        <f t="shared" si="133"/>
        <v>-8.1382217185006578</v>
      </c>
      <c r="AG337" s="227">
        <f t="shared" si="134"/>
        <v>48.001070810931935</v>
      </c>
      <c r="AH337" s="229" t="str">
        <f t="shared" si="135"/>
        <v>1.03300293154368-0.516466108324165i</v>
      </c>
    </row>
    <row r="338" spans="9:34" x14ac:dyDescent="0.2">
      <c r="I338" s="227">
        <v>334</v>
      </c>
      <c r="J338" s="227">
        <f t="shared" si="123"/>
        <v>4.2565409239456553</v>
      </c>
      <c r="K338" s="227">
        <f t="shared" si="122"/>
        <v>18052.648407884331</v>
      </c>
      <c r="L338" s="227">
        <f t="shared" si="136"/>
        <v>113428.13523209777</v>
      </c>
      <c r="M338" s="227">
        <f t="shared" si="124"/>
        <v>11878.677368568508</v>
      </c>
      <c r="N338" s="227">
        <f>SQRT((ABS(AC338)-171.5+'Small Signal'!C$59)^2)</f>
        <v>4.1300884309890193</v>
      </c>
      <c r="O338" s="227">
        <f t="shared" si="137"/>
        <v>47.371201883745528</v>
      </c>
      <c r="P338" s="227">
        <f t="shared" si="138"/>
        <v>8.2567013279429968</v>
      </c>
      <c r="Q338" s="227">
        <f t="shared" si="121"/>
        <v>18052.648407884331</v>
      </c>
      <c r="R338" s="227" t="str">
        <f t="shared" si="125"/>
        <v>0.0355+0.147456575801727i</v>
      </c>
      <c r="S338" s="227" t="str">
        <f t="shared" si="126"/>
        <v>0.018-0.0400734309539127i</v>
      </c>
      <c r="T338" s="227" t="str">
        <f t="shared" si="127"/>
        <v>0.0181983207394209-0.0398474118035856i</v>
      </c>
      <c r="U338" s="227" t="str">
        <f t="shared" si="128"/>
        <v>-1.3832546133954+0.0231066624448499i</v>
      </c>
      <c r="V338" s="227">
        <f t="shared" si="139"/>
        <v>2.8192542433877921</v>
      </c>
      <c r="W338" s="227">
        <f t="shared" si="140"/>
        <v>-180.95701189194332</v>
      </c>
      <c r="X338" s="227" t="str">
        <f t="shared" si="129"/>
        <v>0.997682502296614-0.013007048732878i</v>
      </c>
      <c r="Y338" s="227" t="str">
        <f t="shared" si="130"/>
        <v>37.4017367671251-155.475162089184i</v>
      </c>
      <c r="Z338" s="227" t="str">
        <f t="shared" si="131"/>
        <v>6.47535961142121-28.5490247050462i</v>
      </c>
      <c r="AA338" s="227" t="str">
        <f t="shared" si="132"/>
        <v>-0.0905208143668008-0.323553035232778i</v>
      </c>
      <c r="AB338" s="227">
        <f t="shared" si="141"/>
        <v>-9.4738075067764207</v>
      </c>
      <c r="AC338" s="227">
        <f t="shared" si="142"/>
        <v>-105.63008843098902</v>
      </c>
      <c r="AD338" s="229">
        <f t="shared" si="143"/>
        <v>1.2171061788334234</v>
      </c>
      <c r="AE338" s="229">
        <f t="shared" si="144"/>
        <v>153.00129031473455</v>
      </c>
      <c r="AF338" s="227">
        <f t="shared" si="133"/>
        <v>-8.2567013279429968</v>
      </c>
      <c r="AG338" s="227">
        <f t="shared" si="134"/>
        <v>47.371201883745528</v>
      </c>
      <c r="AH338" s="229" t="str">
        <f t="shared" si="135"/>
        <v>1.02504085701475-0.522255326564366i</v>
      </c>
    </row>
    <row r="339" spans="9:34" x14ac:dyDescent="0.2">
      <c r="I339" s="227">
        <v>335</v>
      </c>
      <c r="J339" s="227">
        <f t="shared" si="123"/>
        <v>4.2662910464724391</v>
      </c>
      <c r="K339" s="227">
        <f t="shared" si="122"/>
        <v>18462.522877669137</v>
      </c>
      <c r="L339" s="227">
        <f t="shared" si="136"/>
        <v>116003.4524784377</v>
      </c>
      <c r="M339" s="227">
        <f t="shared" si="124"/>
        <v>12297.857790432205</v>
      </c>
      <c r="N339" s="227">
        <f>SQRT((ABS(AC339)-171.5+'Small Signal'!C$59)^2)</f>
        <v>4.320547399296359</v>
      </c>
      <c r="O339" s="227">
        <f t="shared" si="137"/>
        <v>46.737268170509864</v>
      </c>
      <c r="P339" s="227">
        <f t="shared" si="138"/>
        <v>8.3730704658999215</v>
      </c>
      <c r="Q339" s="227">
        <f t="shared" si="121"/>
        <v>18462.522877669137</v>
      </c>
      <c r="R339" s="227" t="str">
        <f t="shared" si="125"/>
        <v>0.0355+0.150804488221969i</v>
      </c>
      <c r="S339" s="227" t="str">
        <f t="shared" si="126"/>
        <v>0.018-0.0391837867609969i</v>
      </c>
      <c r="T339" s="227" t="str">
        <f t="shared" si="127"/>
        <v>0.0181873967099929-0.0389628520093422i</v>
      </c>
      <c r="U339" s="227" t="str">
        <f t="shared" si="128"/>
        <v>-1.34079186259329+0.033114936858016i</v>
      </c>
      <c r="V339" s="227">
        <f t="shared" si="139"/>
        <v>2.549875670296748</v>
      </c>
      <c r="W339" s="227">
        <f t="shared" si="140"/>
        <v>-181.41480607492682</v>
      </c>
      <c r="X339" s="227" t="str">
        <f t="shared" si="129"/>
        <v>0.997576072881718-0.0133023659119643i</v>
      </c>
      <c r="Y339" s="227" t="str">
        <f t="shared" si="130"/>
        <v>35.8221001086376-152.343790019056i</v>
      </c>
      <c r="Z339" s="227" t="str">
        <f t="shared" si="131"/>
        <v>6.18472565608025-27.9710226398437i</v>
      </c>
      <c r="AA339" s="227" t="str">
        <f t="shared" si="132"/>
        <v>-0.0907434582146658-0.32024218606265i</v>
      </c>
      <c r="AB339" s="227">
        <f t="shared" si="141"/>
        <v>-9.5550166048685128</v>
      </c>
      <c r="AC339" s="227">
        <f t="shared" si="142"/>
        <v>-105.82054739929636</v>
      </c>
      <c r="AD339" s="229">
        <f t="shared" si="143"/>
        <v>1.1819461389685912</v>
      </c>
      <c r="AE339" s="229">
        <f t="shared" si="144"/>
        <v>152.55781556980622</v>
      </c>
      <c r="AF339" s="227">
        <f t="shared" si="133"/>
        <v>-8.3730704658999215</v>
      </c>
      <c r="AG339" s="227">
        <f t="shared" si="134"/>
        <v>46.737268170509864</v>
      </c>
      <c r="AH339" s="229" t="str">
        <f t="shared" si="135"/>
        <v>1.01684341469195-0.528031738932067i</v>
      </c>
    </row>
    <row r="340" spans="9:34" x14ac:dyDescent="0.2">
      <c r="I340" s="227">
        <v>336</v>
      </c>
      <c r="J340" s="227">
        <f t="shared" si="123"/>
        <v>4.2760411689992228</v>
      </c>
      <c r="K340" s="227">
        <f t="shared" si="122"/>
        <v>18881.703299532834</v>
      </c>
      <c r="L340" s="227">
        <f t="shared" si="136"/>
        <v>118637.24074614901</v>
      </c>
      <c r="M340" s="227">
        <f t="shared" si="124"/>
        <v>12726.555450391585</v>
      </c>
      <c r="N340" s="227">
        <f>SQRT((ABS(AC340)-171.5+'Small Signal'!C$59)^2)</f>
        <v>4.5065818530584494</v>
      </c>
      <c r="O340" s="227">
        <f t="shared" si="137"/>
        <v>46.099579707150539</v>
      </c>
      <c r="P340" s="227">
        <f t="shared" si="138"/>
        <v>8.4873109075256501</v>
      </c>
      <c r="Q340" s="227">
        <f t="shared" si="121"/>
        <v>18881.703299532834</v>
      </c>
      <c r="R340" s="227" t="str">
        <f t="shared" si="125"/>
        <v>0.0355+0.154228412969994i</v>
      </c>
      <c r="S340" s="227" t="str">
        <f t="shared" si="126"/>
        <v>0.018-0.0383138929805402i</v>
      </c>
      <c r="T340" s="227" t="str">
        <f t="shared" si="127"/>
        <v>0.0181769522961786-0.0380979254082999i</v>
      </c>
      <c r="U340" s="227" t="str">
        <f t="shared" si="128"/>
        <v>-1.30001518460255+0.0422499264601676i</v>
      </c>
      <c r="V340" s="227">
        <f t="shared" si="139"/>
        <v>2.2835531922981969</v>
      </c>
      <c r="W340" s="227">
        <f t="shared" si="140"/>
        <v>-181.86143266561561</v>
      </c>
      <c r="X340" s="227" t="str">
        <f t="shared" si="129"/>
        <v>0.997464755772504-0.0136043880890909i</v>
      </c>
      <c r="Y340" s="227" t="str">
        <f t="shared" si="130"/>
        <v>34.3066314712048-149.262060450743i</v>
      </c>
      <c r="Z340" s="227" t="str">
        <f t="shared" si="131"/>
        <v>5.90589795751217-27.4021252604971i</v>
      </c>
      <c r="AA340" s="227" t="str">
        <f t="shared" si="132"/>
        <v>-0.0909644612915244-0.317093293753301i</v>
      </c>
      <c r="AB340" s="227">
        <f t="shared" si="141"/>
        <v>-9.6328054228051467</v>
      </c>
      <c r="AC340" s="227">
        <f t="shared" si="142"/>
        <v>-106.00658185305845</v>
      </c>
      <c r="AD340" s="229">
        <f t="shared" si="143"/>
        <v>1.1454945152794969</v>
      </c>
      <c r="AE340" s="229">
        <f t="shared" si="144"/>
        <v>152.10616156020899</v>
      </c>
      <c r="AF340" s="227">
        <f t="shared" si="133"/>
        <v>-8.4873109075256501</v>
      </c>
      <c r="AG340" s="227">
        <f t="shared" si="134"/>
        <v>46.099579707150539</v>
      </c>
      <c r="AH340" s="229" t="str">
        <f t="shared" si="135"/>
        <v>1.00840864144568-0.53378605450426i</v>
      </c>
    </row>
    <row r="341" spans="9:34" x14ac:dyDescent="0.2">
      <c r="I341" s="227">
        <v>337</v>
      </c>
      <c r="J341" s="227">
        <f t="shared" si="123"/>
        <v>4.2857912915260057</v>
      </c>
      <c r="K341" s="227">
        <f t="shared" si="122"/>
        <v>19310.400959492214</v>
      </c>
      <c r="L341" s="227">
        <f t="shared" si="136"/>
        <v>121330.82758442806</v>
      </c>
      <c r="M341" s="227">
        <f t="shared" si="124"/>
        <v>13164.986431584712</v>
      </c>
      <c r="N341" s="227">
        <f>SQRT((ABS(AC341)-171.5+'Small Signal'!C$59)^2)</f>
        <v>4.6879528454709884</v>
      </c>
      <c r="O341" s="227">
        <f t="shared" si="137"/>
        <v>45.458452164760388</v>
      </c>
      <c r="P341" s="227">
        <f t="shared" si="138"/>
        <v>8.5994062061291263</v>
      </c>
      <c r="Q341" s="227">
        <f t="shared" si="121"/>
        <v>19310.400959492214</v>
      </c>
      <c r="R341" s="227" t="str">
        <f t="shared" si="125"/>
        <v>0.0355+0.157730075859756i</v>
      </c>
      <c r="S341" s="227" t="str">
        <f t="shared" si="126"/>
        <v>0.018-0.0374633111464734i</v>
      </c>
      <c r="T341" s="227" t="str">
        <f t="shared" si="127"/>
        <v>0.0181669664420937-0.0372521964196046i</v>
      </c>
      <c r="U341" s="227" t="str">
        <f t="shared" si="128"/>
        <v>-1.26086507851021+0.0505699423903289i</v>
      </c>
      <c r="V341" s="227">
        <f t="shared" si="139"/>
        <v>2.0203527715730911</v>
      </c>
      <c r="W341" s="227">
        <f t="shared" si="140"/>
        <v>-182.29675022969656</v>
      </c>
      <c r="X341" s="227" t="str">
        <f t="shared" si="129"/>
        <v>0.997348326505128-0.0139132674971852i</v>
      </c>
      <c r="Y341" s="227" t="str">
        <f t="shared" si="130"/>
        <v>32.8529365544013-146.230065663276i</v>
      </c>
      <c r="Z341" s="227" t="str">
        <f t="shared" si="131"/>
        <v>5.63843597845659-26.8423485599095i</v>
      </c>
      <c r="AA341" s="227" t="str">
        <f t="shared" si="132"/>
        <v>-0.0911842738375937-0.314104828381977i</v>
      </c>
      <c r="AB341" s="227">
        <f t="shared" si="141"/>
        <v>-9.7071196026658964</v>
      </c>
      <c r="AC341" s="227">
        <f t="shared" si="142"/>
        <v>-106.18795284547099</v>
      </c>
      <c r="AD341" s="229">
        <f t="shared" si="143"/>
        <v>1.1077133965367703</v>
      </c>
      <c r="AE341" s="229">
        <f t="shared" si="144"/>
        <v>151.64640501023138</v>
      </c>
      <c r="AF341" s="227">
        <f t="shared" si="133"/>
        <v>-8.5994062061291263</v>
      </c>
      <c r="AG341" s="227">
        <f t="shared" si="134"/>
        <v>45.458452164760388</v>
      </c>
      <c r="AH341" s="229" t="str">
        <f t="shared" si="135"/>
        <v>0.999734951032866-0.539508702895319i</v>
      </c>
    </row>
    <row r="342" spans="9:34" x14ac:dyDescent="0.2">
      <c r="I342" s="227">
        <v>338</v>
      </c>
      <c r="J342" s="227">
        <f t="shared" si="123"/>
        <v>4.2955414140527886</v>
      </c>
      <c r="K342" s="227">
        <f t="shared" si="122"/>
        <v>19748.831940685341</v>
      </c>
      <c r="L342" s="227">
        <f t="shared" si="136"/>
        <v>124085.57068367305</v>
      </c>
      <c r="M342" s="227">
        <f t="shared" si="124"/>
        <v>13613.371723186679</v>
      </c>
      <c r="N342" s="227">
        <f>SQRT((ABS(AC342)-171.5+'Small Signal'!C$59)^2)</f>
        <v>4.8644254714994162</v>
      </c>
      <c r="O342" s="227">
        <f t="shared" si="137"/>
        <v>44.814206139682327</v>
      </c>
      <c r="P342" s="227">
        <f t="shared" si="138"/>
        <v>8.7093417453887536</v>
      </c>
      <c r="Q342" s="227">
        <f t="shared" si="121"/>
        <v>19748.831940685341</v>
      </c>
      <c r="R342" s="227" t="str">
        <f t="shared" si="125"/>
        <v>0.0355+0.161311241888775i</v>
      </c>
      <c r="S342" s="227" t="str">
        <f t="shared" si="126"/>
        <v>0.018-0.0366316125268272i</v>
      </c>
      <c r="T342" s="227" t="str">
        <f t="shared" si="127"/>
        <v>0.0181574190161144-0.0364252391140244i</v>
      </c>
      <c r="U342" s="227" t="str">
        <f t="shared" si="128"/>
        <v>-1.22328350312491+0.0581298155550453i</v>
      </c>
      <c r="V342" s="227">
        <f t="shared" si="139"/>
        <v>1.760338138685285</v>
      </c>
      <c r="W342" s="227">
        <f t="shared" si="140"/>
        <v>-182.7206199851172</v>
      </c>
      <c r="X342" s="227" t="str">
        <f t="shared" si="129"/>
        <v>0.997226550307403-0.0142291598255315i</v>
      </c>
      <c r="Y342" s="227" t="str">
        <f t="shared" si="130"/>
        <v>31.4586925679079-143.247828145862i</v>
      </c>
      <c r="Z342" s="227" t="str">
        <f t="shared" si="131"/>
        <v>5.38191234007785-26.2916956770347i</v>
      </c>
      <c r="AA342" s="227" t="str">
        <f t="shared" si="132"/>
        <v>-0.0914033441694038-0.311275343625721i</v>
      </c>
      <c r="AB342" s="227">
        <f t="shared" si="141"/>
        <v>-9.7779064237853657</v>
      </c>
      <c r="AC342" s="227">
        <f t="shared" si="142"/>
        <v>-106.36442547149942</v>
      </c>
      <c r="AD342" s="229">
        <f t="shared" si="143"/>
        <v>1.0685646783966123</v>
      </c>
      <c r="AE342" s="229">
        <f t="shared" si="144"/>
        <v>151.17863161118174</v>
      </c>
      <c r="AF342" s="227">
        <f t="shared" si="133"/>
        <v>-8.7093417453887536</v>
      </c>
      <c r="AG342" s="227">
        <f t="shared" si="134"/>
        <v>44.814206139682327</v>
      </c>
      <c r="AH342" s="229" t="str">
        <f t="shared" si="135"/>
        <v>0.990821161251693-0.545189848856975i</v>
      </c>
    </row>
    <row r="343" spans="9:34" x14ac:dyDescent="0.2">
      <c r="I343" s="227">
        <v>339</v>
      </c>
      <c r="J343" s="227">
        <f t="shared" si="123"/>
        <v>4.3052915365795723</v>
      </c>
      <c r="K343" s="227">
        <f t="shared" si="122"/>
        <v>20197.217232287308</v>
      </c>
      <c r="L343" s="227">
        <f t="shared" si="136"/>
        <v>126902.85855982197</v>
      </c>
      <c r="M343" s="227">
        <f t="shared" si="124"/>
        <v>14071.937331798257</v>
      </c>
      <c r="N343" s="227">
        <f>SQRT((ABS(AC343)-171.5+'Small Signal'!C$59)^2)</f>
        <v>5.0357699008156658</v>
      </c>
      <c r="O343" s="227">
        <f t="shared" si="137"/>
        <v>44.167166408955012</v>
      </c>
      <c r="P343" s="227">
        <f t="shared" si="138"/>
        <v>8.8171047841528196</v>
      </c>
      <c r="Q343" s="227">
        <f t="shared" si="121"/>
        <v>20197.217232287308</v>
      </c>
      <c r="R343" s="227" t="str">
        <f t="shared" si="125"/>
        <v>0.0355+0.164973716127769i</v>
      </c>
      <c r="S343" s="227" t="str">
        <f t="shared" si="126"/>
        <v>0.018-0.0358183779076326i</v>
      </c>
      <c r="T343" s="227" t="str">
        <f t="shared" si="127"/>
        <v>0.0181482907703173-0.0356166370008819i</v>
      </c>
      <c r="U343" s="227" t="str">
        <f t="shared" si="128"/>
        <v>-1.18721390057848+0.0649810819721839i</v>
      </c>
      <c r="V343" s="227">
        <f t="shared" si="139"/>
        <v>1.5035706960279307</v>
      </c>
      <c r="W343" s="227">
        <f t="shared" si="140"/>
        <v>-183.13290676272504</v>
      </c>
      <c r="X343" s="227" t="str">
        <f t="shared" si="129"/>
        <v>0.997099181625399-0.0145522242982448i</v>
      </c>
      <c r="Y343" s="227" t="str">
        <f t="shared" si="130"/>
        <v>30.1216476547199-140.315305573297i</v>
      </c>
      <c r="Z343" s="227" t="str">
        <f t="shared" si="131"/>
        <v>5.1359127157211-25.7501578117151i</v>
      </c>
      <c r="AA343" s="227" t="str">
        <f t="shared" si="132"/>
        <v>-0.0916221196254661-0.30860347630762i</v>
      </c>
      <c r="AB343" s="227">
        <f t="shared" si="141"/>
        <v>-9.8451149119817902</v>
      </c>
      <c r="AC343" s="227">
        <f t="shared" si="142"/>
        <v>-106.53576990081567</v>
      </c>
      <c r="AD343" s="229">
        <f t="shared" si="143"/>
        <v>1.0280101278289713</v>
      </c>
      <c r="AE343" s="229">
        <f t="shared" si="144"/>
        <v>150.70293630977068</v>
      </c>
      <c r="AF343" s="227">
        <f t="shared" si="133"/>
        <v>-8.8171047841528196</v>
      </c>
      <c r="AG343" s="227">
        <f t="shared" si="134"/>
        <v>44.167166408955012</v>
      </c>
      <c r="AH343" s="229" t="str">
        <f t="shared" si="135"/>
        <v>0.981666520841063-0.550819409324617i</v>
      </c>
    </row>
    <row r="344" spans="9:34" x14ac:dyDescent="0.2">
      <c r="I344" s="227">
        <v>340</v>
      </c>
      <c r="J344" s="227">
        <f t="shared" si="123"/>
        <v>4.3150416591063561</v>
      </c>
      <c r="K344" s="227">
        <f t="shared" si="122"/>
        <v>20655.782840898886</v>
      </c>
      <c r="L344" s="227">
        <f t="shared" si="136"/>
        <v>129784.11125422809</v>
      </c>
      <c r="M344" s="227">
        <f t="shared" si="124"/>
        <v>14540.914395363401</v>
      </c>
      <c r="N344" s="227">
        <f>SQRT((ABS(AC344)-171.5+'Small Signal'!C$59)^2)</f>
        <v>5.2017624221613943</v>
      </c>
      <c r="O344" s="227">
        <f t="shared" si="137"/>
        <v>43.517661154949351</v>
      </c>
      <c r="P344" s="227">
        <f t="shared" si="138"/>
        <v>8.922684493424331</v>
      </c>
      <c r="Q344" s="227">
        <f t="shared" si="121"/>
        <v>20655.782840898886</v>
      </c>
      <c r="R344" s="227" t="str">
        <f t="shared" si="125"/>
        <v>0.0355+0.168719344630497i</v>
      </c>
      <c r="S344" s="227" t="str">
        <f t="shared" si="126"/>
        <v>0.018-0.0350231973816168i</v>
      </c>
      <c r="T344" s="227" t="str">
        <f t="shared" si="127"/>
        <v>0.0181395633016985-0.0348259828196348i</v>
      </c>
      <c r="U344" s="227" t="str">
        <f t="shared" si="128"/>
        <v>-1.15260121267973+0.0711721602121705i</v>
      </c>
      <c r="V344" s="227">
        <f t="shared" si="139"/>
        <v>1.2501094244059354</v>
      </c>
      <c r="W344" s="227">
        <f t="shared" si="140"/>
        <v>-183.53347998354684</v>
      </c>
      <c r="X344" s="227" t="str">
        <f t="shared" si="129"/>
        <v>0.9969659636283-0.0148826237545278i</v>
      </c>
      <c r="Y344" s="227" t="str">
        <f t="shared" si="130"/>
        <v>28.8396201573828-137.432395541361i</v>
      </c>
      <c r="Z344" s="227" t="str">
        <f t="shared" si="131"/>
        <v>4.90003569579675-25.2177150953527i</v>
      </c>
      <c r="AA344" s="227" t="str">
        <f t="shared" si="132"/>
        <v>-0.0918410475142597-0.306087945999003i</v>
      </c>
      <c r="AB344" s="227">
        <f t="shared" si="141"/>
        <v>-9.9086959452010266</v>
      </c>
      <c r="AC344" s="227">
        <f t="shared" si="142"/>
        <v>-106.70176242216139</v>
      </c>
      <c r="AD344" s="229">
        <f t="shared" si="143"/>
        <v>0.9860114517766948</v>
      </c>
      <c r="AE344" s="229">
        <f t="shared" si="144"/>
        <v>150.21942357711075</v>
      </c>
      <c r="AF344" s="227">
        <f t="shared" si="133"/>
        <v>-8.922684493424331</v>
      </c>
      <c r="AG344" s="227">
        <f t="shared" si="134"/>
        <v>43.517661154949351</v>
      </c>
      <c r="AH344" s="229" t="str">
        <f t="shared" si="135"/>
        <v>0.972270735906709-0.556387072973245i</v>
      </c>
    </row>
    <row r="345" spans="9:34" x14ac:dyDescent="0.2">
      <c r="I345" s="227">
        <v>341</v>
      </c>
      <c r="J345" s="227">
        <f t="shared" si="123"/>
        <v>4.3247917816331398</v>
      </c>
      <c r="K345" s="227">
        <f t="shared" si="122"/>
        <v>21124.75990446403</v>
      </c>
      <c r="L345" s="227">
        <f t="shared" si="136"/>
        <v>132730.78104942484</v>
      </c>
      <c r="M345" s="227">
        <f t="shared" si="124"/>
        <v>15020.539299673401</v>
      </c>
      <c r="N345" s="227">
        <f>SQRT((ABS(AC345)-171.5+'Small Signal'!C$59)^2)</f>
        <v>5.3621864923769209</v>
      </c>
      <c r="O345" s="227">
        <f t="shared" si="137"/>
        <v>42.866021163341642</v>
      </c>
      <c r="P345" s="227">
        <f t="shared" si="138"/>
        <v>9.0260719851926403</v>
      </c>
      <c r="Q345" s="227">
        <f t="shared" si="121"/>
        <v>21124.75990446403</v>
      </c>
      <c r="R345" s="227" t="str">
        <f t="shared" si="125"/>
        <v>0.0355+0.172550015364252i</v>
      </c>
      <c r="S345" s="227" t="str">
        <f t="shared" si="126"/>
        <v>0.018-0.0342456701415925i</v>
      </c>
      <c r="T345" s="227" t="str">
        <f t="shared" si="127"/>
        <v>0.018131219015093-0.0340528783360137i</v>
      </c>
      <c r="U345" s="227" t="str">
        <f t="shared" si="128"/>
        <v>-1.11939189072231+0.0767485210658442i</v>
      </c>
      <c r="V345" s="227">
        <f t="shared" si="139"/>
        <v>1.0000107931595088</v>
      </c>
      <c r="W345" s="227">
        <f t="shared" si="140"/>
        <v>-183.92221464562465</v>
      </c>
      <c r="X345" s="227" t="str">
        <f t="shared" si="129"/>
        <v>0.996826627690516-0.0152205247307485i</v>
      </c>
      <c r="Y345" s="227" t="str">
        <f t="shared" si="130"/>
        <v>27.6104977455104-134.598940067544i</v>
      </c>
      <c r="Z345" s="227" t="str">
        <f t="shared" si="131"/>
        <v>4.67389262715127-24.694337418399i</v>
      </c>
      <c r="AA345" s="227" t="str">
        <f t="shared" si="132"/>
        <v>-0.0920605760668199-0.303727554678715i</v>
      </c>
      <c r="AB345" s="227">
        <f t="shared" si="141"/>
        <v>-9.9686023551428455</v>
      </c>
      <c r="AC345" s="227">
        <f t="shared" si="142"/>
        <v>-106.86218649237692</v>
      </c>
      <c r="AD345" s="229">
        <f t="shared" si="143"/>
        <v>0.94253036995020456</v>
      </c>
      <c r="AE345" s="229">
        <f t="shared" si="144"/>
        <v>149.72820765571856</v>
      </c>
      <c r="AF345" s="227">
        <f t="shared" si="133"/>
        <v>-9.0260719851926403</v>
      </c>
      <c r="AG345" s="227">
        <f t="shared" si="134"/>
        <v>42.866021163341642</v>
      </c>
      <c r="AH345" s="229" t="str">
        <f t="shared" si="135"/>
        <v>0.962633995640815-0.56188232232719i</v>
      </c>
    </row>
    <row r="346" spans="9:34" x14ac:dyDescent="0.2">
      <c r="I346" s="227">
        <v>342</v>
      </c>
      <c r="J346" s="227">
        <f t="shared" si="123"/>
        <v>4.3345419041599236</v>
      </c>
      <c r="K346" s="227">
        <f t="shared" si="122"/>
        <v>21604.38480877403</v>
      </c>
      <c r="L346" s="227">
        <f t="shared" si="136"/>
        <v>135744.35320114283</v>
      </c>
      <c r="M346" s="227">
        <f t="shared" si="124"/>
        <v>15511.053797515964</v>
      </c>
      <c r="N346" s="227">
        <f>SQRT((ABS(AC346)-171.5+'Small Signal'!C$59)^2)</f>
        <v>5.5168337830227188</v>
      </c>
      <c r="O346" s="227">
        <f t="shared" si="137"/>
        <v>42.212578998845686</v>
      </c>
      <c r="P346" s="227">
        <f t="shared" si="138"/>
        <v>9.1272603328362898</v>
      </c>
      <c r="Q346" s="227">
        <f t="shared" si="121"/>
        <v>21604.38480877403</v>
      </c>
      <c r="R346" s="227" t="str">
        <f t="shared" si="125"/>
        <v>0.0355+0.176467659161486i</v>
      </c>
      <c r="S346" s="227" t="str">
        <f t="shared" si="126"/>
        <v>0.018-0.0334854042784321i</v>
      </c>
      <c r="T346" s="227" t="str">
        <f t="shared" si="127"/>
        <v>0.0181232410877217-0.0332969341426156i</v>
      </c>
      <c r="U346" s="227" t="str">
        <f t="shared" si="128"/>
        <v>-1.08753389940108+0.0817528495923531i</v>
      </c>
      <c r="V346" s="227">
        <f t="shared" si="139"/>
        <v>0.75332867420771721</v>
      </c>
      <c r="W346" s="227">
        <f t="shared" si="140"/>
        <v>-184.298992313014</v>
      </c>
      <c r="X346" s="227" t="str">
        <f t="shared" si="129"/>
        <v>0.996680892850022-0.0155660975443827i</v>
      </c>
      <c r="Y346" s="227" t="str">
        <f t="shared" si="130"/>
        <v>26.4322364215332-131.814729862991i</v>
      </c>
      <c r="Z346" s="227" t="str">
        <f t="shared" si="131"/>
        <v>4.45710743004203-24.1799852157473i</v>
      </c>
      <c r="AA346" s="227" t="str">
        <f t="shared" si="132"/>
        <v>-0.0922811553962821-0.301521186450764i</v>
      </c>
      <c r="AB346" s="227">
        <f t="shared" si="141"/>
        <v>-10.024789024462777</v>
      </c>
      <c r="AC346" s="227">
        <f t="shared" si="142"/>
        <v>-107.01683378302272</v>
      </c>
      <c r="AD346" s="229">
        <f t="shared" si="143"/>
        <v>0.8975286916264863</v>
      </c>
      <c r="AE346" s="229">
        <f t="shared" si="144"/>
        <v>149.2294127818684</v>
      </c>
      <c r="AF346" s="227">
        <f t="shared" si="133"/>
        <v>-9.1272603328362898</v>
      </c>
      <c r="AG346" s="227">
        <f t="shared" si="134"/>
        <v>42.212578998845686</v>
      </c>
      <c r="AH346" s="229" t="str">
        <f t="shared" si="135"/>
        <v>0.952756997088945-0.567294458446195i</v>
      </c>
    </row>
    <row r="347" spans="9:34" x14ac:dyDescent="0.2">
      <c r="I347" s="227">
        <v>343</v>
      </c>
      <c r="J347" s="227">
        <f t="shared" si="123"/>
        <v>4.3442920266867064</v>
      </c>
      <c r="K347" s="227">
        <f t="shared" si="122"/>
        <v>22094.899306616593</v>
      </c>
      <c r="L347" s="227">
        <f t="shared" si="136"/>
        <v>138826.34668694579</v>
      </c>
      <c r="M347" s="227">
        <f t="shared" si="124"/>
        <v>16012.705130529921</v>
      </c>
      <c r="N347" s="227">
        <f>SQRT((ABS(AC347)-171.5+'Small Signal'!C$59)^2)</f>
        <v>5.6655052172764044</v>
      </c>
      <c r="O347" s="227">
        <f t="shared" si="137"/>
        <v>41.557668163361768</v>
      </c>
      <c r="P347" s="227">
        <f t="shared" si="138"/>
        <v>9.2262445828924129</v>
      </c>
      <c r="Q347" s="227">
        <f t="shared" si="121"/>
        <v>22094.899306616593</v>
      </c>
      <c r="R347" s="227" t="str">
        <f t="shared" si="125"/>
        <v>0.0355+0.18047425069303i</v>
      </c>
      <c r="S347" s="227" t="str">
        <f t="shared" si="126"/>
        <v>0.018-0.0327420165835277i</v>
      </c>
      <c r="T347" s="227" t="str">
        <f t="shared" si="127"/>
        <v>0.0181156134352927-0.0325577694638607i</v>
      </c>
      <c r="U347" s="227" t="str">
        <f t="shared" si="128"/>
        <v>-1.05697671544566+0.086225199721051i</v>
      </c>
      <c r="V347" s="227">
        <f t="shared" si="139"/>
        <v>0.51011426036116925</v>
      </c>
      <c r="W347" s="227">
        <f t="shared" si="140"/>
        <v>-184.6637020993177</v>
      </c>
      <c r="X347" s="227" t="str">
        <f t="shared" si="129"/>
        <v>0.996528465241817-0.0159195163798615i</v>
      </c>
      <c r="Y347" s="227" t="str">
        <f t="shared" si="130"/>
        <v>25.3028594203608-129.079508382052i</v>
      </c>
      <c r="Z347" s="227" t="str">
        <f t="shared" si="131"/>
        <v>4.24931639560107-23.6746102112002i</v>
      </c>
      <c r="AA347" s="227" t="str">
        <f t="shared" si="132"/>
        <v>-0.0925032384667883-0.299467807321713i</v>
      </c>
      <c r="AB347" s="227">
        <f t="shared" si="141"/>
        <v>-10.077212979174186</v>
      </c>
      <c r="AC347" s="227">
        <f t="shared" si="142"/>
        <v>-107.1655052172764</v>
      </c>
      <c r="AD347" s="229">
        <f t="shared" si="143"/>
        <v>0.85096839628177279</v>
      </c>
      <c r="AE347" s="229">
        <f t="shared" si="144"/>
        <v>148.72317338063817</v>
      </c>
      <c r="AF347" s="227">
        <f t="shared" si="133"/>
        <v>-9.2262445828924129</v>
      </c>
      <c r="AG347" s="227">
        <f t="shared" si="134"/>
        <v>41.557668163361768</v>
      </c>
      <c r="AH347" s="229" t="str">
        <f t="shared" si="135"/>
        <v>0.942640968706799-0.572612628186376i</v>
      </c>
    </row>
    <row r="348" spans="9:34" x14ac:dyDescent="0.2">
      <c r="I348" s="227">
        <v>344</v>
      </c>
      <c r="J348" s="227">
        <f t="shared" si="123"/>
        <v>4.3540421492134893</v>
      </c>
      <c r="K348" s="227">
        <f t="shared" si="122"/>
        <v>22596.55063963055</v>
      </c>
      <c r="L348" s="227">
        <f t="shared" si="136"/>
        <v>141978.31497186614</v>
      </c>
      <c r="M348" s="227">
        <f t="shared" si="124"/>
        <v>16525.746153825934</v>
      </c>
      <c r="N348" s="227">
        <f>SQRT((ABS(AC348)-171.5+'Small Signal'!C$59)^2)</f>
        <v>5.8080119896193736</v>
      </c>
      <c r="O348" s="227">
        <f t="shared" si="137"/>
        <v>40.90162224138281</v>
      </c>
      <c r="P348" s="227">
        <f t="shared" si="138"/>
        <v>9.323021758064435</v>
      </c>
      <c r="Q348" s="227">
        <f t="shared" si="121"/>
        <v>22596.55063963055</v>
      </c>
      <c r="R348" s="227" t="str">
        <f t="shared" si="125"/>
        <v>0.0355+0.184571809463426i</v>
      </c>
      <c r="S348" s="227" t="str">
        <f t="shared" si="126"/>
        <v>0.018-0.0320151323556365i</v>
      </c>
      <c r="T348" s="227" t="str">
        <f t="shared" si="127"/>
        <v>0.0181083206795902-0.0318350119652195i</v>
      </c>
      <c r="U348" s="227" t="str">
        <f t="shared" si="128"/>
        <v>-1.02767132153635+0.0902031415980849i</v>
      </c>
      <c r="V348" s="227">
        <f t="shared" si="139"/>
        <v>0.27041598822404689</v>
      </c>
      <c r="W348" s="227">
        <f t="shared" si="140"/>
        <v>-185.01624163796842</v>
      </c>
      <c r="X348" s="227" t="str">
        <f t="shared" si="129"/>
        <v>0.996369037505355-0.0162809593763681i</v>
      </c>
      <c r="Y348" s="227" t="str">
        <f t="shared" si="130"/>
        <v>24.2204560174405-126.392975656187i</v>
      </c>
      <c r="Z348" s="227" t="str">
        <f t="shared" si="131"/>
        <v>4.05016796645189-23.1781561222563i</v>
      </c>
      <c r="AA348" s="227" t="str">
        <f t="shared" si="132"/>
        <v>-0.0927272820742173-0.297566465039256i</v>
      </c>
      <c r="AB348" s="227">
        <f t="shared" si="141"/>
        <v>-10.125833475908586</v>
      </c>
      <c r="AC348" s="227">
        <f t="shared" si="142"/>
        <v>-107.30801198961937</v>
      </c>
      <c r="AD348" s="229">
        <f t="shared" si="143"/>
        <v>0.80281171784414984</v>
      </c>
      <c r="AE348" s="229">
        <f t="shared" si="144"/>
        <v>148.20963423100218</v>
      </c>
      <c r="AF348" s="227">
        <f t="shared" si="133"/>
        <v>-9.323021758064435</v>
      </c>
      <c r="AG348" s="227">
        <f t="shared" si="134"/>
        <v>40.90162224138281</v>
      </c>
      <c r="AH348" s="229" t="str">
        <f t="shared" si="135"/>
        <v>0.932287692440025-0.577825854008175i</v>
      </c>
    </row>
    <row r="349" spans="9:34" x14ac:dyDescent="0.2">
      <c r="I349" s="227">
        <v>345</v>
      </c>
      <c r="J349" s="227">
        <f t="shared" si="123"/>
        <v>4.3637922717402731</v>
      </c>
      <c r="K349" s="227">
        <f t="shared" si="122"/>
        <v>23109.591662926563</v>
      </c>
      <c r="L349" s="227">
        <f t="shared" si="136"/>
        <v>145201.84679142004</v>
      </c>
      <c r="M349" s="227">
        <f t="shared" si="124"/>
        <v>17050.435463437032</v>
      </c>
      <c r="N349" s="227">
        <f>SQRT((ABS(AC349)-171.5+'Small Signal'!C$59)^2)</f>
        <v>5.9441765607349168</v>
      </c>
      <c r="O349" s="227">
        <f t="shared" si="137"/>
        <v>40.244774037633533</v>
      </c>
      <c r="P349" s="227">
        <f t="shared" si="138"/>
        <v>9.4175908514091482</v>
      </c>
      <c r="Q349" s="227">
        <f t="shared" si="121"/>
        <v>23109.591662926563</v>
      </c>
      <c r="R349" s="227" t="str">
        <f t="shared" si="125"/>
        <v>0.0355+0.188762400828846i</v>
      </c>
      <c r="S349" s="227" t="str">
        <f t="shared" si="126"/>
        <v>0.018-0.0313043852120147i</v>
      </c>
      <c r="T349" s="227" t="str">
        <f t="shared" si="127"/>
        <v>0.0181013481174851-0.03112829756662i</v>
      </c>
      <c r="U349" s="227" t="str">
        <f t="shared" si="128"/>
        <v>-0.999570196026083+0.0937219018816843i</v>
      </c>
      <c r="V349" s="227">
        <f t="shared" si="139"/>
        <v>3.4279465975787113E-2</v>
      </c>
      <c r="W349" s="227">
        <f t="shared" si="140"/>
        <v>-185.3565180313802</v>
      </c>
      <c r="X349" s="227" t="str">
        <f t="shared" si="129"/>
        <v>0.996202288164784-0.0166506087176283i</v>
      </c>
      <c r="Y349" s="227" t="str">
        <f t="shared" si="130"/>
        <v>23.1831802585742-123.754791919286i</v>
      </c>
      <c r="Z349" s="227" t="str">
        <f t="shared" si="131"/>
        <v>3.85932250293725-22.6905593265131i</v>
      </c>
      <c r="AA349" s="227" t="str">
        <f t="shared" si="132"/>
        <v>-0.0929537478412923-0.295816288993657i</v>
      </c>
      <c r="AB349" s="227">
        <f t="shared" si="141"/>
        <v>-10.170612083721981</v>
      </c>
      <c r="AC349" s="227">
        <f t="shared" si="142"/>
        <v>-107.44417656073492</v>
      </c>
      <c r="AD349" s="229">
        <f t="shared" si="143"/>
        <v>0.75302123231283291</v>
      </c>
      <c r="AE349" s="229">
        <f t="shared" si="144"/>
        <v>147.68895059836845</v>
      </c>
      <c r="AF349" s="227">
        <f t="shared" si="133"/>
        <v>-9.4175908514091482</v>
      </c>
      <c r="AG349" s="227">
        <f t="shared" si="134"/>
        <v>40.244774037633533</v>
      </c>
      <c r="AH349" s="229" t="str">
        <f t="shared" si="135"/>
        <v>0.921699524054315-0.582923066275237i</v>
      </c>
    </row>
    <row r="350" spans="9:34" x14ac:dyDescent="0.2">
      <c r="I350" s="227">
        <v>346</v>
      </c>
      <c r="J350" s="227">
        <f t="shared" si="123"/>
        <v>4.3735423942670568</v>
      </c>
      <c r="K350" s="227">
        <f t="shared" si="122"/>
        <v>23634.280972537661</v>
      </c>
      <c r="L350" s="227">
        <f t="shared" si="136"/>
        <v>148498.5669524027</v>
      </c>
      <c r="M350" s="227">
        <f t="shared" si="124"/>
        <v>17587.037526662974</v>
      </c>
      <c r="N350" s="227">
        <f>SQRT((ABS(AC350)-171.5+'Small Signal'!C$59)^2)</f>
        <v>6.0738336200364529</v>
      </c>
      <c r="O350" s="227">
        <f t="shared" si="137"/>
        <v>39.587454711997509</v>
      </c>
      <c r="P350" s="227">
        <f t="shared" si="138"/>
        <v>9.5099528117250092</v>
      </c>
      <c r="Q350" s="227">
        <f t="shared" si="121"/>
        <v>23634.280972537661</v>
      </c>
      <c r="R350" s="227" t="str">
        <f t="shared" si="125"/>
        <v>0.0355+0.193048137038124i</v>
      </c>
      <c r="S350" s="227" t="str">
        <f t="shared" si="126"/>
        <v>0.018-0.0306094169037434i</v>
      </c>
      <c r="T350" s="227" t="str">
        <f t="shared" si="127"/>
        <v>0.0180946816913055-0.0304372702599452i</v>
      </c>
      <c r="U350" s="227" t="str">
        <f t="shared" si="128"/>
        <v>-0.97262729895221+0.0968144972009337i</v>
      </c>
      <c r="V350" s="227">
        <f t="shared" si="139"/>
        <v>-0.19825259371032952</v>
      </c>
      <c r="W350" s="227">
        <f t="shared" si="140"/>
        <v>-185.68444877110292</v>
      </c>
      <c r="X350" s="227" t="str">
        <f t="shared" si="129"/>
        <v>0.996027880980701-0.0170286507237392i</v>
      </c>
      <c r="Y350" s="227" t="str">
        <f t="shared" si="130"/>
        <v>22.1892496237397-121.164581031652i</v>
      </c>
      <c r="Z350" s="227" t="str">
        <f t="shared" si="131"/>
        <v>3.67645203721048-22.2117494910197i</v>
      </c>
      <c r="AA350" s="227" t="str">
        <f t="shared" si="132"/>
        <v>-0.0931831032296899-0.294216490183764i</v>
      </c>
      <c r="AB350" s="227">
        <f t="shared" si="141"/>
        <v>-10.211512760170651</v>
      </c>
      <c r="AC350" s="227">
        <f t="shared" si="142"/>
        <v>-107.57383362003645</v>
      </c>
      <c r="AD350" s="229">
        <f t="shared" si="143"/>
        <v>0.70155994844564151</v>
      </c>
      <c r="AE350" s="229">
        <f t="shared" si="144"/>
        <v>147.16128833203396</v>
      </c>
      <c r="AF350" s="227">
        <f t="shared" si="133"/>
        <v>-9.5099528117250092</v>
      </c>
      <c r="AG350" s="227">
        <f t="shared" si="134"/>
        <v>39.587454711997509</v>
      </c>
      <c r="AH350" s="229" t="str">
        <f t="shared" si="135"/>
        <v>0.91087941143952-0.587893137957804i</v>
      </c>
    </row>
    <row r="351" spans="9:34" x14ac:dyDescent="0.2">
      <c r="I351" s="227">
        <v>347</v>
      </c>
      <c r="J351" s="227">
        <f t="shared" si="123"/>
        <v>4.3832925167938397</v>
      </c>
      <c r="K351" s="227">
        <f t="shared" si="122"/>
        <v>24170.883035763603</v>
      </c>
      <c r="L351" s="227">
        <f t="shared" si="136"/>
        <v>151870.13715186619</v>
      </c>
      <c r="M351" s="227">
        <f t="shared" si="124"/>
        <v>18135.822815373707</v>
      </c>
      <c r="N351" s="227">
        <f>SQRT((ABS(AC351)-171.5+'Small Signal'!C$59)^2)</f>
        <v>6.1968310083257307</v>
      </c>
      <c r="O351" s="227">
        <f t="shared" si="137"/>
        <v>38.929992916804892</v>
      </c>
      <c r="P351" s="227">
        <f t="shared" si="138"/>
        <v>9.6001105202353312</v>
      </c>
      <c r="Q351" s="227">
        <f t="shared" si="121"/>
        <v>24170.883035763603</v>
      </c>
      <c r="R351" s="227" t="str">
        <f t="shared" si="125"/>
        <v>0.0355+0.197431178297426i</v>
      </c>
      <c r="S351" s="227" t="str">
        <f t="shared" si="126"/>
        <v>0.018-0.0299298771351553i</v>
      </c>
      <c r="T351" s="227" t="str">
        <f t="shared" si="127"/>
        <v>0.0180883079605062-0.0297615819305318i</v>
      </c>
      <c r="U351" s="227" t="str">
        <f t="shared" si="128"/>
        <v>-0.94679805478445+0.0995118610006259i</v>
      </c>
      <c r="V351" s="227">
        <f t="shared" si="139"/>
        <v>-0.4271404353844544</v>
      </c>
      <c r="W351" s="227">
        <f t="shared" si="140"/>
        <v>-185.99996262119444</v>
      </c>
      <c r="X351" s="227" t="str">
        <f t="shared" si="129"/>
        <v>0.995845464272152-0.0174152759450832i</v>
      </c>
      <c r="Y351" s="227" t="str">
        <f t="shared" si="130"/>
        <v>21.2369436361605-118.621933710046i</v>
      </c>
      <c r="Z351" s="227" t="str">
        <f t="shared" si="131"/>
        <v>3.50124001725885-21.7416501659409i</v>
      </c>
      <c r="AA351" s="227" t="str">
        <f t="shared" si="132"/>
        <v>-0.093415822571888-0.292766361249539i</v>
      </c>
      <c r="AB351" s="227">
        <f t="shared" si="141"/>
        <v>-10.248501921409805</v>
      </c>
      <c r="AC351" s="227">
        <f t="shared" si="142"/>
        <v>-107.69683100832573</v>
      </c>
      <c r="AD351" s="229">
        <f t="shared" si="143"/>
        <v>0.64839140117447402</v>
      </c>
      <c r="AE351" s="229">
        <f t="shared" si="144"/>
        <v>146.62682392513062</v>
      </c>
      <c r="AF351" s="227">
        <f t="shared" si="133"/>
        <v>-9.6001105202353312</v>
      </c>
      <c r="AG351" s="227">
        <f t="shared" si="134"/>
        <v>38.929992916804892</v>
      </c>
      <c r="AH351" s="229" t="str">
        <f t="shared" si="135"/>
        <v>0.899830910611791-0.592724921622792i</v>
      </c>
    </row>
    <row r="352" spans="9:34" x14ac:dyDescent="0.2">
      <c r="I352" s="227">
        <v>348</v>
      </c>
      <c r="J352" s="227">
        <f t="shared" si="123"/>
        <v>4.3930426393206234</v>
      </c>
      <c r="K352" s="227">
        <f t="shared" si="122"/>
        <v>24719.668324474336</v>
      </c>
      <c r="L352" s="227">
        <f t="shared" si="136"/>
        <v>155318.25681468978</v>
      </c>
      <c r="M352" s="227">
        <f t="shared" si="124"/>
        <v>18697.067942339319</v>
      </c>
      <c r="N352" s="227">
        <f>SQRT((ABS(AC352)-171.5+'Small Signal'!C$59)^2)</f>
        <v>6.3130305932543394</v>
      </c>
      <c r="O352" s="227">
        <f t="shared" si="137"/>
        <v>38.272713941530824</v>
      </c>
      <c r="P352" s="227">
        <f t="shared" si="138"/>
        <v>9.6880687587382717</v>
      </c>
      <c r="Q352" s="227">
        <f t="shared" si="121"/>
        <v>24719.668324474336</v>
      </c>
      <c r="R352" s="227" t="str">
        <f t="shared" si="125"/>
        <v>0.0355+0.201913733859097i</v>
      </c>
      <c r="S352" s="227" t="str">
        <f t="shared" si="126"/>
        <v>0.018-0.0292654233872694i</v>
      </c>
      <c r="T352" s="227" t="str">
        <f t="shared" si="127"/>
        <v>0.0180822140745825-0.0291008921825884i</v>
      </c>
      <c r="U352" s="227" t="str">
        <f t="shared" si="128"/>
        <v>-0.922039332319819+0.101842964000594i</v>
      </c>
      <c r="V352" s="227">
        <f t="shared" si="139"/>
        <v>-0.65234731697563308</v>
      </c>
      <c r="W352" s="227">
        <f t="shared" si="140"/>
        <v>-186.303000457211</v>
      </c>
      <c r="X352" s="227" t="str">
        <f t="shared" si="129"/>
        <v>0.995654670207488-0.0178106792583737i</v>
      </c>
      <c r="Y352" s="227" t="str">
        <f t="shared" si="130"/>
        <v>20.3246024268855-116.126410571293i</v>
      </c>
      <c r="Z352" s="227" t="str">
        <f t="shared" si="131"/>
        <v>3.33338104274635-21.2801793439113i</v>
      </c>
      <c r="AA352" s="227" t="str">
        <f t="shared" si="132"/>
        <v>-0.0936523881255937-0.29146527657312i</v>
      </c>
      <c r="AB352" s="227">
        <f t="shared" si="141"/>
        <v>-10.28154850610181</v>
      </c>
      <c r="AC352" s="227">
        <f t="shared" si="142"/>
        <v>-107.81303059325434</v>
      </c>
      <c r="AD352" s="229">
        <f t="shared" si="143"/>
        <v>0.59347974736353881</v>
      </c>
      <c r="AE352" s="229">
        <f t="shared" si="144"/>
        <v>146.08574453478516</v>
      </c>
      <c r="AF352" s="227">
        <f t="shared" si="133"/>
        <v>-9.6880687587382717</v>
      </c>
      <c r="AG352" s="227">
        <f t="shared" si="134"/>
        <v>38.272713941530824</v>
      </c>
      <c r="AH352" s="229" t="str">
        <f t="shared" si="135"/>
        <v>0.888558199141582-0.597407288559681i</v>
      </c>
    </row>
    <row r="353" spans="9:34" x14ac:dyDescent="0.2">
      <c r="I353" s="227">
        <v>349</v>
      </c>
      <c r="J353" s="227">
        <f t="shared" si="123"/>
        <v>4.4027927618474063</v>
      </c>
      <c r="K353" s="227">
        <f t="shared" si="122"/>
        <v>25280.913451439948</v>
      </c>
      <c r="L353" s="227">
        <f t="shared" si="136"/>
        <v>158844.66395016626</v>
      </c>
      <c r="M353" s="227">
        <f t="shared" si="124"/>
        <v>19271.055800655944</v>
      </c>
      <c r="N353" s="227">
        <f>SQRT((ABS(AC353)-171.5+'Small Signal'!C$59)^2)</f>
        <v>6.4223090905125275</v>
      </c>
      <c r="O353" s="227">
        <f t="shared" si="137"/>
        <v>37.61593886986148</v>
      </c>
      <c r="P353" s="227">
        <f t="shared" si="138"/>
        <v>9.773834169460919</v>
      </c>
      <c r="Q353" s="227">
        <f t="shared" si="121"/>
        <v>25280.913451439948</v>
      </c>
      <c r="R353" s="227" t="str">
        <f t="shared" si="125"/>
        <v>0.0355+0.206498063135216i</v>
      </c>
      <c r="S353" s="227" t="str">
        <f t="shared" si="126"/>
        <v>0.018-0.0286157207451462i</v>
      </c>
      <c r="T353" s="227" t="str">
        <f t="shared" si="127"/>
        <v>0.0180763877471717-0.0284548681684453i</v>
      </c>
      <c r="U353" s="227" t="str">
        <f t="shared" si="128"/>
        <v>-0.898309422101797+0.103834928501373i</v>
      </c>
      <c r="V353" s="227">
        <f t="shared" si="139"/>
        <v>-0.87383956021642306</v>
      </c>
      <c r="W353" s="227">
        <f t="shared" si="140"/>
        <v>-186.59351605347229</v>
      </c>
      <c r="X353" s="227" t="str">
        <f t="shared" si="129"/>
        <v>0.995455114062655-0.0182150599648823i</v>
      </c>
      <c r="Y353" s="227" t="str">
        <f t="shared" si="130"/>
        <v>19.4506252642351-113.677544996959i</v>
      </c>
      <c r="Z353" s="227" t="str">
        <f t="shared" si="131"/>
        <v>3.17258059439711-20.8272499864617i</v>
      </c>
      <c r="AA353" s="227" t="str">
        <f t="shared" si="132"/>
        <v>-0.0938932911536926-0.290312692450702i</v>
      </c>
      <c r="AB353" s="227">
        <f t="shared" si="141"/>
        <v>-10.310624032947677</v>
      </c>
      <c r="AC353" s="227">
        <f t="shared" si="142"/>
        <v>-107.92230909051253</v>
      </c>
      <c r="AD353" s="229">
        <f t="shared" si="143"/>
        <v>0.53678986348675894</v>
      </c>
      <c r="AE353" s="229">
        <f t="shared" si="144"/>
        <v>145.53824796037401</v>
      </c>
      <c r="AF353" s="227">
        <f t="shared" si="133"/>
        <v>-9.773834169460919</v>
      </c>
      <c r="AG353" s="227">
        <f t="shared" si="134"/>
        <v>37.61593886986148</v>
      </c>
      <c r="AH353" s="229" t="str">
        <f t="shared" si="135"/>
        <v>0.877066086743533-0.601929169858518i</v>
      </c>
    </row>
    <row r="354" spans="9:34" x14ac:dyDescent="0.2">
      <c r="I354" s="227">
        <v>350</v>
      </c>
      <c r="J354" s="227">
        <f t="shared" si="123"/>
        <v>4.4125428843741901</v>
      </c>
      <c r="K354" s="227">
        <f t="shared" si="122"/>
        <v>25854.901309756573</v>
      </c>
      <c r="L354" s="227">
        <f t="shared" si="136"/>
        <v>162451.13602804075</v>
      </c>
      <c r="M354" s="227">
        <f t="shared" si="124"/>
        <v>19858.075706336196</v>
      </c>
      <c r="N354" s="227">
        <f>SQRT((ABS(AC354)-171.5+'Small Signal'!C$59)^2)</f>
        <v>6.5245588240287304</v>
      </c>
      <c r="O354" s="227">
        <f t="shared" si="137"/>
        <v>36.95998375394808</v>
      </c>
      <c r="P354" s="227">
        <f t="shared" si="138"/>
        <v>9.8574152069307264</v>
      </c>
      <c r="Q354" s="227">
        <f t="shared" si="121"/>
        <v>25854.901309756573</v>
      </c>
      <c r="R354" s="227" t="str">
        <f t="shared" si="125"/>
        <v>0.0355+0.211186476836453i</v>
      </c>
      <c r="S354" s="227" t="str">
        <f t="shared" si="126"/>
        <v>0.018-0.0279804417290744i</v>
      </c>
      <c r="T354" s="227" t="str">
        <f t="shared" si="127"/>
        <v>0.0180708172312908-0.0278231844215549i</v>
      </c>
      <c r="U354" s="227" t="str">
        <f t="shared" si="128"/>
        <v>-0.875568011709246+0.105513136770025i</v>
      </c>
      <c r="V354" s="227">
        <f t="shared" si="139"/>
        <v>-1.0915865951958448</v>
      </c>
      <c r="W354" s="227">
        <f t="shared" si="140"/>
        <v>-186.87147681162267</v>
      </c>
      <c r="X354" s="227" t="str">
        <f t="shared" si="129"/>
        <v>0.995246393445424-0.0186286218908956i</v>
      </c>
      <c r="Y354" s="227" t="str">
        <f t="shared" si="130"/>
        <v>18.6134690566082-111.27484582659i</v>
      </c>
      <c r="Z354" s="227" t="str">
        <f t="shared" si="131"/>
        <v>3.01855475848193-20.3827705188943i</v>
      </c>
      <c r="AA354" s="227" t="str">
        <f t="shared" si="132"/>
        <v>-0.0941390330328315-0.289308147337591i</v>
      </c>
      <c r="AB354" s="227">
        <f t="shared" si="141"/>
        <v>-10.335702651685283</v>
      </c>
      <c r="AC354" s="227">
        <f t="shared" si="142"/>
        <v>-108.02455882402873</v>
      </c>
      <c r="AD354" s="229">
        <f t="shared" si="143"/>
        <v>0.47828744475455742</v>
      </c>
      <c r="AE354" s="229">
        <f t="shared" si="144"/>
        <v>144.98454257797681</v>
      </c>
      <c r="AF354" s="227">
        <f t="shared" si="133"/>
        <v>-9.8574152069307264</v>
      </c>
      <c r="AG354" s="227">
        <f t="shared" si="134"/>
        <v>36.95998375394808</v>
      </c>
      <c r="AH354" s="229" t="str">
        <f t="shared" si="135"/>
        <v>0.865360022776032-0.606279599222274i</v>
      </c>
    </row>
    <row r="355" spans="9:34" x14ac:dyDescent="0.2">
      <c r="I355" s="227">
        <v>351</v>
      </c>
      <c r="J355" s="227">
        <f t="shared" si="123"/>
        <v>4.4222930069009738</v>
      </c>
      <c r="K355" s="227">
        <f t="shared" si="122"/>
        <v>26441.921215436825</v>
      </c>
      <c r="L355" s="227">
        <f t="shared" si="136"/>
        <v>166139.49087443284</v>
      </c>
      <c r="M355" s="227">
        <f t="shared" si="124"/>
        <v>20458.423544137913</v>
      </c>
      <c r="N355" s="227">
        <f>SQRT((ABS(AC355)-171.5+'Small Signal'!C$59)^2)</f>
        <v>6.6196884188855734</v>
      </c>
      <c r="O355" s="227">
        <f t="shared" si="137"/>
        <v>36.305158810477678</v>
      </c>
      <c r="P355" s="227">
        <f t="shared" si="138"/>
        <v>9.938822082229569</v>
      </c>
      <c r="Q355" s="227">
        <f t="shared" si="121"/>
        <v>26441.921215436825</v>
      </c>
      <c r="R355" s="227" t="str">
        <f t="shared" si="125"/>
        <v>0.0355+0.215981338136763i</v>
      </c>
      <c r="S355" s="227" t="str">
        <f t="shared" si="126"/>
        <v>0.018-0.0273592661295078i</v>
      </c>
      <c r="T355" s="227" t="str">
        <f t="shared" si="127"/>
        <v>0.0180654912956614-0.0272055226931648i</v>
      </c>
      <c r="U355" s="227" t="str">
        <f t="shared" si="128"/>
        <v>-0.853776159231525+0.106901333740193i</v>
      </c>
      <c r="V355" s="227">
        <f t="shared" si="139"/>
        <v>-1.3055609989188264</v>
      </c>
      <c r="W355" s="227">
        <f t="shared" si="140"/>
        <v>-187.13686442394084</v>
      </c>
      <c r="X355" s="227" t="str">
        <f t="shared" si="129"/>
        <v>0.995028087483994-0.0190515734904525i</v>
      </c>
      <c r="Y355" s="227" t="str">
        <f t="shared" si="130"/>
        <v>17.8116468363552-108.917799886979i</v>
      </c>
      <c r="Z355" s="227" t="str">
        <f t="shared" si="131"/>
        <v>2.87102994782519-19.9466452949817i</v>
      </c>
      <c r="AA355" s="227" t="str">
        <f t="shared" si="132"/>
        <v>-0.0943901263938822-0.288451262169111i</v>
      </c>
      <c r="AB355" s="227">
        <f t="shared" si="141"/>
        <v>-10.356761187419215</v>
      </c>
      <c r="AC355" s="227">
        <f t="shared" si="142"/>
        <v>-108.11968841888557</v>
      </c>
      <c r="AD355" s="229">
        <f t="shared" si="143"/>
        <v>0.4179391051896465</v>
      </c>
      <c r="AE355" s="229">
        <f t="shared" si="144"/>
        <v>144.42484722936325</v>
      </c>
      <c r="AF355" s="227">
        <f t="shared" si="133"/>
        <v>-9.938822082229569</v>
      </c>
      <c r="AG355" s="227">
        <f t="shared" si="134"/>
        <v>36.305158810477678</v>
      </c>
      <c r="AH355" s="229" t="str">
        <f t="shared" si="135"/>
        <v>0.853446100415554-0.610447757263538i</v>
      </c>
    </row>
    <row r="356" spans="9:34" x14ac:dyDescent="0.2">
      <c r="I356" s="227">
        <v>352</v>
      </c>
      <c r="J356" s="227">
        <f t="shared" si="123"/>
        <v>4.4320431294277567</v>
      </c>
      <c r="K356" s="227">
        <f t="shared" si="122"/>
        <v>27042.269053238542</v>
      </c>
      <c r="L356" s="227">
        <f t="shared" si="136"/>
        <v>169911.58758810564</v>
      </c>
      <c r="M356" s="227">
        <f t="shared" si="124"/>
        <v>21072.401916703551</v>
      </c>
      <c r="N356" s="227">
        <f>SQRT((ABS(AC356)-171.5+'Small Signal'!C$59)^2)</f>
        <v>6.707623421172471</v>
      </c>
      <c r="O356" s="227">
        <f t="shared" si="137"/>
        <v>35.651767642956756</v>
      </c>
      <c r="P356" s="227">
        <f t="shared" si="138"/>
        <v>10.018066700065859</v>
      </c>
      <c r="Q356" s="227">
        <f t="shared" si="121"/>
        <v>27042.269053238542</v>
      </c>
      <c r="R356" s="227" t="str">
        <f t="shared" si="125"/>
        <v>0.0355+0.220885063864537i</v>
      </c>
      <c r="S356" s="227" t="str">
        <f t="shared" si="126"/>
        <v>0.018-0.0267518808456637i</v>
      </c>
      <c r="T356" s="227" t="str">
        <f t="shared" si="127"/>
        <v>0.0180603992020727-0.0266015717925785i</v>
      </c>
      <c r="U356" s="227" t="str">
        <f t="shared" si="128"/>
        <v>-0.832896265217677+0.10802172425928i</v>
      </c>
      <c r="V356" s="227">
        <f t="shared" si="139"/>
        <v>-1.5157385277798665</v>
      </c>
      <c r="W356" s="227">
        <f t="shared" si="140"/>
        <v>-187.38967546537063</v>
      </c>
      <c r="X356" s="227" t="str">
        <f t="shared" si="129"/>
        <v>0.994799755978327-0.0194841279504149i</v>
      </c>
      <c r="Y356" s="227" t="str">
        <f t="shared" si="130"/>
        <v>17.0437262316555-106.605874364781i</v>
      </c>
      <c r="Z356" s="227" t="str">
        <f t="shared" si="131"/>
        <v>2.72974262060852-19.518775032835i</v>
      </c>
      <c r="AA356" s="227" t="str">
        <f t="shared" si="132"/>
        <v>-0.0946470962976668-0.287741740760118i</v>
      </c>
      <c r="AB356" s="227">
        <f t="shared" si="141"/>
        <v>-10.373779178172926</v>
      </c>
      <c r="AC356" s="227">
        <f t="shared" si="142"/>
        <v>-108.20762342117247</v>
      </c>
      <c r="AD356" s="229">
        <f t="shared" si="143"/>
        <v>0.35571247810706663</v>
      </c>
      <c r="AE356" s="229">
        <f t="shared" si="144"/>
        <v>143.85939106412923</v>
      </c>
      <c r="AF356" s="227">
        <f t="shared" si="133"/>
        <v>-10.018066700065859</v>
      </c>
      <c r="AG356" s="227">
        <f t="shared" si="134"/>
        <v>35.651767642956756</v>
      </c>
      <c r="AH356" s="229" t="str">
        <f t="shared" si="135"/>
        <v>0.841331057291148-0.614423017002932i</v>
      </c>
    </row>
    <row r="357" spans="9:34" x14ac:dyDescent="0.2">
      <c r="I357" s="227">
        <v>353</v>
      </c>
      <c r="J357" s="227">
        <f t="shared" si="123"/>
        <v>4.4417932519545396</v>
      </c>
      <c r="K357" s="227">
        <f t="shared" si="122"/>
        <v>27656.24742580418</v>
      </c>
      <c r="L357" s="227">
        <f t="shared" si="136"/>
        <v>173769.32747753608</v>
      </c>
      <c r="M357" s="227">
        <f t="shared" si="124"/>
        <v>21700.3202970858</v>
      </c>
      <c r="N357" s="227">
        <f>SQRT((ABS(AC357)-171.5+'Small Signal'!C$59)^2)</f>
        <v>6.7883068395891257</v>
      </c>
      <c r="O357" s="227">
        <f t="shared" si="137"/>
        <v>35.000106494317123</v>
      </c>
      <c r="P357" s="227">
        <f t="shared" si="138"/>
        <v>10.095162589137889</v>
      </c>
      <c r="Q357" s="227">
        <f t="shared" si="121"/>
        <v>27656.24742580418</v>
      </c>
      <c r="R357" s="227" t="str">
        <f t="shared" si="125"/>
        <v>0.0355+0.225900125720797i</v>
      </c>
      <c r="S357" s="227" t="str">
        <f t="shared" si="126"/>
        <v>0.018-0.0261579797277063i</v>
      </c>
      <c r="T357" s="227" t="str">
        <f t="shared" si="127"/>
        <v>0.0180555306837387-0.026011027430932i</v>
      </c>
      <c r="U357" s="227" t="str">
        <f t="shared" si="128"/>
        <v>-0.812892043362535+0.108895065113566i</v>
      </c>
      <c r="V357" s="227">
        <f t="shared" si="139"/>
        <v>-1.7220981438689462</v>
      </c>
      <c r="W357" s="227">
        <f t="shared" si="140"/>
        <v>-187.6299219088414</v>
      </c>
      <c r="X357" s="227" t="str">
        <f t="shared" si="129"/>
        <v>0.994560938512517-0.0199265032979239i</v>
      </c>
      <c r="Y357" s="227" t="str">
        <f t="shared" si="130"/>
        <v>16.3083279326649-104.33851902974i</v>
      </c>
      <c r="Z357" s="227" t="str">
        <f t="shared" si="131"/>
        <v>2.59443899812359-19.0990572232768i</v>
      </c>
      <c r="AA357" s="227" t="str">
        <f t="shared" si="132"/>
        <v>-0.0949104814495748-0.287179370286211i</v>
      </c>
      <c r="AB357" s="227">
        <f t="shared" si="141"/>
        <v>-10.386738905569491</v>
      </c>
      <c r="AC357" s="227">
        <f t="shared" si="142"/>
        <v>-108.28830683958913</v>
      </c>
      <c r="AD357" s="229">
        <f t="shared" si="143"/>
        <v>0.2915763164316012</v>
      </c>
      <c r="AE357" s="229">
        <f t="shared" si="144"/>
        <v>143.28841333390625</v>
      </c>
      <c r="AF357" s="227">
        <f t="shared" si="133"/>
        <v>-10.095162589137889</v>
      </c>
      <c r="AG357" s="227">
        <f t="shared" si="134"/>
        <v>35.000106494317123</v>
      </c>
      <c r="AH357" s="229" t="str">
        <f t="shared" si="135"/>
        <v>0.829022272390994-0.618194990257145i</v>
      </c>
    </row>
    <row r="358" spans="9:34" x14ac:dyDescent="0.2">
      <c r="I358" s="227">
        <v>354</v>
      </c>
      <c r="J358" s="227">
        <f t="shared" si="123"/>
        <v>4.4515433744813233</v>
      </c>
      <c r="K358" s="227">
        <f t="shared" si="122"/>
        <v>28284.165806186429</v>
      </c>
      <c r="L358" s="227">
        <f t="shared" si="136"/>
        <v>177714.65501926182</v>
      </c>
      <c r="M358" s="227">
        <f t="shared" si="124"/>
        <v>22342.495184735697</v>
      </c>
      <c r="N358" s="227">
        <f>SQRT((ABS(AC358)-171.5+'Small Signal'!C$59)^2)</f>
        <v>6.861699604260366</v>
      </c>
      <c r="O358" s="227">
        <f t="shared" si="137"/>
        <v>34.350463533637679</v>
      </c>
      <c r="P358" s="227">
        <f t="shared" si="138"/>
        <v>10.170124826314993</v>
      </c>
      <c r="Q358" s="227">
        <f t="shared" si="121"/>
        <v>28284.165806186429</v>
      </c>
      <c r="R358" s="227" t="str">
        <f t="shared" si="125"/>
        <v>0.0355+0.23102905152504i</v>
      </c>
      <c r="S358" s="227" t="str">
        <f t="shared" si="126"/>
        <v>0.018-0.0255772634224335i</v>
      </c>
      <c r="T358" s="227" t="str">
        <f t="shared" si="127"/>
        <v>0.0180508759246046-0.0254335920684083i</v>
      </c>
      <c r="U358" s="227" t="str">
        <f t="shared" si="128"/>
        <v>-0.79372849016779+0.109540752058702i</v>
      </c>
      <c r="V358" s="227">
        <f t="shared" si="139"/>
        <v>-1.9246220350501937</v>
      </c>
      <c r="W358" s="227">
        <f t="shared" si="140"/>
        <v>-187.85763155910527</v>
      </c>
      <c r="X358" s="227" t="str">
        <f t="shared" si="129"/>
        <v>0.994311153526387-0.0203789225102947i</v>
      </c>
      <c r="Y358" s="227" t="str">
        <f t="shared" si="130"/>
        <v>15.6041241575291-102.115168315595i</v>
      </c>
      <c r="Z358" s="227" t="str">
        <f t="shared" si="131"/>
        <v>2.46487478250344-18.6873865120199i</v>
      </c>
      <c r="AA358" s="227" t="str">
        <f t="shared" si="132"/>
        <v>-0.095180835456833-0.286764021849918i</v>
      </c>
      <c r="AB358" s="227">
        <f t="shared" si="141"/>
        <v>-10.395625418565402</v>
      </c>
      <c r="AC358" s="227">
        <f t="shared" si="142"/>
        <v>-108.36169960426037</v>
      </c>
      <c r="AD358" s="229">
        <f t="shared" si="143"/>
        <v>0.22550059225040936</v>
      </c>
      <c r="AE358" s="229">
        <f t="shared" si="144"/>
        <v>142.71216313789805</v>
      </c>
      <c r="AF358" s="227">
        <f t="shared" si="133"/>
        <v>-10.170124826314993</v>
      </c>
      <c r="AG358" s="227">
        <f t="shared" si="134"/>
        <v>34.350463533637679</v>
      </c>
      <c r="AH358" s="229" t="str">
        <f t="shared" si="135"/>
        <v>0.816527759082059-0.621753574576279i</v>
      </c>
    </row>
    <row r="359" spans="9:34" x14ac:dyDescent="0.2">
      <c r="I359" s="227">
        <v>355</v>
      </c>
      <c r="J359" s="227">
        <f t="shared" si="123"/>
        <v>4.4612934970081071</v>
      </c>
      <c r="K359" s="227">
        <f t="shared" si="122"/>
        <v>28926.340693836326</v>
      </c>
      <c r="L359" s="227">
        <f t="shared" si="136"/>
        <v>181749.55883798335</v>
      </c>
      <c r="M359" s="227">
        <f t="shared" si="124"/>
        <v>22999.25026503305</v>
      </c>
      <c r="N359" s="227">
        <f>SQRT((ABS(AC359)-171.5+'Small Signal'!C$59)^2)</f>
        <v>6.9277809389486009</v>
      </c>
      <c r="O359" s="227">
        <f t="shared" si="137"/>
        <v>33.703118180431531</v>
      </c>
      <c r="P359" s="227">
        <f t="shared" si="138"/>
        <v>10.242969955193065</v>
      </c>
      <c r="Q359" s="227">
        <f t="shared" si="121"/>
        <v>28926.340693836326</v>
      </c>
      <c r="R359" s="227" t="str">
        <f t="shared" si="125"/>
        <v>0.0355+0.236274426489378i</v>
      </c>
      <c r="S359" s="227" t="str">
        <f t="shared" si="126"/>
        <v>0.018-0.025009439222389i</v>
      </c>
      <c r="T359" s="227" t="str">
        <f t="shared" si="127"/>
        <v>0.0180464255395612-0.0248689747648141i</v>
      </c>
      <c r="U359" s="227" t="str">
        <f t="shared" si="128"/>
        <v>-0.775371853793857+0.109976902079018i</v>
      </c>
      <c r="V359" s="227">
        <f t="shared" si="139"/>
        <v>-2.1232956287648492</v>
      </c>
      <c r="W359" s="227">
        <f t="shared" si="140"/>
        <v>-188.07284840104219</v>
      </c>
      <c r="X359" s="227" t="str">
        <f t="shared" si="129"/>
        <v>0.994049897344456-0.0208416136274077i</v>
      </c>
      <c r="Y359" s="227" t="str">
        <f t="shared" si="130"/>
        <v>14.9298371232701-99.9352432655861i</v>
      </c>
      <c r="Z359" s="227" t="str">
        <f t="shared" si="131"/>
        <v>2.34081487535335-18.2836550569249i</v>
      </c>
      <c r="AA359" s="227" t="str">
        <f t="shared" si="132"/>
        <v>-0.0954587281324504-0.286495651135391i</v>
      </c>
      <c r="AB359" s="227">
        <f t="shared" si="141"/>
        <v>-10.400426550175402</v>
      </c>
      <c r="AC359" s="227">
        <f t="shared" si="142"/>
        <v>-108.4277809389486</v>
      </c>
      <c r="AD359" s="229">
        <f t="shared" si="143"/>
        <v>0.15745659498233758</v>
      </c>
      <c r="AE359" s="229">
        <f t="shared" si="144"/>
        <v>142.13089911938013</v>
      </c>
      <c r="AF359" s="227">
        <f t="shared" si="133"/>
        <v>-10.242969955193065</v>
      </c>
      <c r="AG359" s="227">
        <f t="shared" si="134"/>
        <v>33.703118180431531</v>
      </c>
      <c r="AH359" s="229" t="str">
        <f t="shared" si="135"/>
        <v>0.803856154118774-0.625089000365652i</v>
      </c>
    </row>
    <row r="360" spans="9:34" x14ac:dyDescent="0.2">
      <c r="I360" s="227">
        <v>356</v>
      </c>
      <c r="J360" s="227">
        <f t="shared" si="123"/>
        <v>4.4710436195348908</v>
      </c>
      <c r="K360" s="227">
        <f t="shared" si="122"/>
        <v>29583.095774133679</v>
      </c>
      <c r="L360" s="227">
        <f t="shared" si="136"/>
        <v>185876.07270892322</v>
      </c>
      <c r="M360" s="227">
        <f t="shared" si="124"/>
        <v>23670.916572438702</v>
      </c>
      <c r="N360" s="227">
        <f>SQRT((ABS(AC360)-171.5+'Small Signal'!C$59)^2)</f>
        <v>6.9865486436171835</v>
      </c>
      <c r="O360" s="227">
        <f t="shared" si="137"/>
        <v>33.058340469544859</v>
      </c>
      <c r="P360" s="227">
        <f t="shared" si="138"/>
        <v>10.313715899611784</v>
      </c>
      <c r="Q360" s="227">
        <f t="shared" si="121"/>
        <v>29583.095774133679</v>
      </c>
      <c r="R360" s="227" t="str">
        <f t="shared" si="125"/>
        <v>0.0355+0.2416388945216i</v>
      </c>
      <c r="S360" s="227" t="str">
        <f t="shared" si="126"/>
        <v>0.018-0.0244542209183244i</v>
      </c>
      <c r="T360" s="227" t="str">
        <f t="shared" si="127"/>
        <v>0.018042170555528-0.0243168910334473i</v>
      </c>
      <c r="U360" s="227" t="str">
        <f t="shared" si="128"/>
        <v>-0.757789602297471+0.110220431094287i</v>
      </c>
      <c r="V360" s="227">
        <f t="shared" si="139"/>
        <v>-2.3181075995216585</v>
      </c>
      <c r="W360" s="227">
        <f t="shared" si="140"/>
        <v>-188.2756328591546</v>
      </c>
      <c r="X360" s="227" t="str">
        <f t="shared" si="129"/>
        <v>0.993776643160309-0.021314809866651i</v>
      </c>
      <c r="Y360" s="227" t="str">
        <f t="shared" si="130"/>
        <v>14.2842375260001-97.7981533493111i</v>
      </c>
      <c r="Z360" s="227" t="str">
        <f t="shared" si="131"/>
        <v>2.2220330981004-17.8877528615761i</v>
      </c>
      <c r="AA360" s="227" t="str">
        <f t="shared" si="132"/>
        <v>-0.095744746850109-0.286374299155453i</v>
      </c>
      <c r="AB360" s="227">
        <f t="shared" si="141"/>
        <v>-10.401132927136462</v>
      </c>
      <c r="AC360" s="227">
        <f t="shared" si="142"/>
        <v>-108.48654864361718</v>
      </c>
      <c r="AD360" s="229">
        <f t="shared" si="143"/>
        <v>8.7417027524678267E-2</v>
      </c>
      <c r="AE360" s="229">
        <f t="shared" si="144"/>
        <v>141.54488911316204</v>
      </c>
      <c r="AF360" s="227">
        <f t="shared" si="133"/>
        <v>-10.313715899611784</v>
      </c>
      <c r="AG360" s="227">
        <f t="shared" si="134"/>
        <v>33.058340469544859</v>
      </c>
      <c r="AH360" s="229" t="str">
        <f t="shared" si="135"/>
        <v>0.791016702553964-0.628191877806294i</v>
      </c>
    </row>
    <row r="361" spans="9:34" x14ac:dyDescent="0.2">
      <c r="I361" s="227">
        <v>357</v>
      </c>
      <c r="J361" s="227">
        <f t="shared" si="123"/>
        <v>4.4807937420616746</v>
      </c>
      <c r="K361" s="227">
        <f t="shared" si="122"/>
        <v>30254.762081539331</v>
      </c>
      <c r="L361" s="227">
        <f t="shared" si="136"/>
        <v>190096.276582942</v>
      </c>
      <c r="M361" s="227">
        <f t="shared" si="124"/>
        <v>24357.832657350631</v>
      </c>
      <c r="N361" s="227">
        <f>SQRT((ABS(AC361)-171.5+'Small Signal'!C$59)^2)</f>
        <v>7.0380192851018251</v>
      </c>
      <c r="O361" s="227">
        <f t="shared" si="137"/>
        <v>32.416390459346815</v>
      </c>
      <c r="P361" s="227">
        <f t="shared" si="138"/>
        <v>10.382381872738414</v>
      </c>
      <c r="Q361" s="227">
        <f t="shared" si="121"/>
        <v>30254.762081539331</v>
      </c>
      <c r="R361" s="227" t="str">
        <f t="shared" si="125"/>
        <v>0.0355+0.247125159557825i</v>
      </c>
      <c r="S361" s="227" t="str">
        <f t="shared" si="126"/>
        <v>0.018-0.0239113286549371i</v>
      </c>
      <c r="T361" s="227" t="str">
        <f t="shared" si="127"/>
        <v>0.0180381023933664-0.023777062698186i</v>
      </c>
      <c r="U361" s="227" t="str">
        <f t="shared" si="128"/>
        <v>-0.740950391430574+0.110287127327256i</v>
      </c>
      <c r="V361" s="227">
        <f t="shared" si="139"/>
        <v>-2.5090498700475123</v>
      </c>
      <c r="W361" s="227">
        <f t="shared" si="140"/>
        <v>-188.4660619657906</v>
      </c>
      <c r="X361" s="227" t="str">
        <f t="shared" si="129"/>
        <v>0.993490839974325-0.0217987497404726i</v>
      </c>
      <c r="Y361" s="227" t="str">
        <f t="shared" si="130"/>
        <v>13.6661430343894-95.7032981574696i</v>
      </c>
      <c r="Z361" s="227" t="str">
        <f t="shared" si="131"/>
        <v>2.10831191478421-17.499568086381i</v>
      </c>
      <c r="AA361" s="227" t="str">
        <f t="shared" si="132"/>
        <v>-0.09603949795449-0.286400093095117i</v>
      </c>
      <c r="AB361" s="227">
        <f t="shared" si="141"/>
        <v>-10.397737972469386</v>
      </c>
      <c r="AC361" s="227">
        <f t="shared" si="142"/>
        <v>-108.53801928510183</v>
      </c>
      <c r="AD361" s="229">
        <f t="shared" si="143"/>
        <v>1.5356099730972309E-2</v>
      </c>
      <c r="AE361" s="229">
        <f t="shared" si="144"/>
        <v>140.95440974444864</v>
      </c>
      <c r="AF361" s="227">
        <f t="shared" si="133"/>
        <v>-10.382381872738414</v>
      </c>
      <c r="AG361" s="227">
        <f t="shared" si="134"/>
        <v>32.416390459346815</v>
      </c>
      <c r="AH361" s="229" t="str">
        <f t="shared" si="135"/>
        <v>0.778019238507249-0.631053243171505i</v>
      </c>
    </row>
    <row r="362" spans="9:34" x14ac:dyDescent="0.2">
      <c r="I362" s="227">
        <v>358</v>
      </c>
      <c r="J362" s="227">
        <f t="shared" si="123"/>
        <v>4.4905438645884574</v>
      </c>
      <c r="K362" s="227">
        <f t="shared" si="122"/>
        <v>30941.67816645126</v>
      </c>
      <c r="L362" s="227">
        <f t="shared" si="136"/>
        <v>194412.29763492596</v>
      </c>
      <c r="M362" s="227">
        <f t="shared" si="124"/>
        <v>25060.344756749048</v>
      </c>
      <c r="N362" s="227">
        <f>SQRT((ABS(AC362)-171.5+'Small Signal'!C$59)^2)</f>
        <v>7.0822282945006947</v>
      </c>
      <c r="O362" s="227">
        <f t="shared" si="137"/>
        <v>31.777517685431732</v>
      </c>
      <c r="P362" s="227">
        <f t="shared" si="138"/>
        <v>10.448988282335916</v>
      </c>
      <c r="Q362" s="227">
        <f t="shared" si="121"/>
        <v>30941.67816645126</v>
      </c>
      <c r="R362" s="227" t="str">
        <f t="shared" si="125"/>
        <v>0.0355+0.252735986925404i</v>
      </c>
      <c r="S362" s="227" t="str">
        <f t="shared" si="126"/>
        <v>0.018-0.0233804887898098i</v>
      </c>
      <c r="T362" s="227" t="str">
        <f t="shared" si="127"/>
        <v>0.0180342128505863-0.0232492177537234i</v>
      </c>
      <c r="U362" s="227" t="str">
        <f t="shared" si="128"/>
        <v>-0.724824032158006+0.110191720539379i</v>
      </c>
      <c r="V362" s="227">
        <f t="shared" si="139"/>
        <v>-2.6961176060808958</v>
      </c>
      <c r="W362" s="227">
        <f t="shared" si="140"/>
        <v>-188.64422943647386</v>
      </c>
      <c r="X362" s="227" t="str">
        <f t="shared" si="129"/>
        <v>0.993191911482622-0.0222936771766013i</v>
      </c>
      <c r="Y362" s="227" t="str">
        <f t="shared" si="130"/>
        <v>13.0744167998614-93.6500689808237i</v>
      </c>
      <c r="Z362" s="227" t="str">
        <f t="shared" si="131"/>
        <v>1.99944215792742-17.1189873383552i</v>
      </c>
      <c r="AA362" s="227" t="str">
        <f t="shared" si="132"/>
        <v>-0.0963436082318796-0.28657324725602i</v>
      </c>
      <c r="AB362" s="227">
        <f t="shared" si="141"/>
        <v>-10.390237900903278</v>
      </c>
      <c r="AC362" s="227">
        <f t="shared" si="142"/>
        <v>-108.58222829450069</v>
      </c>
      <c r="AD362" s="229">
        <f t="shared" si="143"/>
        <v>-5.8750381432638443E-2</v>
      </c>
      <c r="AE362" s="229">
        <f t="shared" si="144"/>
        <v>140.35974597993243</v>
      </c>
      <c r="AF362" s="227">
        <f t="shared" si="133"/>
        <v>-10.448988282335916</v>
      </c>
      <c r="AG362" s="227">
        <f t="shared" si="134"/>
        <v>31.777517685431732</v>
      </c>
      <c r="AH362" s="229" t="str">
        <f t="shared" si="135"/>
        <v>0.764874161789881-0.633664604125293i</v>
      </c>
    </row>
    <row r="363" spans="9:34" x14ac:dyDescent="0.2">
      <c r="I363" s="227">
        <v>359</v>
      </c>
      <c r="J363" s="227">
        <f t="shared" si="123"/>
        <v>4.5002939871152403</v>
      </c>
      <c r="K363" s="227">
        <f t="shared" si="122"/>
        <v>31644.190265849677</v>
      </c>
      <c r="L363" s="227">
        <f t="shared" si="136"/>
        <v>198826.31133598197</v>
      </c>
      <c r="M363" s="227">
        <f t="shared" si="124"/>
        <v>25778.806968715693</v>
      </c>
      <c r="N363" s="227">
        <f>SQRT((ABS(AC363)-171.5+'Small Signal'!C$59)^2)</f>
        <v>7.1192299707464173</v>
      </c>
      <c r="O363" s="227">
        <f t="shared" si="137"/>
        <v>31.14196066165546</v>
      </c>
      <c r="P363" s="227">
        <f t="shared" si="138"/>
        <v>10.513556632833797</v>
      </c>
      <c r="Q363" s="227">
        <f t="shared" si="121"/>
        <v>31644.190265849677</v>
      </c>
      <c r="R363" s="227" t="str">
        <f t="shared" si="125"/>
        <v>0.0355+0.258474204736777i</v>
      </c>
      <c r="S363" s="227" t="str">
        <f t="shared" si="126"/>
        <v>0.018-0.0228614337554828i</v>
      </c>
      <c r="T363" s="227" t="str">
        <f t="shared" si="127"/>
        <v>0.0180304940848123-0.0227330902288862i</v>
      </c>
      <c r="U363" s="227" t="str">
        <f t="shared" si="128"/>
        <v>-0.709381458035247+0.109947947336117i</v>
      </c>
      <c r="V363" s="227">
        <f t="shared" si="139"/>
        <v>-2.8793092047947622</v>
      </c>
      <c r="W363" s="227">
        <f t="shared" si="140"/>
        <v>-188.81024565158941</v>
      </c>
      <c r="X363" s="227" t="str">
        <f t="shared" si="129"/>
        <v>0.992879254914977-0.0227998416409976i</v>
      </c>
      <c r="Y363" s="227" t="str">
        <f t="shared" si="130"/>
        <v>12.5079659865353-91.6378502795114i</v>
      </c>
      <c r="Z363" s="227" t="str">
        <f t="shared" si="131"/>
        <v>1.89522275804166-16.7458959407221i</v>
      </c>
      <c r="AA363" s="227" t="str">
        <f t="shared" si="132"/>
        <v>-0.0966577264461759-0.286894064106577i</v>
      </c>
      <c r="AB363" s="227">
        <f t="shared" si="141"/>
        <v>-10.378631707134867</v>
      </c>
      <c r="AC363" s="227">
        <f t="shared" si="142"/>
        <v>-108.61922997074642</v>
      </c>
      <c r="AD363" s="229">
        <f t="shared" si="143"/>
        <v>-0.13492492569893025</v>
      </c>
      <c r="AE363" s="229">
        <f t="shared" si="144"/>
        <v>139.76119063240188</v>
      </c>
      <c r="AF363" s="227">
        <f t="shared" si="133"/>
        <v>-10.513556632833797</v>
      </c>
      <c r="AG363" s="227">
        <f t="shared" si="134"/>
        <v>31.14196066165546</v>
      </c>
      <c r="AH363" s="229" t="str">
        <f t="shared" si="135"/>
        <v>0.751592410431918-0.636017983582019i</v>
      </c>
    </row>
    <row r="364" spans="9:34" x14ac:dyDescent="0.2">
      <c r="I364" s="227">
        <v>360</v>
      </c>
      <c r="J364" s="227">
        <f t="shared" si="123"/>
        <v>4.5100441096420241</v>
      </c>
      <c r="K364" s="227">
        <f t="shared" si="122"/>
        <v>32362.652477816322</v>
      </c>
      <c r="L364" s="227">
        <f t="shared" si="136"/>
        <v>203340.54254997455</v>
      </c>
      <c r="M364" s="227">
        <f t="shared" si="124"/>
        <v>26513.581430914917</v>
      </c>
      <c r="N364" s="227">
        <f>SQRT((ABS(AC364)-171.5+'Small Signal'!C$59)^2)</f>
        <v>7.1490973906984436</v>
      </c>
      <c r="O364" s="227">
        <f t="shared" si="137"/>
        <v>30.50994642987871</v>
      </c>
      <c r="P364" s="227">
        <f t="shared" si="138"/>
        <v>10.576109424818155</v>
      </c>
      <c r="Q364" s="227">
        <f t="shared" si="121"/>
        <v>32362.652477816322</v>
      </c>
      <c r="R364" s="227" t="str">
        <f t="shared" si="125"/>
        <v>0.0355+0.264342705314967i</v>
      </c>
      <c r="S364" s="227" t="str">
        <f t="shared" si="126"/>
        <v>0.018-0.0223539019245875i</v>
      </c>
      <c r="T364" s="227" t="str">
        <f t="shared" si="127"/>
        <v>0.0180269385979748-0.0222284200529667i</v>
      </c>
      <c r="U364" s="227" t="str">
        <f t="shared" si="128"/>
        <v>-0.694594692571937+0.109568612736614i</v>
      </c>
      <c r="V364" s="227">
        <f t="shared" si="139"/>
        <v>-3.0586262768453061</v>
      </c>
      <c r="W364" s="227">
        <f t="shared" si="140"/>
        <v>-188.96423754454082</v>
      </c>
      <c r="X364" s="227" t="str">
        <f t="shared" si="129"/>
        <v>0.992552239819378-0.023317498263596i</v>
      </c>
      <c r="Y364" s="227" t="str">
        <f t="shared" si="130"/>
        <v>11.9657403235514-89.6660210486116i</v>
      </c>
      <c r="Z364" s="227" t="str">
        <f t="shared" si="131"/>
        <v>1.79546047725353-16.3801781834124i</v>
      </c>
      <c r="AA364" s="227" t="str">
        <f t="shared" si="132"/>
        <v>-0.0969825249457844-0.287362935443013i</v>
      </c>
      <c r="AB364" s="227">
        <f t="shared" si="141"/>
        <v>-10.3629211469007</v>
      </c>
      <c r="AC364" s="227">
        <f t="shared" si="142"/>
        <v>-108.64909739069844</v>
      </c>
      <c r="AD364" s="229">
        <f t="shared" si="143"/>
        <v>-0.21318827791745576</v>
      </c>
      <c r="AE364" s="229">
        <f t="shared" si="144"/>
        <v>139.15904382057715</v>
      </c>
      <c r="AF364" s="227">
        <f t="shared" si="133"/>
        <v>-10.576109424818155</v>
      </c>
      <c r="AG364" s="227">
        <f t="shared" si="134"/>
        <v>30.50994642987871</v>
      </c>
      <c r="AH364" s="229" t="str">
        <f t="shared" si="135"/>
        <v>0.738185429205311-0.638105961705906i</v>
      </c>
    </row>
    <row r="365" spans="9:34" x14ac:dyDescent="0.2">
      <c r="I365" s="227">
        <v>361</v>
      </c>
      <c r="J365" s="227">
        <f t="shared" si="123"/>
        <v>4.5197942321688078</v>
      </c>
      <c r="K365" s="227">
        <f t="shared" si="122"/>
        <v>33097.426940015546</v>
      </c>
      <c r="L365" s="227">
        <f t="shared" si="136"/>
        <v>207957.26665495549</v>
      </c>
      <c r="M365" s="227">
        <f t="shared" si="124"/>
        <v>27265.038503127904</v>
      </c>
      <c r="N365" s="227">
        <f>SQRT((ABS(AC365)-171.5+'Small Signal'!C$59)^2)</f>
        <v>7.1719222269633462</v>
      </c>
      <c r="O365" s="227">
        <f t="shared" si="137"/>
        <v>29.88169015935361</v>
      </c>
      <c r="P365" s="227">
        <f t="shared" si="138"/>
        <v>10.636670052541904</v>
      </c>
      <c r="Q365" s="227">
        <f t="shared" si="121"/>
        <v>33097.426940015546</v>
      </c>
      <c r="R365" s="227" t="str">
        <f t="shared" si="125"/>
        <v>0.0355+0.270344446651442i</v>
      </c>
      <c r="S365" s="227" t="str">
        <f t="shared" si="126"/>
        <v>0.018-0.0218576374779748i</v>
      </c>
      <c r="T365" s="227" t="str">
        <f t="shared" si="127"/>
        <v>0.0180235392211959-0.0217349529250034i</v>
      </c>
      <c r="U365" s="227" t="str">
        <f t="shared" si="128"/>
        <v>-0.680436816693042+0.109065648195966i</v>
      </c>
      <c r="V365" s="227">
        <f t="shared" si="139"/>
        <v>-3.2340736220482307</v>
      </c>
      <c r="W365" s="227">
        <f t="shared" si="140"/>
        <v>-189.10634839736713</v>
      </c>
      <c r="X365" s="227" t="str">
        <f t="shared" si="129"/>
        <v>0.992210206790758-0.0238469079669017i</v>
      </c>
      <c r="Y365" s="227" t="str">
        <f t="shared" si="130"/>
        <v>11.4467306820403-87.7339560856415i</v>
      </c>
      <c r="Z365" s="227" t="str">
        <f t="shared" si="131"/>
        <v>1.69996964746648-16.0217175555081i</v>
      </c>
      <c r="AA365" s="227" t="str">
        <f t="shared" si="132"/>
        <v>-0.097318701347284-0.287980343666845i</v>
      </c>
      <c r="AB365" s="227">
        <f t="shared" si="141"/>
        <v>-10.343110710846268</v>
      </c>
      <c r="AC365" s="227">
        <f t="shared" si="142"/>
        <v>-108.67192222696335</v>
      </c>
      <c r="AD365" s="229">
        <f t="shared" si="143"/>
        <v>-0.29355934169563497</v>
      </c>
      <c r="AE365" s="229">
        <f t="shared" si="144"/>
        <v>138.55361238631696</v>
      </c>
      <c r="AF365" s="227">
        <f t="shared" si="133"/>
        <v>-10.636670052541904</v>
      </c>
      <c r="AG365" s="227">
        <f t="shared" si="134"/>
        <v>29.88169015935361</v>
      </c>
      <c r="AH365" s="229" t="str">
        <f t="shared" si="135"/>
        <v>0.724665134285459-0.63992171563483i</v>
      </c>
    </row>
    <row r="366" spans="9:34" x14ac:dyDescent="0.2">
      <c r="I366" s="227">
        <v>362</v>
      </c>
      <c r="J366" s="227">
        <f t="shared" si="123"/>
        <v>4.5295443546955907</v>
      </c>
      <c r="K366" s="227">
        <f t="shared" si="122"/>
        <v>33848.884012228533</v>
      </c>
      <c r="L366" s="227">
        <f t="shared" si="136"/>
        <v>212678.81069006032</v>
      </c>
      <c r="M366" s="227">
        <f t="shared" si="124"/>
        <v>28033.556953930845</v>
      </c>
      <c r="N366" s="227">
        <f>SQRT((ABS(AC366)-171.5+'Small Signal'!C$59)^2)</f>
        <v>7.1878144754988966</v>
      </c>
      <c r="O366" s="227">
        <f t="shared" si="137"/>
        <v>29.257394796271313</v>
      </c>
      <c r="P366" s="227">
        <f t="shared" si="138"/>
        <v>10.69526270003937</v>
      </c>
      <c r="Q366" s="227">
        <f t="shared" si="121"/>
        <v>33848.884012228533</v>
      </c>
      <c r="R366" s="227" t="str">
        <f t="shared" si="125"/>
        <v>0.0355+0.276482453897078i</v>
      </c>
      <c r="S366" s="227" t="str">
        <f t="shared" si="126"/>
        <v>0.018-0.0213723902757699i</v>
      </c>
      <c r="T366" s="227" t="str">
        <f t="shared" si="127"/>
        <v>0.0180202891003376-0.0212524401859446i</v>
      </c>
      <c r="U366" s="227" t="str">
        <f t="shared" si="128"/>
        <v>-0.666881936396418+0.108450166261397i</v>
      </c>
      <c r="V366" s="227">
        <f t="shared" si="139"/>
        <v>-3.4056591986948108</v>
      </c>
      <c r="W366" s="227">
        <f t="shared" si="140"/>
        <v>-189.23673754565422</v>
      </c>
      <c r="X366" s="227" t="str">
        <f t="shared" si="129"/>
        <v>0.991852466141345-0.0243883375975077i</v>
      </c>
      <c r="Y366" s="227" t="str">
        <f t="shared" si="130"/>
        <v>10.9499676786683-85.8410271654403i</v>
      </c>
      <c r="Z366" s="227" t="str">
        <f t="shared" si="131"/>
        <v>1.60857191341406-15.6703969606328i</v>
      </c>
      <c r="AA366" s="227" t="str">
        <f t="shared" si="132"/>
        <v>-0.0976669803021369-0.288746863184807i</v>
      </c>
      <c r="AB366" s="227">
        <f t="shared" si="141"/>
        <v>-10.319207591183046</v>
      </c>
      <c r="AC366" s="227">
        <f t="shared" si="142"/>
        <v>-108.6878144754989</v>
      </c>
      <c r="AD366" s="229">
        <f t="shared" si="143"/>
        <v>-0.37605510885632376</v>
      </c>
      <c r="AE366" s="229">
        <f t="shared" si="144"/>
        <v>137.94520927177021</v>
      </c>
      <c r="AF366" s="227">
        <f t="shared" si="133"/>
        <v>-10.69526270003937</v>
      </c>
      <c r="AG366" s="227">
        <f t="shared" si="134"/>
        <v>29.257394796271313</v>
      </c>
      <c r="AH366" s="229" t="str">
        <f t="shared" si="135"/>
        <v>0.711043874242259-0.641459056524338i</v>
      </c>
    </row>
    <row r="367" spans="9:34" x14ac:dyDescent="0.2">
      <c r="I367" s="227">
        <v>363</v>
      </c>
      <c r="J367" s="227">
        <f t="shared" si="123"/>
        <v>4.5392944772223736</v>
      </c>
      <c r="K367" s="227">
        <f t="shared" si="122"/>
        <v>34617.402463031474</v>
      </c>
      <c r="L367" s="227">
        <f t="shared" si="136"/>
        <v>217507.55452844177</v>
      </c>
      <c r="M367" s="227">
        <f t="shared" si="124"/>
        <v>28819.524151611684</v>
      </c>
      <c r="N367" s="227">
        <f>SQRT((ABS(AC367)-171.5+'Small Signal'!C$59)^2)</f>
        <v>7.196902095896661</v>
      </c>
      <c r="O367" s="227">
        <f t="shared" si="137"/>
        <v>28.637250763555897</v>
      </c>
      <c r="P367" s="227">
        <f t="shared" si="138"/>
        <v>10.751912236401248</v>
      </c>
      <c r="Q367" s="227">
        <f t="shared" si="121"/>
        <v>34617.402463031474</v>
      </c>
      <c r="R367" s="227" t="str">
        <f t="shared" si="125"/>
        <v>0.0355+0.282759820886974i</v>
      </c>
      <c r="S367" s="227" t="str">
        <f t="shared" si="126"/>
        <v>0.018-0.0208979157312909i</v>
      </c>
      <c r="T367" s="227" t="str">
        <f t="shared" si="127"/>
        <v>0.0180171816821848-0.0207806386936355i</v>
      </c>
      <c r="U367" s="227" t="str">
        <f t="shared" si="128"/>
        <v>-0.65390515069405+0.107732512037028i</v>
      </c>
      <c r="V367" s="227">
        <f t="shared" si="139"/>
        <v>-3.5733940865245724</v>
      </c>
      <c r="W367" s="227">
        <f t="shared" si="140"/>
        <v>-189.35557999541754</v>
      </c>
      <c r="X367" s="227" t="str">
        <f t="shared" si="129"/>
        <v>0.991478296509956-0.0249420600605976i</v>
      </c>
      <c r="Y367" s="227" t="str">
        <f t="shared" si="130"/>
        <v>10.474520307383-83.9866041276822i</v>
      </c>
      <c r="Z367" s="227" t="str">
        <f t="shared" si="131"/>
        <v>1.52109598090305-15.3260989162554i</v>
      </c>
      <c r="AA367" s="227" t="str">
        <f t="shared" si="132"/>
        <v>-0.0980281153532332-0.28966316193767i</v>
      </c>
      <c r="AB367" s="227">
        <f t="shared" si="141"/>
        <v>-10.291221641132291</v>
      </c>
      <c r="AC367" s="227">
        <f t="shared" si="142"/>
        <v>-108.69690209589666</v>
      </c>
      <c r="AD367" s="229">
        <f t="shared" si="143"/>
        <v>-0.46069059526895656</v>
      </c>
      <c r="AE367" s="229">
        <f t="shared" si="144"/>
        <v>137.33415285945256</v>
      </c>
      <c r="AF367" s="227">
        <f t="shared" si="133"/>
        <v>-10.751912236401248</v>
      </c>
      <c r="AG367" s="227">
        <f t="shared" si="134"/>
        <v>28.637250763555897</v>
      </c>
      <c r="AH367" s="229" t="str">
        <f t="shared" si="135"/>
        <v>0.697334387599441-0.642712463526188i</v>
      </c>
    </row>
    <row r="368" spans="9:34" x14ac:dyDescent="0.2">
      <c r="I368" s="227">
        <v>364</v>
      </c>
      <c r="J368" s="227">
        <f t="shared" si="123"/>
        <v>4.5490445997491573</v>
      </c>
      <c r="K368" s="227">
        <f t="shared" si="122"/>
        <v>35403.369660712313</v>
      </c>
      <c r="L368" s="227">
        <f t="shared" si="136"/>
        <v>222445.93207683513</v>
      </c>
      <c r="M368" s="227">
        <f t="shared" si="124"/>
        <v>29623.336259420885</v>
      </c>
      <c r="N368" s="227">
        <f>SQRT((ABS(AC368)-171.5+'Small Signal'!C$59)^2)</f>
        <v>7.1993305680190218</v>
      </c>
      <c r="O368" s="227">
        <f t="shared" si="137"/>
        <v>28.021435710593281</v>
      </c>
      <c r="P368" s="227">
        <f t="shared" si="138"/>
        <v>10.806644110735487</v>
      </c>
      <c r="Q368" s="227">
        <f t="shared" si="121"/>
        <v>35403.369660712313</v>
      </c>
      <c r="R368" s="227" t="str">
        <f t="shared" si="125"/>
        <v>0.0355+0.289179711699886i</v>
      </c>
      <c r="S368" s="227" t="str">
        <f t="shared" si="126"/>
        <v>0.018-0.0204339746877659i</v>
      </c>
      <c r="T368" s="227" t="str">
        <f t="shared" si="127"/>
        <v>0.0180142107012353-0.0203193107005629i</v>
      </c>
      <c r="U368" s="227" t="str">
        <f t="shared" si="128"/>
        <v>-0.641482519913067+0.106922311624685i</v>
      </c>
      <c r="V368" s="227">
        <f t="shared" si="139"/>
        <v>-3.7372924433874584</v>
      </c>
      <c r="W368" s="227">
        <f t="shared" si="140"/>
        <v>-189.46306595539966</v>
      </c>
      <c r="X368" s="227" t="str">
        <f t="shared" si="129"/>
        <v>0.991086943407409-0.0255083544575024i</v>
      </c>
      <c r="Y368" s="227" t="str">
        <f t="shared" si="130"/>
        <v>10.0194946007165-82.1700558820175i</v>
      </c>
      <c r="Z368" s="227" t="str">
        <f t="shared" si="131"/>
        <v>1.43737737049628-14.9887057378225i</v>
      </c>
      <c r="AA368" s="227" t="str">
        <f t="shared" si="132"/>
        <v>-0.0984028908885294-0.290730003064967i</v>
      </c>
      <c r="AB368" s="227">
        <f t="shared" si="141"/>
        <v>-10.259165327162696</v>
      </c>
      <c r="AC368" s="227">
        <f t="shared" si="142"/>
        <v>-108.69933056801902</v>
      </c>
      <c r="AD368" s="229">
        <f t="shared" si="143"/>
        <v>-0.54747878357279001</v>
      </c>
      <c r="AE368" s="229">
        <f t="shared" si="144"/>
        <v>136.7207662786123</v>
      </c>
      <c r="AF368" s="227">
        <f t="shared" si="133"/>
        <v>-10.806644110735487</v>
      </c>
      <c r="AG368" s="227">
        <f t="shared" si="134"/>
        <v>28.021435710593281</v>
      </c>
      <c r="AH368" s="229" t="str">
        <f t="shared" si="135"/>
        <v>0.683549757246386-0.643677114339938i</v>
      </c>
    </row>
    <row r="369" spans="9:34" x14ac:dyDescent="0.2">
      <c r="I369" s="227">
        <v>365</v>
      </c>
      <c r="J369" s="227">
        <f t="shared" si="123"/>
        <v>4.5587947222759411</v>
      </c>
      <c r="K369" s="227">
        <f t="shared" si="122"/>
        <v>36207.181768521514</v>
      </c>
      <c r="L369" s="227">
        <f t="shared" si="136"/>
        <v>227496.43250235496</v>
      </c>
      <c r="M369" s="227">
        <f t="shared" si="124"/>
        <v>30445.398435256113</v>
      </c>
      <c r="N369" s="227">
        <f>SQRT((ABS(AC369)-171.5+'Small Signal'!C$59)^2)</f>
        <v>7.1952623694194102</v>
      </c>
      <c r="O369" s="227">
        <f t="shared" si="137"/>
        <v>27.410114312193642</v>
      </c>
      <c r="P369" s="227">
        <f t="shared" si="138"/>
        <v>10.859484247305652</v>
      </c>
      <c r="Q369" s="227">
        <f t="shared" ref="Q369:Q404" si="145">K369</f>
        <v>36207.181768521514</v>
      </c>
      <c r="R369" s="227" t="str">
        <f t="shared" si="125"/>
        <v>0.0355+0.295745362253061i</v>
      </c>
      <c r="S369" s="227" t="str">
        <f t="shared" si="126"/>
        <v>0.018-0.019980333297787i</v>
      </c>
      <c r="T369" s="227" t="str">
        <f t="shared" si="127"/>
        <v>0.0180113701670686-0.0198682237343018i</v>
      </c>
      <c r="U369" s="227" t="str">
        <f t="shared" si="128"/>
        <v>-0.629591034422916+0.106028517701674i</v>
      </c>
      <c r="V369" s="227">
        <f t="shared" si="139"/>
        <v>-3.8973714556389099</v>
      </c>
      <c r="W369" s="227">
        <f t="shared" si="140"/>
        <v>-189.55940028899403</v>
      </c>
      <c r="X369" s="227" t="str">
        <f t="shared" si="129"/>
        <v>0.990677617695155-0.02608750622638i</v>
      </c>
      <c r="Y369" s="227" t="str">
        <f t="shared" si="130"/>
        <v>9.58403232173556-80.3907513356448i</v>
      </c>
      <c r="Z369" s="227" t="str">
        <f t="shared" si="131"/>
        <v>1.35725817683522-14.6580997086067i</v>
      </c>
      <c r="AA369" s="227" t="str">
        <f t="shared" si="132"/>
        <v>-0.0987921241995874-0.291948246713023i</v>
      </c>
      <c r="AB369" s="227">
        <f t="shared" si="141"/>
        <v>-10.223053674044898</v>
      </c>
      <c r="AC369" s="227">
        <f t="shared" si="142"/>
        <v>-108.69526236941941</v>
      </c>
      <c r="AD369" s="229">
        <f t="shared" si="143"/>
        <v>-0.63643057326075325</v>
      </c>
      <c r="AE369" s="229">
        <f t="shared" si="144"/>
        <v>136.10537668161305</v>
      </c>
      <c r="AF369" s="227">
        <f t="shared" si="133"/>
        <v>-10.859484247305652</v>
      </c>
      <c r="AG369" s="227">
        <f t="shared" si="134"/>
        <v>27.410114312193642</v>
      </c>
      <c r="AH369" s="229" t="str">
        <f t="shared" si="135"/>
        <v>0.669703362029674-0.644348912006579i</v>
      </c>
    </row>
    <row r="370" spans="9:34" x14ac:dyDescent="0.2">
      <c r="I370" s="227">
        <v>366</v>
      </c>
      <c r="J370" s="227">
        <f t="shared" si="123"/>
        <v>4.5685448448027248</v>
      </c>
      <c r="K370" s="227">
        <f t="shared" si="122"/>
        <v>37029.243944356742</v>
      </c>
      <c r="L370" s="227">
        <f t="shared" si="136"/>
        <v>232661.60148715094</v>
      </c>
      <c r="M370" s="227">
        <f t="shared" si="124"/>
        <v>31286.12503588037</v>
      </c>
      <c r="N370" s="227">
        <f>SQRT((ABS(AC370)-171.5+'Small Signal'!C$59)^2)</f>
        <v>7.1848763786627359</v>
      </c>
      <c r="O370" s="227">
        <f t="shared" si="137"/>
        <v>26.803438115720112</v>
      </c>
      <c r="P370" s="227">
        <f t="shared" si="138"/>
        <v>10.910458941291429</v>
      </c>
      <c r="Q370" s="227">
        <f t="shared" si="145"/>
        <v>37029.243944356742</v>
      </c>
      <c r="R370" s="227" t="str">
        <f t="shared" si="125"/>
        <v>0.0355+0.302460081933296i</v>
      </c>
      <c r="S370" s="227" t="str">
        <f t="shared" si="126"/>
        <v>0.018-0.0195367629054405i</v>
      </c>
      <c r="T370" s="227" t="str">
        <f t="shared" si="127"/>
        <v>0.0180086543522698-0.0194271504806003i</v>
      </c>
      <c r="U370" s="227" t="str">
        <f t="shared" si="128"/>
        <v>-0.618208583846018+0.105059452389364i</v>
      </c>
      <c r="V370" s="227">
        <f t="shared" si="139"/>
        <v>-4.0536512823280964</v>
      </c>
      <c r="W370" s="227">
        <f t="shared" si="140"/>
        <v>-189.64480189067132</v>
      </c>
      <c r="X370" s="227" t="str">
        <f t="shared" si="129"/>
        <v>0.990249493994022-0.0266798072860891i</v>
      </c>
      <c r="Y370" s="227" t="str">
        <f t="shared" si="130"/>
        <v>9.16730968751786-78.6480602478679i</v>
      </c>
      <c r="Z370" s="227" t="str">
        <f t="shared" si="131"/>
        <v>1.28058683376426-14.3341632361044i</v>
      </c>
      <c r="AA370" s="227" t="str">
        <f t="shared" si="132"/>
        <v>-0.0991966676535067-0.29331885199451i</v>
      </c>
      <c r="AB370" s="227">
        <f t="shared" si="141"/>
        <v>-10.182904202752738</v>
      </c>
      <c r="AC370" s="227">
        <f t="shared" si="142"/>
        <v>-108.68487637866274</v>
      </c>
      <c r="AD370" s="229">
        <f t="shared" si="143"/>
        <v>-0.72755473853869146</v>
      </c>
      <c r="AE370" s="229">
        <f t="shared" si="144"/>
        <v>135.48831449438285</v>
      </c>
      <c r="AF370" s="227">
        <f t="shared" si="133"/>
        <v>-10.910458941291429</v>
      </c>
      <c r="AG370" s="227">
        <f t="shared" si="134"/>
        <v>26.803438115720112</v>
      </c>
      <c r="AH370" s="229" t="str">
        <f t="shared" si="135"/>
        <v>0.655808825890615-0.644724507649215i</v>
      </c>
    </row>
    <row r="371" spans="9:34" x14ac:dyDescent="0.2">
      <c r="I371" s="227">
        <v>367</v>
      </c>
      <c r="J371" s="227">
        <f t="shared" si="123"/>
        <v>4.5782949673295086</v>
      </c>
      <c r="K371" s="227">
        <f t="shared" si="122"/>
        <v>37869.970544980999</v>
      </c>
      <c r="L371" s="227">
        <f t="shared" si="136"/>
        <v>237944.04251154832</v>
      </c>
      <c r="M371" s="227">
        <f t="shared" si="124"/>
        <v>32145.93982577624</v>
      </c>
      <c r="N371" s="227">
        <f>SQRT((ABS(AC371)-171.5+'Small Signal'!C$59)^2)</f>
        <v>7.168367210288821</v>
      </c>
      <c r="O371" s="227">
        <f t="shared" si="137"/>
        <v>26.201545434975046</v>
      </c>
      <c r="P371" s="227">
        <f t="shared" si="138"/>
        <v>10.959594755581449</v>
      </c>
      <c r="Q371" s="227">
        <f t="shared" si="145"/>
        <v>37869.970544980999</v>
      </c>
      <c r="R371" s="227" t="str">
        <f t="shared" si="125"/>
        <v>0.0355+0.309327255265013i</v>
      </c>
      <c r="S371" s="227" t="str">
        <f t="shared" si="126"/>
        <v>0.018-0.0191030399310541i</v>
      </c>
      <c r="T371" s="227" t="str">
        <f t="shared" si="127"/>
        <v>0.0180060577808834-0.0189958686690491i</v>
      </c>
      <c r="U371" s="227" t="str">
        <f t="shared" si="128"/>
        <v>-0.60731392680106+0.10402284755987i</v>
      </c>
      <c r="V371" s="227">
        <f t="shared" si="139"/>
        <v>-4.2061549932573481</v>
      </c>
      <c r="W371" s="227">
        <f t="shared" si="140"/>
        <v>-189.71950299241735</v>
      </c>
      <c r="X371" s="227" t="str">
        <f t="shared" si="129"/>
        <v>0.989801709019892-0.0272855561833296i</v>
      </c>
      <c r="Y371" s="227" t="str">
        <f t="shared" si="130"/>
        <v>8.76853612482017-76.9413540160198i</v>
      </c>
      <c r="Z371" s="227" t="str">
        <f t="shared" si="131"/>
        <v>1.20721788537884-14.0167789957926i</v>
      </c>
      <c r="AA371" s="227" t="str">
        <f t="shared" si="132"/>
        <v>-0.0996174109873125-0.294842879108085i</v>
      </c>
      <c r="AB371" s="227">
        <f t="shared" si="141"/>
        <v>-10.138736861266647</v>
      </c>
      <c r="AC371" s="227">
        <f t="shared" si="142"/>
        <v>-108.66836721028882</v>
      </c>
      <c r="AD371" s="229">
        <f t="shared" si="143"/>
        <v>-0.82085789431480283</v>
      </c>
      <c r="AE371" s="229">
        <f t="shared" si="144"/>
        <v>134.86991264526387</v>
      </c>
      <c r="AF371" s="227">
        <f t="shared" si="133"/>
        <v>-10.959594755581449</v>
      </c>
      <c r="AG371" s="227">
        <f t="shared" si="134"/>
        <v>26.201545434975046</v>
      </c>
      <c r="AH371" s="229" t="str">
        <f t="shared" si="135"/>
        <v>0.641879964949582-0.644801318906928i</v>
      </c>
    </row>
    <row r="372" spans="9:34" x14ac:dyDescent="0.2">
      <c r="I372" s="227">
        <v>368</v>
      </c>
      <c r="J372" s="227">
        <f t="shared" si="123"/>
        <v>4.5880450898562914</v>
      </c>
      <c r="K372" s="227">
        <f t="shared" si="122"/>
        <v>38729.785334876869</v>
      </c>
      <c r="L372" s="227">
        <f t="shared" si="136"/>
        <v>243346.41816631774</v>
      </c>
      <c r="M372" s="227">
        <f t="shared" si="124"/>
        <v>33025.276190742865</v>
      </c>
      <c r="N372" s="227">
        <f>SQRT((ABS(AC372)-171.5+'Small Signal'!C$59)^2)</f>
        <v>7.1459444877162781</v>
      </c>
      <c r="O372" s="227">
        <f t="shared" si="137"/>
        <v>25.604561289117854</v>
      </c>
      <c r="P372" s="227">
        <f t="shared" si="138"/>
        <v>11.006918418954537</v>
      </c>
      <c r="Q372" s="227">
        <f t="shared" si="145"/>
        <v>38729.785334876869</v>
      </c>
      <c r="R372" s="227" t="str">
        <f t="shared" si="125"/>
        <v>0.0355+0.316350343616213i</v>
      </c>
      <c r="S372" s="227" t="str">
        <f t="shared" si="126"/>
        <v>0.018-0.0186789457585026i</v>
      </c>
      <c r="T372" s="227" t="str">
        <f t="shared" si="127"/>
        <v>0.0180035752173739-0.0185741609612765i</v>
      </c>
      <c r="U372" s="227" t="str">
        <f t="shared" si="128"/>
        <v>-0.596886661220486+0.102925882721414i</v>
      </c>
      <c r="V372" s="227">
        <f t="shared" si="139"/>
        <v>-4.354908501014104</v>
      </c>
      <c r="W372" s="227">
        <f t="shared" si="140"/>
        <v>-189.78374840623397</v>
      </c>
      <c r="X372" s="227" t="str">
        <f t="shared" si="129"/>
        <v>0.989333359842946-0.0279050582431238i</v>
      </c>
      <c r="Y372" s="227" t="str">
        <f t="shared" si="130"/>
        <v>8.38695305841914-75.2700063968879i</v>
      </c>
      <c r="Z372" s="227" t="str">
        <f t="shared" si="131"/>
        <v>1.13701176308592-13.7058300630018i</v>
      </c>
      <c r="AA372" s="227" t="str">
        <f t="shared" si="132"/>
        <v>-0.100055283734691-0.296521491627592i</v>
      </c>
      <c r="AB372" s="227">
        <f t="shared" si="141"/>
        <v>-10.090573948346233</v>
      </c>
      <c r="AC372" s="227">
        <f t="shared" si="142"/>
        <v>-108.64594448771628</v>
      </c>
      <c r="AD372" s="229">
        <f t="shared" si="143"/>
        <v>-0.91634447060830548</v>
      </c>
      <c r="AE372" s="229">
        <f t="shared" si="144"/>
        <v>134.25050577683413</v>
      </c>
      <c r="AF372" s="227">
        <f t="shared" si="133"/>
        <v>-11.006918418954537</v>
      </c>
      <c r="AG372" s="227">
        <f t="shared" si="134"/>
        <v>25.604561289117854</v>
      </c>
      <c r="AH372" s="229" t="str">
        <f t="shared" si="135"/>
        <v>0.627930732967296-0.644577543853642i</v>
      </c>
    </row>
    <row r="373" spans="9:34" x14ac:dyDescent="0.2">
      <c r="I373" s="227">
        <v>369</v>
      </c>
      <c r="J373" s="227">
        <f t="shared" si="123"/>
        <v>4.5977952123830743</v>
      </c>
      <c r="K373" s="227">
        <f t="shared" si="122"/>
        <v>39609.121699843497</v>
      </c>
      <c r="L373" s="227">
        <f t="shared" si="136"/>
        <v>248871.45149474478</v>
      </c>
      <c r="M373" s="227">
        <f t="shared" si="124"/>
        <v>33924.57735634219</v>
      </c>
      <c r="N373" s="227">
        <f>SQRT((ABS(AC373)-171.5+'Small Signal'!C$59)^2)</f>
        <v>7.1178320608648136</v>
      </c>
      <c r="O373" s="227">
        <f t="shared" si="137"/>
        <v>25.012597384602671</v>
      </c>
      <c r="P373" s="227">
        <f t="shared" si="138"/>
        <v>11.052456725961504</v>
      </c>
      <c r="Q373" s="227">
        <f t="shared" si="145"/>
        <v>39609.121699843497</v>
      </c>
      <c r="R373" s="227" t="str">
        <f t="shared" si="125"/>
        <v>0.0355+0.323532886943168i</v>
      </c>
      <c r="S373" s="227" t="str">
        <f t="shared" si="126"/>
        <v>0.018-0.0182642666250151i</v>
      </c>
      <c r="T373" s="227" t="str">
        <f t="shared" si="127"/>
        <v>0.0180012016560706-0.0181618148416142i</v>
      </c>
      <c r="U373" s="227" t="str">
        <f t="shared" si="128"/>
        <v>-0.586907195277159+0.101775220616546i</v>
      </c>
      <c r="V373" s="227">
        <f t="shared" si="139"/>
        <v>-4.4999404870985344</v>
      </c>
      <c r="W373" s="227">
        <f t="shared" si="140"/>
        <v>-189.83779470922616</v>
      </c>
      <c r="X373" s="227" t="str">
        <f t="shared" si="129"/>
        <v>0.988843502066965-0.028538625722714i</v>
      </c>
      <c r="Y373" s="227" t="str">
        <f t="shared" si="130"/>
        <v>8.02183273244507-73.6333941675932i</v>
      </c>
      <c r="Z373" s="227" t="str">
        <f t="shared" si="131"/>
        <v>1.06983456873565-13.4012000336331i</v>
      </c>
      <c r="AA373" s="227" t="str">
        <f t="shared" si="132"/>
        <v>-0.100511257795754-0.298355958970933i</v>
      </c>
      <c r="AB373" s="227">
        <f t="shared" si="141"/>
        <v>-10.038440030364402</v>
      </c>
      <c r="AC373" s="227">
        <f t="shared" si="142"/>
        <v>-108.61783206086481</v>
      </c>
      <c r="AD373" s="229">
        <f t="shared" si="143"/>
        <v>-1.0140166955971013</v>
      </c>
      <c r="AE373" s="229">
        <f t="shared" si="144"/>
        <v>133.63042944546748</v>
      </c>
      <c r="AF373" s="227">
        <f t="shared" si="133"/>
        <v>-11.052456725961504</v>
      </c>
      <c r="AG373" s="227">
        <f t="shared" si="134"/>
        <v>25.012597384602671</v>
      </c>
      <c r="AH373" s="229" t="str">
        <f t="shared" si="135"/>
        <v>0.613975165636659-0.644052170243107i</v>
      </c>
    </row>
    <row r="374" spans="9:34" x14ac:dyDescent="0.2">
      <c r="I374" s="227">
        <v>370</v>
      </c>
      <c r="J374" s="227">
        <f t="shared" si="123"/>
        <v>4.6075453349098581</v>
      </c>
      <c r="K374" s="227">
        <f t="shared" si="122"/>
        <v>40508.422865442823</v>
      </c>
      <c r="L374" s="227">
        <f t="shared" si="136"/>
        <v>254521.92736516794</v>
      </c>
      <c r="M374" s="227">
        <f t="shared" si="124"/>
        <v>34844.296611304293</v>
      </c>
      <c r="N374" s="227">
        <f>SQRT((ABS(AC374)-171.5+'Small Signal'!C$59)^2)</f>
        <v>7.0842671756641806</v>
      </c>
      <c r="O374" s="227">
        <f t="shared" si="137"/>
        <v>24.425752137866581</v>
      </c>
      <c r="P374" s="227">
        <f t="shared" si="138"/>
        <v>11.096236438774191</v>
      </c>
      <c r="Q374" s="227">
        <f t="shared" si="145"/>
        <v>40508.422865442823</v>
      </c>
      <c r="R374" s="227" t="str">
        <f t="shared" si="125"/>
        <v>0.0355+0.330878505574718i</v>
      </c>
      <c r="S374" s="227" t="str">
        <f t="shared" si="126"/>
        <v>0.018-0.0178587935134292i</v>
      </c>
      <c r="T374" s="227" t="str">
        <f t="shared" si="127"/>
        <v>0.017998932311077-0.0177586225101809i</v>
      </c>
      <c r="U374" s="227" t="str">
        <f t="shared" si="128"/>
        <v>-0.577356718948902+0.100577040661026i</v>
      </c>
      <c r="V374" s="227">
        <f t="shared" si="139"/>
        <v>-4.6412823222988528</v>
      </c>
      <c r="W374" s="227">
        <f t="shared" si="140"/>
        <v>-189.88190937818126</v>
      </c>
      <c r="X374" s="227" t="str">
        <f t="shared" si="129"/>
        <v>0.98833114792501-0.0291865779689549i</v>
      </c>
      <c r="Y374" s="227" t="str">
        <f t="shared" si="130"/>
        <v>7.67247706487671-72.030897729687i</v>
      </c>
      <c r="Z374" s="227" t="str">
        <f t="shared" si="131"/>
        <v>1.00555786385494-13.1027731344121i</v>
      </c>
      <c r="AA374" s="227" t="str">
        <f t="shared" si="132"/>
        <v>-0.100986350161354-0.300347659059423i</v>
      </c>
      <c r="AB374" s="227">
        <f t="shared" si="141"/>
        <v>-9.9823618513218975</v>
      </c>
      <c r="AC374" s="227">
        <f t="shared" si="142"/>
        <v>-108.58426717566418</v>
      </c>
      <c r="AD374" s="229">
        <f t="shared" si="143"/>
        <v>-1.113874587452294</v>
      </c>
      <c r="AE374" s="229">
        <f t="shared" si="144"/>
        <v>133.01001931353076</v>
      </c>
      <c r="AF374" s="227">
        <f t="shared" si="133"/>
        <v>-11.096236438774191</v>
      </c>
      <c r="AG374" s="227">
        <f t="shared" si="134"/>
        <v>24.425752137866581</v>
      </c>
      <c r="AH374" s="229" t="str">
        <f t="shared" si="135"/>
        <v>0.600027324175641-0.643224979973355i</v>
      </c>
    </row>
    <row r="375" spans="9:34" x14ac:dyDescent="0.2">
      <c r="I375" s="227">
        <v>371</v>
      </c>
      <c r="J375" s="227">
        <f t="shared" si="123"/>
        <v>4.6172954574366418</v>
      </c>
      <c r="K375" s="227">
        <f t="shared" si="122"/>
        <v>41428.142120404926</v>
      </c>
      <c r="L375" s="227">
        <f t="shared" si="136"/>
        <v>260300.69387467598</v>
      </c>
      <c r="M375" s="227">
        <f t="shared" si="124"/>
        <v>35784.897536005912</v>
      </c>
      <c r="N375" s="227">
        <f>SQRT((ABS(AC375)-171.5+'Small Signal'!C$59)^2)</f>
        <v>7.0454996029341572</v>
      </c>
      <c r="O375" s="227">
        <f t="shared" si="137"/>
        <v>23.84411073626832</v>
      </c>
      <c r="P375" s="227">
        <f t="shared" si="138"/>
        <v>11.138284191212923</v>
      </c>
      <c r="Q375" s="227">
        <f t="shared" si="145"/>
        <v>41428.142120404926</v>
      </c>
      <c r="R375" s="227" t="str">
        <f t="shared" si="125"/>
        <v>0.0355+0.338390902037079i</v>
      </c>
      <c r="S375" s="227" t="str">
        <f t="shared" si="126"/>
        <v>0.018-0.0174623220468363i</v>
      </c>
      <c r="T375" s="227" t="str">
        <f t="shared" si="127"/>
        <v>0.0179967626066212-0.0173643807783289i</v>
      </c>
      <c r="U375" s="227" t="str">
        <f t="shared" si="128"/>
        <v>-0.568217176244109+0.0993370703451023i</v>
      </c>
      <c r="V375" s="227">
        <f t="shared" si="139"/>
        <v>-4.778967981495315</v>
      </c>
      <c r="W375" s="227">
        <f t="shared" si="140"/>
        <v>-189.91636988085185</v>
      </c>
      <c r="X375" s="227" t="str">
        <f t="shared" si="129"/>
        <v>0.987795264287655-0.0298492415792778i</v>
      </c>
      <c r="Y375" s="227" t="str">
        <f t="shared" si="130"/>
        <v>7.33821653523112-70.4619016600059i</v>
      </c>
      <c r="Z375" s="227" t="str">
        <f t="shared" si="131"/>
        <v>0.944058464989447-12.8104343233285i</v>
      </c>
      <c r="AA375" s="227" t="str">
        <f t="shared" si="132"/>
        <v>-0.101481625804553-0.302498081179491i</v>
      </c>
      <c r="AB375" s="227">
        <f t="shared" si="141"/>
        <v>-9.9223682361818692</v>
      </c>
      <c r="AC375" s="227">
        <f t="shared" si="142"/>
        <v>-108.54549960293416</v>
      </c>
      <c r="AD375" s="229">
        <f t="shared" si="143"/>
        <v>-1.2159159550310537</v>
      </c>
      <c r="AE375" s="229">
        <f t="shared" si="144"/>
        <v>132.38961033920248</v>
      </c>
      <c r="AF375" s="227">
        <f t="shared" si="133"/>
        <v>-11.138284191212923</v>
      </c>
      <c r="AG375" s="227">
        <f t="shared" si="134"/>
        <v>23.84411073626832</v>
      </c>
      <c r="AH375" s="229" t="str">
        <f t="shared" si="135"/>
        <v>0.58610123870208-0.642096548718222i</v>
      </c>
    </row>
    <row r="376" spans="9:34" x14ac:dyDescent="0.2">
      <c r="I376" s="227">
        <v>372</v>
      </c>
      <c r="J376" s="227">
        <f t="shared" si="123"/>
        <v>4.6270455799634247</v>
      </c>
      <c r="K376" s="227">
        <f t="shared" si="122"/>
        <v>42368.743045106545</v>
      </c>
      <c r="L376" s="227">
        <f t="shared" si="136"/>
        <v>266210.66378468071</v>
      </c>
      <c r="M376" s="227">
        <f t="shared" si="124"/>
        <v>36746.854236136183</v>
      </c>
      <c r="N376" s="227">
        <f>SQRT((ABS(AC376)-171.5+'Small Signal'!C$59)^2)</f>
        <v>7.0017907343439703</v>
      </c>
      <c r="O376" s="227">
        <f t="shared" si="137"/>
        <v>23.267745234576509</v>
      </c>
      <c r="P376" s="227">
        <f t="shared" si="138"/>
        <v>11.178626395124327</v>
      </c>
      <c r="Q376" s="227">
        <f t="shared" si="145"/>
        <v>42368.743045106545</v>
      </c>
      <c r="R376" s="227" t="str">
        <f t="shared" si="125"/>
        <v>0.0355+0.346073862920085i</v>
      </c>
      <c r="S376" s="227" t="str">
        <f t="shared" si="126"/>
        <v>0.018-0.0170746523855673i</v>
      </c>
      <c r="T376" s="227" t="str">
        <f t="shared" si="127"/>
        <v>0.0179946881678317-0.0169788909664036i</v>
      </c>
      <c r="U376" s="227" t="str">
        <f t="shared" si="128"/>
        <v>-0.559471238106776+0.0980606147129057i</v>
      </c>
      <c r="V376" s="227">
        <f t="shared" si="139"/>
        <v>-4.9130339531030378</v>
      </c>
      <c r="W376" s="227">
        <f t="shared" si="140"/>
        <v>-189.94146273135735</v>
      </c>
      <c r="X376" s="227" t="str">
        <f t="shared" si="129"/>
        <v>0.987234770579753-0.0305269505663115i</v>
      </c>
      <c r="Y376" s="227" t="str">
        <f t="shared" si="130"/>
        <v>7.01840910537524-68.9257952116822i</v>
      </c>
      <c r="Z376" s="227" t="str">
        <f t="shared" si="131"/>
        <v>0.885218245139949-12.5240693808889i</v>
      </c>
      <c r="AA376" s="227" t="str">
        <f t="shared" si="132"/>
        <v>-0.101998200752858-0.304808829059278i</v>
      </c>
      <c r="AB376" s="227">
        <f t="shared" si="141"/>
        <v>-9.8584899876987677</v>
      </c>
      <c r="AC376" s="227">
        <f t="shared" si="142"/>
        <v>-108.50179073434397</v>
      </c>
      <c r="AD376" s="229">
        <f t="shared" si="143"/>
        <v>-1.3201364074255604</v>
      </c>
      <c r="AE376" s="229">
        <f t="shared" si="144"/>
        <v>131.76953596892048</v>
      </c>
      <c r="AF376" s="227">
        <f t="shared" si="133"/>
        <v>-11.178626395124327</v>
      </c>
      <c r="AG376" s="227">
        <f t="shared" si="134"/>
        <v>23.267745234576509</v>
      </c>
      <c r="AH376" s="229" t="str">
        <f t="shared" si="135"/>
        <v>0.572210851874282-0.640668240728549i</v>
      </c>
    </row>
    <row r="377" spans="9:34" x14ac:dyDescent="0.2">
      <c r="I377" s="227">
        <v>373</v>
      </c>
      <c r="J377" s="227">
        <f t="shared" si="123"/>
        <v>4.6367957024902084</v>
      </c>
      <c r="K377" s="227">
        <f t="shared" si="122"/>
        <v>43330.699745236816</v>
      </c>
      <c r="L377" s="227">
        <f t="shared" si="136"/>
        <v>272254.81598908221</v>
      </c>
      <c r="M377" s="227">
        <f t="shared" si="124"/>
        <v>37730.651581667247</v>
      </c>
      <c r="N377" s="227">
        <f>SQRT((ABS(AC377)-171.5+'Small Signal'!C$59)^2)</f>
        <v>6.9534126532898028</v>
      </c>
      <c r="O377" s="227">
        <f t="shared" si="137"/>
        <v>22.696714684147878</v>
      </c>
      <c r="P377" s="227">
        <f t="shared" si="138"/>
        <v>11.217289149227238</v>
      </c>
      <c r="Q377" s="227">
        <f t="shared" si="145"/>
        <v>43330.699745236816</v>
      </c>
      <c r="R377" s="227" t="str">
        <f t="shared" si="125"/>
        <v>0.0355+0.353931260785807i</v>
      </c>
      <c r="S377" s="227" t="str">
        <f t="shared" si="126"/>
        <v>0.018-0.0166955891264631i</v>
      </c>
      <c r="T377" s="227" t="str">
        <f t="shared" si="127"/>
        <v>0.0179927048119168-0.0166019588037629i</v>
      </c>
      <c r="U377" s="227" t="str">
        <f t="shared" si="128"/>
        <v>-0.551102276014604+0.096752584029944i</v>
      </c>
      <c r="V377" s="227">
        <f t="shared" si="139"/>
        <v>-5.0435191433995898</v>
      </c>
      <c r="W377" s="227">
        <f t="shared" si="140"/>
        <v>-189.95748251724814</v>
      </c>
      <c r="X377" s="227" t="str">
        <f t="shared" si="129"/>
        <v>0.986648536601516-0.0312200465262399i</v>
      </c>
      <c r="Y377" s="227" t="str">
        <f t="shared" si="130"/>
        <v>6.71243917326752-67.4219727684909i</v>
      </c>
      <c r="Z377" s="227" t="str">
        <f t="shared" si="131"/>
        <v>0.82892394125826-12.243564992764i</v>
      </c>
      <c r="AA377" s="227" t="str">
        <f t="shared" si="132"/>
        <v>-0.102537245356074-0.307281624173912i</v>
      </c>
      <c r="AB377" s="227">
        <f t="shared" si="141"/>
        <v>-9.7907597769388239</v>
      </c>
      <c r="AC377" s="227">
        <f t="shared" si="142"/>
        <v>-108.4534126532898</v>
      </c>
      <c r="AD377" s="229">
        <f t="shared" si="143"/>
        <v>-1.4265293722884134</v>
      </c>
      <c r="AE377" s="229">
        <f t="shared" si="144"/>
        <v>131.15012733743768</v>
      </c>
      <c r="AF377" s="227">
        <f t="shared" si="133"/>
        <v>-11.217289149227238</v>
      </c>
      <c r="AG377" s="227">
        <f t="shared" si="134"/>
        <v>22.696714684147878</v>
      </c>
      <c r="AH377" s="229" t="str">
        <f t="shared" si="135"/>
        <v>0.558369963277562-0.638942198860824i</v>
      </c>
    </row>
    <row r="378" spans="9:34" x14ac:dyDescent="0.2">
      <c r="I378" s="227">
        <v>374</v>
      </c>
      <c r="J378" s="227">
        <f t="shared" si="123"/>
        <v>4.6465458250169913</v>
      </c>
      <c r="K378" s="227">
        <f t="shared" si="122"/>
        <v>44314.49709076788</v>
      </c>
      <c r="L378" s="227">
        <f t="shared" si="136"/>
        <v>278436.19701576524</v>
      </c>
      <c r="M378" s="227">
        <f t="shared" si="124"/>
        <v>38736.785451250958</v>
      </c>
      <c r="N378" s="227">
        <f>SQRT((ABS(AC378)-171.5+'Small Signal'!C$59)^2)</f>
        <v>6.9006471885868592</v>
      </c>
      <c r="O378" s="227">
        <f t="shared" si="137"/>
        <v>22.131065291788801</v>
      </c>
      <c r="P378" s="227">
        <f t="shared" si="138"/>
        <v>11.254298150507932</v>
      </c>
      <c r="Q378" s="227">
        <f t="shared" si="145"/>
        <v>44314.49709076788</v>
      </c>
      <c r="R378" s="227" t="str">
        <f t="shared" si="125"/>
        <v>0.0355+0.361967056120495i</v>
      </c>
      <c r="S378" s="227" t="str">
        <f t="shared" si="126"/>
        <v>0.018-0.0163249412043836i</v>
      </c>
      <c r="T378" s="227" t="str">
        <f t="shared" si="127"/>
        <v>0.0179908085397322-0.0162333943310104i</v>
      </c>
      <c r="U378" s="227" t="str">
        <f t="shared" si="128"/>
        <v>-0.543094336280057+0.0954175197430902i</v>
      </c>
      <c r="V378" s="227">
        <f t="shared" si="139"/>
        <v>-5.1704647760130475</v>
      </c>
      <c r="W378" s="227">
        <f t="shared" si="140"/>
        <v>-189.9647309058027</v>
      </c>
      <c r="X378" s="227" t="str">
        <f t="shared" si="129"/>
        <v>0.986035380249545-0.0319288788109816i</v>
      </c>
      <c r="Y378" s="227" t="str">
        <f t="shared" si="130"/>
        <v>6.41971655936187-65.9498342555813i</v>
      </c>
      <c r="Z378" s="227" t="str">
        <f t="shared" si="131"/>
        <v>0.775066967753024-11.9688088243939i</v>
      </c>
      <c r="AA378" s="227" t="str">
        <f t="shared" si="132"/>
        <v>-0.103099987765899-0.309918309294062i</v>
      </c>
      <c r="AB378" s="227">
        <f t="shared" si="141"/>
        <v>-9.7192120277262433</v>
      </c>
      <c r="AC378" s="227">
        <f t="shared" si="142"/>
        <v>-108.40064718858686</v>
      </c>
      <c r="AD378" s="229">
        <f t="shared" si="143"/>
        <v>-1.5350861227816885</v>
      </c>
      <c r="AE378" s="229">
        <f t="shared" si="144"/>
        <v>130.53171248037566</v>
      </c>
      <c r="AF378" s="227">
        <f t="shared" si="133"/>
        <v>-11.254298150507932</v>
      </c>
      <c r="AG378" s="227">
        <f t="shared" si="134"/>
        <v>22.131065291788801</v>
      </c>
      <c r="AH378" s="229" t="str">
        <f t="shared" si="135"/>
        <v>0.544592175025868-0.636921329944966i</v>
      </c>
    </row>
    <row r="379" spans="9:34" x14ac:dyDescent="0.2">
      <c r="I379" s="227">
        <v>375</v>
      </c>
      <c r="J379" s="227">
        <f t="shared" si="123"/>
        <v>4.6562959475437751</v>
      </c>
      <c r="K379" s="227">
        <f t="shared" si="122"/>
        <v>45320.630960351591</v>
      </c>
      <c r="L379" s="227">
        <f t="shared" si="136"/>
        <v>284757.9225621894</v>
      </c>
      <c r="M379" s="227">
        <f t="shared" si="124"/>
        <v>39765.762982163971</v>
      </c>
      <c r="N379" s="227">
        <f>SQRT((ABS(AC379)-171.5+'Small Signal'!C$59)^2)</f>
        <v>6.8437849588374036</v>
      </c>
      <c r="O379" s="227">
        <f t="shared" si="137"/>
        <v>21.570830605181385</v>
      </c>
      <c r="P379" s="227">
        <f t="shared" si="138"/>
        <v>11.289678608194677</v>
      </c>
      <c r="Q379" s="227">
        <f t="shared" si="145"/>
        <v>45320.630960351591</v>
      </c>
      <c r="R379" s="227" t="str">
        <f t="shared" si="125"/>
        <v>0.0355+0.370185299330846i</v>
      </c>
      <c r="S379" s="227" t="str">
        <f t="shared" si="126"/>
        <v>0.018-0.0159625217959014i</v>
      </c>
      <c r="T379" s="227" t="str">
        <f t="shared" si="127"/>
        <v>0.017988995527718-0.0158730118043894i</v>
      </c>
      <c r="U379" s="227" t="str">
        <f t="shared" si="128"/>
        <v>-0.535432115060443+0.0940596188321283i</v>
      </c>
      <c r="V379" s="227">
        <f t="shared" si="139"/>
        <v>-5.2939142868832292</v>
      </c>
      <c r="W379" s="227">
        <f t="shared" si="140"/>
        <v>-189.9635156370841</v>
      </c>
      <c r="X379" s="227" t="str">
        <f t="shared" si="129"/>
        <v>0.985394065133195-0.0326538047042793i</v>
      </c>
      <c r="Y379" s="227" t="str">
        <f t="shared" si="130"/>
        <v>6.13967552531324-64.5087855094336i</v>
      </c>
      <c r="Z379" s="227" t="str">
        <f t="shared" si="131"/>
        <v>0.723543235939192-11.6996895880712i</v>
      </c>
      <c r="AA379" s="227" t="str">
        <f t="shared" si="132"/>
        <v>-0.103687717644919-0.31272085229379i</v>
      </c>
      <c r="AB379" s="227">
        <f t="shared" si="141"/>
        <v>-9.6438827952718089</v>
      </c>
      <c r="AC379" s="227">
        <f t="shared" si="142"/>
        <v>-108.3437849588374</v>
      </c>
      <c r="AD379" s="229">
        <f t="shared" si="143"/>
        <v>-1.6457958129228676</v>
      </c>
      <c r="AE379" s="229">
        <f t="shared" si="144"/>
        <v>129.91461556401879</v>
      </c>
      <c r="AF379" s="227">
        <f t="shared" si="133"/>
        <v>-11.289678608194677</v>
      </c>
      <c r="AG379" s="227">
        <f t="shared" si="134"/>
        <v>21.570830605181385</v>
      </c>
      <c r="AH379" s="229" t="str">
        <f t="shared" si="135"/>
        <v>0.530890839030033-0.634609285655101i</v>
      </c>
    </row>
    <row r="380" spans="9:34" x14ac:dyDescent="0.2">
      <c r="I380" s="227">
        <v>376</v>
      </c>
      <c r="J380" s="227">
        <f t="shared" si="123"/>
        <v>4.6660460700705588</v>
      </c>
      <c r="K380" s="227">
        <f t="shared" si="122"/>
        <v>46349.608491264604</v>
      </c>
      <c r="L380" s="227">
        <f t="shared" si="136"/>
        <v>291223.17906583997</v>
      </c>
      <c r="M380" s="227">
        <f t="shared" si="124"/>
        <v>40818.102825928501</v>
      </c>
      <c r="N380" s="227">
        <f>SQRT((ABS(AC380)-171.5+'Small Signal'!C$59)^2)</f>
        <v>6.7831244152211809</v>
      </c>
      <c r="O380" s="227">
        <f t="shared" si="137"/>
        <v>21.016031721689075</v>
      </c>
      <c r="P380" s="227">
        <f t="shared" si="138"/>
        <v>11.323455160309846</v>
      </c>
      <c r="Q380" s="227">
        <f t="shared" si="145"/>
        <v>46349.608491264604</v>
      </c>
      <c r="R380" s="227" t="str">
        <f t="shared" si="125"/>
        <v>0.0355+0.378590132785592i</v>
      </c>
      <c r="S380" s="227" t="str">
        <f t="shared" si="126"/>
        <v>0.018-0.0156081482251346i</v>
      </c>
      <c r="T380" s="227" t="str">
        <f t="shared" si="127"/>
        <v>0.0179872621201901-0.0155206296022943i</v>
      </c>
      <c r="U380" s="227" t="str">
        <f t="shared" si="128"/>
        <v>-0.528100934080116+0.0926827566467479i</v>
      </c>
      <c r="V380" s="227">
        <f t="shared" si="139"/>
        <v>-5.4139132150384492</v>
      </c>
      <c r="W380" s="227">
        <f t="shared" si="140"/>
        <v>-189.9541495111441</v>
      </c>
      <c r="X380" s="227" t="str">
        <f t="shared" si="129"/>
        <v>0.984723298081468-0.033395189601787i</v>
      </c>
      <c r="Y380" s="227" t="str">
        <f t="shared" si="130"/>
        <v>5.87177382456308-63.098238609769i</v>
      </c>
      <c r="Z380" s="227" t="str">
        <f t="shared" si="131"/>
        <v>0.674252979353395-11.4360971030046i</v>
      </c>
      <c r="AA380" s="227" t="str">
        <f t="shared" si="132"/>
        <v>-0.104301790124178-0.315691350234758i</v>
      </c>
      <c r="AB380" s="227">
        <f t="shared" si="141"/>
        <v>-9.5648096392762909</v>
      </c>
      <c r="AC380" s="227">
        <f t="shared" si="142"/>
        <v>-108.28312441522118</v>
      </c>
      <c r="AD380" s="229">
        <f t="shared" si="143"/>
        <v>-1.7586455210335561</v>
      </c>
      <c r="AE380" s="229">
        <f t="shared" si="144"/>
        <v>129.29915613691026</v>
      </c>
      <c r="AF380" s="227">
        <f t="shared" si="133"/>
        <v>-11.323455160309846</v>
      </c>
      <c r="AG380" s="227">
        <f t="shared" si="134"/>
        <v>21.016031721689075</v>
      </c>
      <c r="AH380" s="229" t="str">
        <f t="shared" si="135"/>
        <v>0.517279006360228-0.632010439095941i</v>
      </c>
    </row>
    <row r="381" spans="9:34" x14ac:dyDescent="0.2">
      <c r="I381" s="227">
        <v>377</v>
      </c>
      <c r="J381" s="227">
        <f t="shared" si="123"/>
        <v>4.6757961925973417</v>
      </c>
      <c r="K381" s="227">
        <f t="shared" si="122"/>
        <v>47401.948335029134</v>
      </c>
      <c r="L381" s="227">
        <f t="shared" si="136"/>
        <v>297835.22531034093</v>
      </c>
      <c r="M381" s="227">
        <f t="shared" si="124"/>
        <v>41894.335409735984</v>
      </c>
      <c r="N381" s="227">
        <f>SQRT((ABS(AC381)-171.5+'Small Signal'!C$59)^2)</f>
        <v>6.7189708902715637</v>
      </c>
      <c r="O381" s="227">
        <f t="shared" si="137"/>
        <v>20.466677517273254</v>
      </c>
      <c r="P381" s="227">
        <f t="shared" si="138"/>
        <v>11.35565179275434</v>
      </c>
      <c r="Q381" s="227">
        <f t="shared" si="145"/>
        <v>47401.948335029134</v>
      </c>
      <c r="R381" s="227" t="str">
        <f t="shared" si="125"/>
        <v>0.0355+0.387185792903443i</v>
      </c>
      <c r="S381" s="227" t="str">
        <f t="shared" si="126"/>
        <v>0.018-0.0152616418716699i</v>
      </c>
      <c r="T381" s="227" t="str">
        <f t="shared" si="127"/>
        <v>0.0179856048219698-0.01517607013385i</v>
      </c>
      <c r="U381" s="227" t="str">
        <f t="shared" si="128"/>
        <v>-0.52108671706487+0.0912905083179035i</v>
      </c>
      <c r="V381" s="227">
        <f t="shared" si="139"/>
        <v>-5.5305090895650624</v>
      </c>
      <c r="W381" s="227">
        <f t="shared" si="140"/>
        <v>-189.93694937655133</v>
      </c>
      <c r="X381" s="227" t="str">
        <f t="shared" si="129"/>
        <v>0.984021726535418-0.0341534071952464i</v>
      </c>
      <c r="Y381" s="227" t="str">
        <f t="shared" si="130"/>
        <v>5.61549178431968-61.7176121759488i</v>
      </c>
      <c r="Z381" s="227" t="str">
        <f t="shared" si="131"/>
        <v>0.627100584846061-11.177922348828i</v>
      </c>
      <c r="AA381" s="227" t="str">
        <f t="shared" si="132"/>
        <v>-0.10494363003037-0.318832033745393i</v>
      </c>
      <c r="AB381" s="227">
        <f t="shared" si="141"/>
        <v>-9.4820314918230526</v>
      </c>
      <c r="AC381" s="227">
        <f t="shared" si="142"/>
        <v>-108.21897089027156</v>
      </c>
      <c r="AD381" s="229">
        <f t="shared" si="143"/>
        <v>-1.8736203009312871</v>
      </c>
      <c r="AE381" s="229">
        <f t="shared" si="144"/>
        <v>128.68564840754482</v>
      </c>
      <c r="AF381" s="227">
        <f t="shared" si="133"/>
        <v>-11.35565179275434</v>
      </c>
      <c r="AG381" s="227">
        <f t="shared" si="134"/>
        <v>20.466677517273254</v>
      </c>
      <c r="AH381" s="229" t="str">
        <f t="shared" si="135"/>
        <v>0.503769379100127-0.62912985736288i</v>
      </c>
    </row>
    <row r="382" spans="9:34" x14ac:dyDescent="0.2">
      <c r="I382" s="227">
        <v>378</v>
      </c>
      <c r="J382" s="227">
        <f t="shared" si="123"/>
        <v>4.6855463151241246</v>
      </c>
      <c r="K382" s="227">
        <f t="shared" si="122"/>
        <v>48478.180918836617</v>
      </c>
      <c r="L382" s="227">
        <f t="shared" si="136"/>
        <v>304597.39406802802</v>
      </c>
      <c r="M382" s="227">
        <f t="shared" si="124"/>
        <v>42995.003203806598</v>
      </c>
      <c r="N382" s="227">
        <f>SQRT((ABS(AC382)-171.5+'Small Signal'!C$59)^2)</f>
        <v>6.6516356599354793</v>
      </c>
      <c r="O382" s="227">
        <f t="shared" si="137"/>
        <v>19.922764892252147</v>
      </c>
      <c r="P382" s="227">
        <f t="shared" si="138"/>
        <v>11.386291760849073</v>
      </c>
      <c r="Q382" s="227">
        <f t="shared" si="145"/>
        <v>48478.180918836617</v>
      </c>
      <c r="R382" s="227" t="str">
        <f t="shared" si="125"/>
        <v>0.0355+0.395976612288436i</v>
      </c>
      <c r="S382" s="227" t="str">
        <f t="shared" si="126"/>
        <v>0.018-0.0149228280805297i</v>
      </c>
      <c r="T382" s="227" t="str">
        <f t="shared" si="127"/>
        <v>0.0179840202913371-0.0148391597495148i</v>
      </c>
      <c r="U382" s="227" t="str">
        <f t="shared" si="128"/>
        <v>-0.514375966886259+0.089886168827711i</v>
      </c>
      <c r="V382" s="227">
        <f t="shared" si="139"/>
        <v>-5.6437513131742891</v>
      </c>
      <c r="W382" s="227">
        <f t="shared" si="140"/>
        <v>-189.91223512713634</v>
      </c>
      <c r="X382" s="227" t="str">
        <f t="shared" si="129"/>
        <v>0.983287935820804-0.0349288396608441i</v>
      </c>
      <c r="Y382" s="227" t="str">
        <f t="shared" si="130"/>
        <v>5.37033141839841-60.3663316302907i</v>
      </c>
      <c r="Z382" s="227" t="str">
        <f t="shared" si="131"/>
        <v>0.581994429351696-10.9250575130025i</v>
      </c>
      <c r="AA382" s="227" t="str">
        <f t="shared" si="132"/>
        <v>-0.105614736405554-0.322145271714933i</v>
      </c>
      <c r="AB382" s="227">
        <f t="shared" si="141"/>
        <v>-9.395588520404635</v>
      </c>
      <c r="AC382" s="227">
        <f t="shared" si="142"/>
        <v>-108.15163565993548</v>
      </c>
      <c r="AD382" s="229">
        <f t="shared" si="143"/>
        <v>-1.9907032404444378</v>
      </c>
      <c r="AE382" s="229">
        <f t="shared" si="144"/>
        <v>128.07440055218763</v>
      </c>
      <c r="AF382" s="227">
        <f t="shared" si="133"/>
        <v>-11.386291760849073</v>
      </c>
      <c r="AG382" s="227">
        <f t="shared" si="134"/>
        <v>19.922764892252147</v>
      </c>
      <c r="AH382" s="229" t="str">
        <f t="shared" si="135"/>
        <v>0.490374265055523-0.625973270374412i</v>
      </c>
    </row>
    <row r="383" spans="9:34" x14ac:dyDescent="0.2">
      <c r="I383" s="227">
        <v>379</v>
      </c>
      <c r="J383" s="227">
        <f t="shared" si="123"/>
        <v>4.6952964376509083</v>
      </c>
      <c r="K383" s="227">
        <f t="shared" ref="K383:K404" si="146">10^(J383)</f>
        <v>49578.848712907231</v>
      </c>
      <c r="L383" s="227">
        <f t="shared" si="136"/>
        <v>311513.09377981827</v>
      </c>
      <c r="M383" s="227">
        <f t="shared" si="124"/>
        <v>44120.660994819082</v>
      </c>
      <c r="N383" s="227">
        <f>SQRT((ABS(AC383)-171.5+'Small Signal'!C$59)^2)</f>
        <v>6.5814350259124552</v>
      </c>
      <c r="O383" s="227">
        <f t="shared" si="137"/>
        <v>19.38427903059447</v>
      </c>
      <c r="P383" s="227">
        <f t="shared" si="138"/>
        <v>11.415397513224281</v>
      </c>
      <c r="Q383" s="227">
        <f t="shared" si="145"/>
        <v>49578.848712907231</v>
      </c>
      <c r="R383" s="227" t="str">
        <f t="shared" si="125"/>
        <v>0.0355+0.404967021913764i</v>
      </c>
      <c r="S383" s="227" t="str">
        <f t="shared" si="126"/>
        <v>0.018-0.014591536074138i</v>
      </c>
      <c r="T383" s="227" t="str">
        <f t="shared" si="127"/>
        <v>0.0179825053332932-0.014509728653663i</v>
      </c>
      <c r="U383" s="227" t="str">
        <f t="shared" si="128"/>
        <v>-0.507955743411249+0.0884727718175749i</v>
      </c>
      <c r="V383" s="227">
        <f t="shared" si="139"/>
        <v>-5.7536910428000256</v>
      </c>
      <c r="W383" s="227">
        <f t="shared" si="140"/>
        <v>-189.88032871350717</v>
      </c>
      <c r="X383" s="227" t="str">
        <f t="shared" si="129"/>
        <v>0.982520446295486-0.0357218778518463i</v>
      </c>
      <c r="Y383" s="227" t="str">
        <f t="shared" si="130"/>
        <v>5.13581557033839-59.0438294305606i</v>
      </c>
      <c r="Z383" s="227" t="str">
        <f t="shared" si="131"/>
        <v>0.538846722230033-10.6773960325255i</v>
      </c>
      <c r="AA383" s="227" t="str">
        <f t="shared" si="132"/>
        <v>-0.106316687344611-0.325633576323992i</v>
      </c>
      <c r="AB383" s="227">
        <f t="shared" si="141"/>
        <v>-9.3055219864465233</v>
      </c>
      <c r="AC383" s="227">
        <f t="shared" si="142"/>
        <v>-108.08143502591246</v>
      </c>
      <c r="AD383" s="229">
        <f t="shared" si="143"/>
        <v>-2.1098755267777585</v>
      </c>
      <c r="AE383" s="229">
        <f t="shared" si="144"/>
        <v>127.46571405650693</v>
      </c>
      <c r="AF383" s="227">
        <f t="shared" si="133"/>
        <v>-11.415397513224281</v>
      </c>
      <c r="AG383" s="227">
        <f t="shared" si="134"/>
        <v>19.38427903059447</v>
      </c>
      <c r="AH383" s="229" t="str">
        <f t="shared" si="135"/>
        <v>0.477105535640402-0.622547036311006i</v>
      </c>
    </row>
    <row r="384" spans="9:34" x14ac:dyDescent="0.2">
      <c r="I384" s="227">
        <v>380</v>
      </c>
      <c r="J384" s="227">
        <f t="shared" si="123"/>
        <v>4.7050465601776921</v>
      </c>
      <c r="K384" s="227">
        <f t="shared" si="146"/>
        <v>50704.506503919714</v>
      </c>
      <c r="L384" s="227">
        <f t="shared" si="136"/>
        <v>318585.81027322012</v>
      </c>
      <c r="M384" s="227">
        <f t="shared" si="124"/>
        <v>45271.87616554815</v>
      </c>
      <c r="N384" s="227">
        <f>SQRT((ABS(AC384)-171.5+'Small Signal'!C$59)^2)</f>
        <v>6.5086894248766782</v>
      </c>
      <c r="O384" s="227">
        <f t="shared" si="137"/>
        <v>18.851193669472579</v>
      </c>
      <c r="P384" s="227">
        <f t="shared" si="138"/>
        <v>11.4429906179202</v>
      </c>
      <c r="Q384" s="227">
        <f t="shared" si="145"/>
        <v>50704.506503919714</v>
      </c>
      <c r="R384" s="227" t="str">
        <f t="shared" si="125"/>
        <v>0.0355+0.414161553355186i</v>
      </c>
      <c r="S384" s="227" t="str">
        <f t="shared" si="126"/>
        <v>0.018-0.0142675988662406i</v>
      </c>
      <c r="T384" s="227" t="str">
        <f t="shared" si="127"/>
        <v>0.0179810568931189-0.0141876108191022i</v>
      </c>
      <c r="U384" s="227" t="str">
        <f t="shared" si="128"/>
        <v>-0.50181364205074+0.0870531072097584i</v>
      </c>
      <c r="V384" s="227">
        <f t="shared" si="139"/>
        <v>-5.8603810676848154</v>
      </c>
      <c r="W384" s="227">
        <f t="shared" si="140"/>
        <v>-189.84155317546902</v>
      </c>
      <c r="X384" s="227" t="str">
        <f t="shared" si="129"/>
        <v>0.981717710365824-0.036532921495606i</v>
      </c>
      <c r="Y384" s="227" t="str">
        <f t="shared" si="130"/>
        <v>4.91148708618402-57.7495452737932i</v>
      </c>
      <c r="Z384" s="227" t="str">
        <f t="shared" si="131"/>
        <v>0.497573353065441-10.434832630342i</v>
      </c>
      <c r="AA384" s="227" t="str">
        <f t="shared" si="132"/>
        <v>-0.107051145177937-0.329299608434974i</v>
      </c>
      <c r="AB384" s="227">
        <f t="shared" si="141"/>
        <v>-9.2118740997125279</v>
      </c>
      <c r="AC384" s="227">
        <f t="shared" si="142"/>
        <v>-108.00868942487668</v>
      </c>
      <c r="AD384" s="229">
        <f t="shared" si="143"/>
        <v>-2.2311165182076724</v>
      </c>
      <c r="AE384" s="229">
        <f t="shared" si="144"/>
        <v>126.85988309434926</v>
      </c>
      <c r="AF384" s="227">
        <f t="shared" si="133"/>
        <v>-11.4429906179202</v>
      </c>
      <c r="AG384" s="227">
        <f t="shared" si="134"/>
        <v>18.851193669472579</v>
      </c>
      <c r="AH384" s="229" t="str">
        <f t="shared" si="135"/>
        <v>0.463974587220422-0.618858104024431i</v>
      </c>
    </row>
    <row r="385" spans="2:34" x14ac:dyDescent="0.2">
      <c r="I385" s="227">
        <v>381</v>
      </c>
      <c r="J385" s="227">
        <f t="shared" si="123"/>
        <v>4.7147966827044758</v>
      </c>
      <c r="K385" s="227">
        <f t="shared" si="146"/>
        <v>51855.721674648783</v>
      </c>
      <c r="L385" s="227">
        <f t="shared" si="136"/>
        <v>325819.10851934727</v>
      </c>
      <c r="M385" s="227">
        <f t="shared" si="124"/>
        <v>46449.228980851556</v>
      </c>
      <c r="N385" s="227">
        <f>SQRT((ABS(AC385)-171.5+'Small Signal'!C$59)^2)</f>
        <v>6.4337225707875945</v>
      </c>
      <c r="O385" s="227">
        <f t="shared" si="137"/>
        <v>18.32347137581155</v>
      </c>
      <c r="P385" s="227">
        <f t="shared" si="138"/>
        <v>11.469091690535741</v>
      </c>
      <c r="Q385" s="227">
        <f t="shared" si="145"/>
        <v>51855.721674648783</v>
      </c>
      <c r="R385" s="227" t="str">
        <f t="shared" si="125"/>
        <v>0.0355+0.423564841075151i</v>
      </c>
      <c r="S385" s="227" t="str">
        <f t="shared" si="126"/>
        <v>0.018-0.0139508531777369i</v>
      </c>
      <c r="T385" s="227" t="str">
        <f t="shared" si="127"/>
        <v>0.0179796720502157-0.0138726439034839i</v>
      </c>
      <c r="U385" s="227" t="str">
        <f t="shared" si="128"/>
        <v>-0.495937772998805+0.0856297377136378i</v>
      </c>
      <c r="V385" s="227">
        <f t="shared" si="139"/>
        <v>-5.9638756854312476</v>
      </c>
      <c r="W385" s="227">
        <f t="shared" si="140"/>
        <v>-189.7962317010473</v>
      </c>
      <c r="X385" s="227" t="str">
        <f t="shared" si="129"/>
        <v>0.980878109366054-0.0373623793950442i</v>
      </c>
      <c r="Y385" s="227" t="str">
        <f t="shared" si="130"/>
        <v>4.69690801627924-56.4829262734465i</v>
      </c>
      <c r="Z385" s="227" t="str">
        <f t="shared" si="131"/>
        <v>0.458093744804627-10.1972633468278i</v>
      </c>
      <c r="AA385" s="227" t="str">
        <f t="shared" si="132"/>
        <v>-0.107819862029672-0.333146183367563i</v>
      </c>
      <c r="AB385" s="227">
        <f t="shared" si="141"/>
        <v>-9.11468786898965</v>
      </c>
      <c r="AC385" s="227">
        <f t="shared" si="142"/>
        <v>-107.93372257078759</v>
      </c>
      <c r="AD385" s="229">
        <f t="shared" si="143"/>
        <v>-2.3544038215460907</v>
      </c>
      <c r="AE385" s="229">
        <f t="shared" si="144"/>
        <v>126.25719394659914</v>
      </c>
      <c r="AF385" s="227">
        <f t="shared" si="133"/>
        <v>-11.469091690535741</v>
      </c>
      <c r="AG385" s="227">
        <f t="shared" si="134"/>
        <v>18.32347137581155</v>
      </c>
      <c r="AH385" s="229" t="str">
        <f t="shared" si="135"/>
        <v>0.4509923061479-0.614913972805265i</v>
      </c>
    </row>
    <row r="386" spans="2:34" x14ac:dyDescent="0.2">
      <c r="I386" s="227">
        <v>382</v>
      </c>
      <c r="J386" s="227">
        <f t="shared" si="123"/>
        <v>4.7245468052312596</v>
      </c>
      <c r="K386" s="227">
        <f t="shared" si="146"/>
        <v>53033.074489952189</v>
      </c>
      <c r="L386" s="227">
        <f t="shared" si="136"/>
        <v>333216.63442982815</v>
      </c>
      <c r="M386" s="227">
        <f t="shared" si="124"/>
        <v>47653.312880149708</v>
      </c>
      <c r="N386" s="227">
        <f>SQRT((ABS(AC386)-171.5+'Small Signal'!C$59)^2)</f>
        <v>6.3568606360248054</v>
      </c>
      <c r="O386" s="227">
        <f t="shared" si="137"/>
        <v>17.801063826625494</v>
      </c>
      <c r="P386" s="227">
        <f t="shared" si="138"/>
        <v>11.493720324242053</v>
      </c>
      <c r="Q386" s="227">
        <f t="shared" si="145"/>
        <v>53033.074489952189</v>
      </c>
      <c r="R386" s="227" t="str">
        <f t="shared" si="125"/>
        <v>0.0355+0.433181624758777i</v>
      </c>
      <c r="S386" s="227" t="str">
        <f t="shared" si="126"/>
        <v>0.018-0.0136411393543793i</v>
      </c>
      <c r="T386" s="227" t="str">
        <f t="shared" si="127"/>
        <v>0.0179783480122173-0.0135646691675649i</v>
      </c>
      <c r="U386" s="227" t="str">
        <f t="shared" si="128"/>
        <v>-0.490316741153041+0.0842050142837351i</v>
      </c>
      <c r="V386" s="227">
        <f t="shared" si="139"/>
        <v>-6.0642305765127889</v>
      </c>
      <c r="W386" s="227">
        <f t="shared" si="140"/>
        <v>-189.74468671729736</v>
      </c>
      <c r="X386" s="227" t="str">
        <f t="shared" si="129"/>
        <v>0.979999950294351-0.0382106696347054i</v>
      </c>
      <c r="Y386" s="227" t="str">
        <f t="shared" si="130"/>
        <v>4.49165884541005-55.2434271117999i</v>
      </c>
      <c r="Z386" s="227" t="str">
        <f t="shared" si="131"/>
        <v>0.42033071211028-9.96458556669395i</v>
      </c>
      <c r="AA386" s="227" t="str">
        <f t="shared" si="132"/>
        <v>-0.108624685784628-0.33717627708652i</v>
      </c>
      <c r="AB386" s="227">
        <f t="shared" si="141"/>
        <v>-9.0140069494623685</v>
      </c>
      <c r="AC386" s="227">
        <f t="shared" si="142"/>
        <v>-107.85686063602481</v>
      </c>
      <c r="AD386" s="229">
        <f t="shared" si="143"/>
        <v>-2.4797133747796853</v>
      </c>
      <c r="AE386" s="229">
        <f t="shared" si="144"/>
        <v>125.6579244626503</v>
      </c>
      <c r="AF386" s="227">
        <f t="shared" si="133"/>
        <v>-11.493720324242053</v>
      </c>
      <c r="AG386" s="227">
        <f t="shared" si="134"/>
        <v>17.801063826625494</v>
      </c>
      <c r="AH386" s="229" t="str">
        <f t="shared" si="135"/>
        <v>0.438169037674555-0.610722649913792i</v>
      </c>
    </row>
    <row r="387" spans="2:34" x14ac:dyDescent="0.2">
      <c r="I387" s="227">
        <v>383</v>
      </c>
      <c r="J387" s="227">
        <f t="shared" si="123"/>
        <v>4.7342969277580425</v>
      </c>
      <c r="K387" s="227">
        <f t="shared" si="146"/>
        <v>54237.15838925034</v>
      </c>
      <c r="L387" s="227">
        <f t="shared" si="136"/>
        <v>340782.11669450975</v>
      </c>
      <c r="M387" s="227">
        <f t="shared" si="124"/>
        <v>48884.734776546793</v>
      </c>
      <c r="N387" s="227">
        <f>SQRT((ABS(AC387)-171.5+'Small Signal'!C$59)^2)</f>
        <v>6.2784314766099953</v>
      </c>
      <c r="O387" s="227">
        <f t="shared" si="137"/>
        <v>17.283912089985961</v>
      </c>
      <c r="P387" s="227">
        <f t="shared" si="138"/>
        <v>11.516895021454028</v>
      </c>
      <c r="Q387" s="227">
        <f t="shared" si="145"/>
        <v>54237.15838925034</v>
      </c>
      <c r="R387" s="227" t="str">
        <f t="shared" si="125"/>
        <v>0.0355+0.443016751702863i</v>
      </c>
      <c r="S387" s="227" t="str">
        <f t="shared" si="126"/>
        <v>0.018-0.0133383012863004i</v>
      </c>
      <c r="T387" s="227" t="str">
        <f t="shared" si="127"/>
        <v>0.0179770821093597-0.0132635313952788i</v>
      </c>
      <c r="U387" s="227" t="str">
        <f t="shared" si="128"/>
        <v>-0.484939626705138+0.0827810905929966i</v>
      </c>
      <c r="V387" s="227">
        <f t="shared" si="139"/>
        <v>-6.1615026777499784</v>
      </c>
      <c r="W387" s="227">
        <f t="shared" si="140"/>
        <v>-189.68723901757431</v>
      </c>
      <c r="X387" s="227" t="str">
        <f t="shared" si="129"/>
        <v>0.979081462399-0.0390782197914904i</v>
      </c>
      <c r="Y387" s="227" t="str">
        <f t="shared" si="130"/>
        <v>4.29533775059947-54.0305101693707i</v>
      </c>
      <c r="Z387" s="227" t="str">
        <f t="shared" si="131"/>
        <v>0.38421032480269-9.73669804163968i</v>
      </c>
      <c r="AA387" s="227" t="str">
        <f t="shared" si="132"/>
        <v>-0.109467566500457-0.341393032831284i</v>
      </c>
      <c r="AB387" s="227">
        <f t="shared" si="141"/>
        <v>-8.9098754871896961</v>
      </c>
      <c r="AC387" s="227">
        <f t="shared" si="142"/>
        <v>-107.77843147661</v>
      </c>
      <c r="AD387" s="229">
        <f t="shared" si="143"/>
        <v>-2.6070195342643321</v>
      </c>
      <c r="AE387" s="229">
        <f t="shared" si="144"/>
        <v>125.06234356659596</v>
      </c>
      <c r="AF387" s="227">
        <f t="shared" si="133"/>
        <v>-11.516895021454028</v>
      </c>
      <c r="AG387" s="227">
        <f t="shared" si="134"/>
        <v>17.283912089985961</v>
      </c>
      <c r="AH387" s="229" t="str">
        <f t="shared" si="135"/>
        <v>0.425514558879761-0.606292606290732i</v>
      </c>
    </row>
    <row r="388" spans="2:34" x14ac:dyDescent="0.2">
      <c r="I388" s="227">
        <v>384</v>
      </c>
      <c r="J388" s="227">
        <f t="shared" ref="J388:J451" si="147">1+I388*(LOG(fsw)-1)/500</f>
        <v>4.7440470502848253</v>
      </c>
      <c r="K388" s="227">
        <f t="shared" si="146"/>
        <v>55468.580285647426</v>
      </c>
      <c r="L388" s="227">
        <f t="shared" si="136"/>
        <v>348519.36866089114</v>
      </c>
      <c r="M388" s="227">
        <f t="shared" ref="M388:M451" si="148">SQRT((Fco_target-K389)^2)</f>
        <v>50144.115362741912</v>
      </c>
      <c r="N388" s="227">
        <f>SQRT((ABS(AC388)-171.5+'Small Signal'!C$59)^2)</f>
        <v>6.1987639062795097</v>
      </c>
      <c r="O388" s="227">
        <f t="shared" si="137"/>
        <v>16.771946903523087</v>
      </c>
      <c r="P388" s="227">
        <f t="shared" si="138"/>
        <v>11.538633126935402</v>
      </c>
      <c r="Q388" s="227">
        <f t="shared" si="145"/>
        <v>55468.580285647426</v>
      </c>
      <c r="R388" s="227" t="str">
        <f t="shared" ref="R388:R451" si="149">IMSUM(COMPLEX(DCRss,Lss*L388),COMPLEX(Rdsonss,0),COMPLEX(40/3*Risense,0))</f>
        <v>0.0355+0.453075179259159i</v>
      </c>
      <c r="S388" s="227" t="str">
        <f t="shared" ref="S388:S451" si="150">IMSUM(COMPLEX(ESRss,0),IMDIV(COMPLEX(1,0),COMPLEX(0,L388*Cbulkss)))</f>
        <v>0.018-0.0130421863293264i</v>
      </c>
      <c r="T388" s="227" t="str">
        <f t="shared" ref="T388:T451" si="151">IMDIV(IMPRODUCT(S388,COMPLEX(Ross,0)),IMSUM(S388,COMPLEX(Ross,0)))</f>
        <v>0.0179758717890982-0.0129690788155786i</v>
      </c>
      <c r="U388" s="227" t="str">
        <f t="shared" ref="U388:U451" si="152">IMPRODUCT(COMPLEX(Vinss,0),COMPLEX(M^2,0),IMDIV(IMSUB(COMPLEX(1,0),IMDIV(IMPRODUCT(R388,COMPLEX(M^2,0)),COMPLEX(Ross,0))),IMSUM(COMPLEX(1,0),IMDIV(IMPRODUCT(R388,COMPLEX(M^2,0)),T388))))</f>
        <v>-0.479795966389764+0.0813599365812004i</v>
      </c>
      <c r="V388" s="227">
        <f t="shared" si="139"/>
        <v>-6.2557500552637713</v>
      </c>
      <c r="W388" s="227">
        <f t="shared" si="140"/>
        <v>-189.62420692938605</v>
      </c>
      <c r="X388" s="227" t="str">
        <f t="shared" ref="X388:X451" si="153">IMSUM(COMPLEX(1,L388/(wn*q0)),IMPOWER(COMPLEX(0,L388/wn),2))</f>
        <v>0.978120793607784-0.0399654671501757i</v>
      </c>
      <c r="Y388" s="227" t="str">
        <f t="shared" ref="Y388:Y451" si="154">IMPRODUCT(COMPLEX(2*Ioutss*M^2,0),IMDIV(IMSUM(COMPLEX(1,0),IMDIV(COMPLEX(Ross,0),IMPRODUCT(COMPLEX(2,0),S388))),IMSUM(COMPLEX(1,0),IMDIV(IMPRODUCT(R388,COMPLEX(M^2,0)),T388))))</f>
        <v>4.10755988584988-52.8436456330253i</v>
      </c>
      <c r="Z388" s="227" t="str">
        <f t="shared" ref="Z388:Z451" si="155">IMPRODUCT(COMPLEX(Fm*40/3*Risense,0),Y388,X388)</f>
        <v>0.349661776259569-9.5135009090604i</v>
      </c>
      <c r="AA388" s="227" t="str">
        <f t="shared" ref="AA388:AA451" si="156">IMDIV(IMPRODUCT(COMPLEX(Fm,0),U388),IMSUM(COMPLEX(1,0),Z388))</f>
        <v>-0.1103505633053-0.345799768219333i</v>
      </c>
      <c r="AB388" s="227">
        <f t="shared" si="141"/>
        <v>-8.8023379610970736</v>
      </c>
      <c r="AC388" s="227">
        <f t="shared" si="142"/>
        <v>-107.69876390627951</v>
      </c>
      <c r="AD388" s="229">
        <f t="shared" si="143"/>
        <v>-2.7362951658383272</v>
      </c>
      <c r="AE388" s="229">
        <f t="shared" si="144"/>
        <v>124.4707108098026</v>
      </c>
      <c r="AF388" s="227">
        <f t="shared" ref="AF388:AF451" si="157">AD388+AB388</f>
        <v>-11.538633126935402</v>
      </c>
      <c r="AG388" s="227">
        <f t="shared" ref="AG388:AG451" si="158">AE388+AC388</f>
        <v>16.771946903523087</v>
      </c>
      <c r="AH388" s="229" t="str">
        <f t="shared" ref="AH388:AH451" si="159">IMDIV(IMPRODUCT(COMPLEX(gea*Rea*Rslss/(Rslss+Rshss),0),COMPLEX(1,L388*Ccompss*Rcompss),COMPLEX(1,k_3*L388*Cffss*Rshss)),IMPRODUCT(COMPLEX(1,L388*Rea*Ccompss),COMPLEX(1,L388*Rcompss*Chfss),COMPLEX(1,k_3*L388*Rffss*Cffss)))</f>
        <v>0.41303805570315-0.601632730869119i</v>
      </c>
    </row>
    <row r="389" spans="2:34" x14ac:dyDescent="0.2">
      <c r="I389" s="227">
        <v>385</v>
      </c>
      <c r="J389" s="227">
        <f t="shared" si="147"/>
        <v>4.7537971728116091</v>
      </c>
      <c r="K389" s="227">
        <f t="shared" si="146"/>
        <v>56727.960871842544</v>
      </c>
      <c r="L389" s="227">
        <f t="shared" ref="L389:L452" si="160">2*PI()*K389</f>
        <v>356432.29025621957</v>
      </c>
      <c r="M389" s="227">
        <f t="shared" si="148"/>
        <v>51432.089423886588</v>
      </c>
      <c r="N389" s="227">
        <f>SQRT((ABS(AC389)-171.5+'Small Signal'!C$59)^2)</f>
        <v>6.1181870236518705</v>
      </c>
      <c r="O389" s="227">
        <f t="shared" ref="O389:O452" si="161">ABS(AG389)</f>
        <v>16.265088947453648</v>
      </c>
      <c r="P389" s="227">
        <f t="shared" ref="P389:P452" si="162">ABS(AF389)</f>
        <v>11.558950762101325</v>
      </c>
      <c r="Q389" s="227">
        <f t="shared" si="145"/>
        <v>56727.960871842544</v>
      </c>
      <c r="R389" s="227" t="str">
        <f t="shared" si="149"/>
        <v>0.0355+0.463361977333085i</v>
      </c>
      <c r="S389" s="227" t="str">
        <f t="shared" si="150"/>
        <v>0.018-0.0127526452280378i</v>
      </c>
      <c r="T389" s="227" t="str">
        <f t="shared" si="151"/>
        <v>0.0179747146109613-0.0126811630260101i</v>
      </c>
      <c r="U389" s="227" t="str">
        <f t="shared" si="152"/>
        <v>-0.474875735378949+0.0799433511348004i</v>
      </c>
      <c r="V389" s="227">
        <f t="shared" ref="V389:V452" si="163">20*LOG(IMABS(U389))</f>
        <v>-6.3470317774204785</v>
      </c>
      <c r="W389" s="227">
        <f t="shared" ref="W389:W452" si="164">IF(DEGREES(IMARGUMENT(U389))&gt;0,DEGREES(IMARGUMENT(U389))-360, DEGREES(IMARGUMENT(U389)))</f>
        <v>-189.55590552636937</v>
      </c>
      <c r="X389" s="227" t="str">
        <f t="shared" si="153"/>
        <v>0.977116006793406-0.0408728589238241i</v>
      </c>
      <c r="Y389" s="227" t="str">
        <f t="shared" si="154"/>
        <v>3.92795669312252-51.6823115843741i</v>
      </c>
      <c r="Z389" s="227" t="str">
        <f t="shared" si="155"/>
        <v>0.316617256643324-9.29489570710341i</v>
      </c>
      <c r="AA389" s="227" t="str">
        <f t="shared" si="156"/>
        <v>-0.111275851825132-0.350399982857693i</v>
      </c>
      <c r="AB389" s="227">
        <f t="shared" ref="AB389:AB452" si="165">20*LOG(IMABS(AA389))</f>
        <v>-8.6914390228945404</v>
      </c>
      <c r="AC389" s="227">
        <f t="shared" ref="AC389:AC452" si="166">IF(DEGREES(IMARGUMENT(AA389))&gt;0,DEGREES(IMARGUMENT(AA389))-360, DEGREES(IMARGUMENT(AA389)))</f>
        <v>-107.61818702365187</v>
      </c>
      <c r="AD389" s="229">
        <f t="shared" ref="AD389:AD452" si="167">20*LOG(IMABS(AH389))</f>
        <v>-2.8675117392067855</v>
      </c>
      <c r="AE389" s="229">
        <f t="shared" ref="AE389:AE452" si="168">180+DEGREES(IMARGUMENT(AH389))</f>
        <v>123.88327597110552</v>
      </c>
      <c r="AF389" s="227">
        <f t="shared" si="157"/>
        <v>-11.558950762101325</v>
      </c>
      <c r="AG389" s="227">
        <f t="shared" si="158"/>
        <v>16.265088947453648</v>
      </c>
      <c r="AH389" s="229" t="str">
        <f t="shared" si="159"/>
        <v>0.400748104122671-0.596752283907456i</v>
      </c>
    </row>
    <row r="390" spans="2:34" x14ac:dyDescent="0.2">
      <c r="I390" s="227">
        <v>386</v>
      </c>
      <c r="J390" s="227">
        <f t="shared" si="147"/>
        <v>4.7635472953383928</v>
      </c>
      <c r="K390" s="227">
        <f t="shared" si="146"/>
        <v>58015.93493298722</v>
      </c>
      <c r="L390" s="227">
        <f t="shared" si="160"/>
        <v>364524.86995323218</v>
      </c>
      <c r="M390" s="227">
        <f t="shared" si="148"/>
        <v>52749.306157545398</v>
      </c>
      <c r="N390" s="227">
        <f>SQRT((ABS(AC390)-171.5+'Small Signal'!C$59)^2)</f>
        <v>6.0370295962389662</v>
      </c>
      <c r="O390" s="227">
        <f t="shared" si="161"/>
        <v>15.763249109186148</v>
      </c>
      <c r="P390" s="227">
        <f t="shared" si="162"/>
        <v>11.577862760261569</v>
      </c>
      <c r="Q390" s="227">
        <f t="shared" si="145"/>
        <v>58015.93493298722</v>
      </c>
      <c r="R390" s="227" t="str">
        <f t="shared" si="149"/>
        <v>0.0355+0.473882330939202i</v>
      </c>
      <c r="S390" s="227" t="str">
        <f t="shared" si="150"/>
        <v>0.018-0.0124695320405374i</v>
      </c>
      <c r="T390" s="227" t="str">
        <f t="shared" si="151"/>
        <v>0.0179736082416296-0.0123996389179786i</v>
      </c>
      <c r="U390" s="227" t="str">
        <f t="shared" si="152"/>
        <v>-0.470169329808328+0.0785329739515189i</v>
      </c>
      <c r="V390" s="227">
        <f t="shared" si="163"/>
        <v>-6.4354077882802505</v>
      </c>
      <c r="W390" s="227">
        <f t="shared" si="164"/>
        <v>-189.4826458873886</v>
      </c>
      <c r="X390" s="227" t="str">
        <f t="shared" si="153"/>
        <v>0.976065075867388-0.0418008524792004i</v>
      </c>
      <c r="Y390" s="227" t="str">
        <f t="shared" si="154"/>
        <v>3.75617523882509-50.5459940699066i</v>
      </c>
      <c r="Z390" s="227" t="str">
        <f t="shared" si="155"/>
        <v>0.285011830821749-9.08078538633824i</v>
      </c>
      <c r="AA390" s="227" t="str">
        <f t="shared" si="156"/>
        <v>-0.112245732189752-0.355197366500065i</v>
      </c>
      <c r="AB390" s="227">
        <f t="shared" si="165"/>
        <v>-8.5772233353147271</v>
      </c>
      <c r="AC390" s="227">
        <f t="shared" si="166"/>
        <v>-107.53702959623897</v>
      </c>
      <c r="AD390" s="229">
        <f t="shared" si="167"/>
        <v>-3.0006394249468418</v>
      </c>
      <c r="AE390" s="229">
        <f t="shared" si="168"/>
        <v>123.30027870542511</v>
      </c>
      <c r="AF390" s="227">
        <f t="shared" si="157"/>
        <v>-11.577862760261569</v>
      </c>
      <c r="AG390" s="227">
        <f t="shared" si="158"/>
        <v>15.763249109186148</v>
      </c>
      <c r="AH390" s="229" t="str">
        <f t="shared" si="159"/>
        <v>0.388652655472802-0.59166084975741i</v>
      </c>
    </row>
    <row r="391" spans="2:34" x14ac:dyDescent="0.2">
      <c r="I391" s="227">
        <v>387</v>
      </c>
      <c r="J391" s="227">
        <f t="shared" si="147"/>
        <v>4.7732974178651757</v>
      </c>
      <c r="K391" s="227">
        <f t="shared" si="146"/>
        <v>59333.15166664603</v>
      </c>
      <c r="L391" s="227">
        <f t="shared" si="160"/>
        <v>372801.18678052834</v>
      </c>
      <c r="M391" s="227">
        <f t="shared" si="148"/>
        <v>54096.429500921702</v>
      </c>
      <c r="N391" s="227">
        <f>SQRT((ABS(AC391)-171.5+'Small Signal'!C$59)^2)</f>
        <v>5.9556195045386744</v>
      </c>
      <c r="O391" s="227">
        <f t="shared" si="161"/>
        <v>15.266328736648703</v>
      </c>
      <c r="P391" s="227">
        <f t="shared" si="162"/>
        <v>11.595382602539971</v>
      </c>
      <c r="Q391" s="227">
        <f t="shared" si="145"/>
        <v>59333.15166664603</v>
      </c>
      <c r="R391" s="227" t="str">
        <f t="shared" si="149"/>
        <v>0.0355+0.484641542814687i</v>
      </c>
      <c r="S391" s="227" t="str">
        <f t="shared" si="150"/>
        <v>0.018-0.0121927040648894i</v>
      </c>
      <c r="T391" s="227" t="str">
        <f t="shared" si="151"/>
        <v>0.0179725504502318-0.0121243646036711i</v>
      </c>
      <c r="U391" s="227" t="str">
        <f t="shared" si="152"/>
        <v>-0.465667549921159+0.0771302966397152i</v>
      </c>
      <c r="V391" s="227">
        <f t="shared" si="163"/>
        <v>-6.5209387820506217</v>
      </c>
      <c r="W391" s="227">
        <f t="shared" si="164"/>
        <v>-189.40473440515876</v>
      </c>
      <c r="X391" s="227" t="str">
        <f t="shared" si="153"/>
        <v>0.974965881694598-0.0427499155673055i</v>
      </c>
      <c r="Y391" s="227" t="str">
        <f t="shared" si="154"/>
        <v>3.59187757508939-49.4341871542726i</v>
      </c>
      <c r="Z391" s="227" t="str">
        <f t="shared" si="155"/>
        <v>0.254783320849865-8.87107431829973i</v>
      </c>
      <c r="AA391" s="227" t="str">
        <f t="shared" si="156"/>
        <v>-0.113262637671353-0.360195807789988i</v>
      </c>
      <c r="AB391" s="227">
        <f t="shared" si="165"/>
        <v>-8.4597354090513512</v>
      </c>
      <c r="AC391" s="227">
        <f t="shared" si="166"/>
        <v>-107.45561950453867</v>
      </c>
      <c r="AD391" s="229">
        <f t="shared" si="167"/>
        <v>-3.1356471934886203</v>
      </c>
      <c r="AE391" s="229">
        <f t="shared" si="168"/>
        <v>122.72194824118738</v>
      </c>
      <c r="AF391" s="227">
        <f t="shared" si="157"/>
        <v>-11.595382602539971</v>
      </c>
      <c r="AG391" s="227">
        <f t="shared" si="158"/>
        <v>15.266328736648703</v>
      </c>
      <c r="AH391" s="229" t="str">
        <f t="shared" si="159"/>
        <v>0.376759025853631-0.586368289466905i</v>
      </c>
    </row>
    <row r="392" spans="2:34" x14ac:dyDescent="0.2">
      <c r="I392" s="227">
        <v>388</v>
      </c>
      <c r="J392" s="227">
        <f t="shared" si="147"/>
        <v>4.7830475403919586</v>
      </c>
      <c r="K392" s="227">
        <f t="shared" si="146"/>
        <v>60680.275010022335</v>
      </c>
      <c r="L392" s="227">
        <f t="shared" si="160"/>
        <v>381265.41237858898</v>
      </c>
      <c r="M392" s="227">
        <f t="shared" si="148"/>
        <v>55474.138465511351</v>
      </c>
      <c r="N392" s="227">
        <f>SQRT((ABS(AC392)-171.5+'Small Signal'!C$59)^2)</f>
        <v>5.874283248967501</v>
      </c>
      <c r="O392" s="227">
        <f t="shared" si="161"/>
        <v>14.774219877551076</v>
      </c>
      <c r="P392" s="227">
        <f t="shared" si="162"/>
        <v>11.611522354191607</v>
      </c>
      <c r="Q392" s="227">
        <f t="shared" si="145"/>
        <v>60680.275010022335</v>
      </c>
      <c r="R392" s="227" t="str">
        <f t="shared" si="149"/>
        <v>0.0355+0.495645036092166i</v>
      </c>
      <c r="S392" s="227" t="str">
        <f t="shared" si="150"/>
        <v>0.018-0.0119220217671909i</v>
      </c>
      <c r="T392" s="227" t="str">
        <f t="shared" si="151"/>
        <v>0.0179715391038462-0.0118552013445989i</v>
      </c>
      <c r="U392" s="227" t="str">
        <f t="shared" si="152"/>
        <v>-0.461361583815351+0.0757366730998209i</v>
      </c>
      <c r="V392" s="227">
        <f t="shared" si="163"/>
        <v>-6.6036860790365335</v>
      </c>
      <c r="W392" s="227">
        <f t="shared" si="164"/>
        <v>-189.32247214626184</v>
      </c>
      <c r="X392" s="227" t="str">
        <f t="shared" si="153"/>
        <v>0.973816207820146-0.0437205265591443i</v>
      </c>
      <c r="Y392" s="227" t="str">
        <f t="shared" si="154"/>
        <v>3.43474012510308-48.3463929579952i</v>
      </c>
      <c r="Z392" s="227" t="str">
        <f t="shared" si="155"/>
        <v>0.225872192877634-8.66566830113981i</v>
      </c>
      <c r="AA392" s="227" t="str">
        <f t="shared" si="156"/>
        <v>-0.114329144015357-0.365399403633857i</v>
      </c>
      <c r="AB392" s="227">
        <f t="shared" si="165"/>
        <v>-8.3390194387552157</v>
      </c>
      <c r="AC392" s="227">
        <f t="shared" si="166"/>
        <v>-107.3742832489675</v>
      </c>
      <c r="AD392" s="229">
        <f t="shared" si="167"/>
        <v>-3.2725029154363905</v>
      </c>
      <c r="AE392" s="229">
        <f t="shared" si="168"/>
        <v>122.14850312651858</v>
      </c>
      <c r="AF392" s="227">
        <f t="shared" si="157"/>
        <v>-11.611522354191607</v>
      </c>
      <c r="AG392" s="227">
        <f t="shared" si="158"/>
        <v>14.774219877551076</v>
      </c>
      <c r="AH392" s="229" t="str">
        <f t="shared" si="159"/>
        <v>0.365073889540447-0.580884693602523i</v>
      </c>
    </row>
    <row r="393" spans="2:34" x14ac:dyDescent="0.2">
      <c r="I393" s="227">
        <v>389</v>
      </c>
      <c r="J393" s="227">
        <f t="shared" si="147"/>
        <v>4.7927976629187423</v>
      </c>
      <c r="K393" s="227">
        <f t="shared" si="146"/>
        <v>62057.983974611983</v>
      </c>
      <c r="L393" s="227">
        <f t="shared" si="160"/>
        <v>389921.81310246821</v>
      </c>
      <c r="M393" s="227">
        <f t="shared" si="148"/>
        <v>56883.127479355942</v>
      </c>
      <c r="N393" s="227">
        <f>SQRT((ABS(AC393)-171.5+'Small Signal'!C$59)^2)</f>
        <v>5.7933455219241097</v>
      </c>
      <c r="O393" s="227">
        <f t="shared" si="161"/>
        <v>14.286805501880892</v>
      </c>
      <c r="P393" s="227">
        <f t="shared" si="162"/>
        <v>11.62629260103051</v>
      </c>
      <c r="Q393" s="227">
        <f t="shared" si="145"/>
        <v>62057.983974611983</v>
      </c>
      <c r="R393" s="227" t="str">
        <f t="shared" si="149"/>
        <v>0.0355+0.506898357033209i</v>
      </c>
      <c r="S393" s="227" t="str">
        <f t="shared" si="150"/>
        <v>0.018-0.0116573487112403i</v>
      </c>
      <c r="T393" s="227" t="str">
        <f t="shared" si="151"/>
        <v>0.0179705721632007-0.0115920134817219i</v>
      </c>
      <c r="U393" s="227" t="str">
        <f t="shared" si="152"/>
        <v>-0.457242991778533+0.0743533292321665i</v>
      </c>
      <c r="V393" s="227">
        <f t="shared" si="163"/>
        <v>-6.6837115035583183</v>
      </c>
      <c r="W393" s="227">
        <f t="shared" si="164"/>
        <v>-189.236154263852</v>
      </c>
      <c r="X393" s="227" t="str">
        <f t="shared" si="153"/>
        <v>0.972613736000048-0.0447131746868458i</v>
      </c>
      <c r="Y393" s="227" t="str">
        <f t="shared" si="154"/>
        <v>3.2844530917834-47.2821216808513i</v>
      </c>
      <c r="Z393" s="227" t="str">
        <f t="shared" si="155"/>
        <v>0.198221448352341-8.4644745626145i</v>
      </c>
      <c r="AA393" s="227" t="str">
        <f t="shared" si="156"/>
        <v>-0.115447979529505-0.370812469251235i</v>
      </c>
      <c r="AB393" s="227">
        <f t="shared" si="165"/>
        <v>-8.2151191384180464</v>
      </c>
      <c r="AC393" s="227">
        <f t="shared" si="166"/>
        <v>-107.29334552192411</v>
      </c>
      <c r="AD393" s="229">
        <f t="shared" si="167"/>
        <v>-3.4111734626124646</v>
      </c>
      <c r="AE393" s="229">
        <f t="shared" si="168"/>
        <v>121.580151023805</v>
      </c>
      <c r="AF393" s="227">
        <f t="shared" si="157"/>
        <v>-11.62629260103051</v>
      </c>
      <c r="AG393" s="227">
        <f t="shared" si="158"/>
        <v>14.286805501880892</v>
      </c>
      <c r="AH393" s="229" t="str">
        <f t="shared" si="159"/>
        <v>0.353603276265896-0.5752203356536i</v>
      </c>
    </row>
    <row r="394" spans="2:34" x14ac:dyDescent="0.2">
      <c r="I394" s="227">
        <v>390</v>
      </c>
      <c r="J394" s="227">
        <f t="shared" si="147"/>
        <v>4.8025477854455261</v>
      </c>
      <c r="K394" s="227">
        <f t="shared" si="146"/>
        <v>63466.972988456575</v>
      </c>
      <c r="L394" s="227">
        <f t="shared" si="160"/>
        <v>398774.752172234</v>
      </c>
      <c r="M394" s="227">
        <f t="shared" si="148"/>
        <v>58324.106737065806</v>
      </c>
      <c r="N394" s="227">
        <f>SQRT((ABS(AC394)-171.5+'Small Signal'!C$59)^2)</f>
        <v>5.7131288468620767</v>
      </c>
      <c r="O394" s="227">
        <f t="shared" si="161"/>
        <v>13.803959704979832</v>
      </c>
      <c r="P394" s="227">
        <f t="shared" si="162"/>
        <v>11.639702385666981</v>
      </c>
      <c r="Q394" s="227">
        <f t="shared" si="145"/>
        <v>63466.972988456575</v>
      </c>
      <c r="R394" s="227" t="str">
        <f t="shared" si="149"/>
        <v>0.0355+0.518407177823904i</v>
      </c>
      <c r="S394" s="227" t="str">
        <f t="shared" si="150"/>
        <v>0.018-0.0113985514897677i</v>
      </c>
      <c r="T394" s="227" t="str">
        <f t="shared" si="151"/>
        <v>0.0179696476785606-0.0113346683671231i</v>
      </c>
      <c r="U394" s="227" t="str">
        <f t="shared" si="152"/>
        <v>-0.453303691195771+0.0729813720131633i</v>
      </c>
      <c r="V394" s="227">
        <f t="shared" si="163"/>
        <v>-6.7610772642891028</v>
      </c>
      <c r="W394" s="227">
        <f t="shared" si="164"/>
        <v>-189.1460694638584</v>
      </c>
      <c r="X394" s="227" t="str">
        <f t="shared" si="153"/>
        <v>0.971356041526631-0.0457283602902591i</v>
      </c>
      <c r="Y394" s="227" t="str">
        <f t="shared" si="154"/>
        <v>3.14071988906381-46.2408916120375i</v>
      </c>
      <c r="Z394" s="227" t="str">
        <f t="shared" si="155"/>
        <v>0.171776519381685-8.26740176061138i</v>
      </c>
      <c r="AA394" s="227" t="str">
        <f t="shared" si="156"/>
        <v>-0.116622036004492-0.376439548954016i</v>
      </c>
      <c r="AB394" s="227">
        <f t="shared" si="165"/>
        <v>-8.088077576437497</v>
      </c>
      <c r="AC394" s="227">
        <f t="shared" si="166"/>
        <v>-107.21312884686208</v>
      </c>
      <c r="AD394" s="229">
        <f t="shared" si="167"/>
        <v>-3.5516248092294838</v>
      </c>
      <c r="AE394" s="229">
        <f t="shared" si="168"/>
        <v>121.01708855184191</v>
      </c>
      <c r="AF394" s="227">
        <f t="shared" si="157"/>
        <v>-11.639702385666981</v>
      </c>
      <c r="AG394" s="227">
        <f t="shared" si="158"/>
        <v>13.803959704979832</v>
      </c>
      <c r="AH394" s="229" t="str">
        <f t="shared" si="159"/>
        <v>0.342352572212957-0.569385626355394i</v>
      </c>
    </row>
    <row r="395" spans="2:34" x14ac:dyDescent="0.2">
      <c r="I395" s="227">
        <v>391</v>
      </c>
      <c r="J395" s="227">
        <f t="shared" si="147"/>
        <v>4.8122979079723098</v>
      </c>
      <c r="K395" s="227">
        <f t="shared" si="146"/>
        <v>64907.952246166438</v>
      </c>
      <c r="L395" s="227">
        <f t="shared" si="160"/>
        <v>407828.69187222718</v>
      </c>
      <c r="M395" s="227">
        <f t="shared" si="148"/>
        <v>59797.802557790579</v>
      </c>
      <c r="N395" s="227">
        <f>SQRT((ABS(AC395)-171.5+'Small Signal'!C$59)^2)</f>
        <v>5.633953285835986</v>
      </c>
      <c r="O395" s="227">
        <f t="shared" si="161"/>
        <v>13.325547888624769</v>
      </c>
      <c r="P395" s="227">
        <f t="shared" si="162"/>
        <v>11.651759143248045</v>
      </c>
      <c r="Q395" s="227">
        <f t="shared" si="145"/>
        <v>64907.952246166438</v>
      </c>
      <c r="R395" s="227" t="str">
        <f t="shared" si="149"/>
        <v>0.0355+0.530177299433895i</v>
      </c>
      <c r="S395" s="227" t="str">
        <f t="shared" si="150"/>
        <v>0.018-0.011145499657191i</v>
      </c>
      <c r="T395" s="227" t="str">
        <f t="shared" si="151"/>
        <v>0.0179687637857979-0.0110830362971966i</v>
      </c>
      <c r="U395" s="227" t="str">
        <f t="shared" si="152"/>
        <v>-0.449535942014463+0.0716217979790954i</v>
      </c>
      <c r="V395" s="227">
        <f t="shared" si="163"/>
        <v>-6.8358458374362119</v>
      </c>
      <c r="W395" s="227">
        <f t="shared" si="164"/>
        <v>-189.05249952496854</v>
      </c>
      <c r="X395" s="227" t="str">
        <f t="shared" si="153"/>
        <v>0.970040588339267-0.0467665950691469i</v>
      </c>
      <c r="Y395" s="227" t="str">
        <f t="shared" si="154"/>
        <v>3.00325659508415-45.2222291282137i</v>
      </c>
      <c r="Z395" s="227" t="str">
        <f t="shared" si="155"/>
        <v>0.146485168126874-8.07435998141745i</v>
      </c>
      <c r="AA395" s="227" t="str">
        <f t="shared" si="156"/>
        <v>-0.117854380547218-0.382285427710109i</v>
      </c>
      <c r="AB395" s="227">
        <f t="shared" si="165"/>
        <v>-7.9579370106250424</v>
      </c>
      <c r="AC395" s="227">
        <f t="shared" si="166"/>
        <v>-107.13395328583599</v>
      </c>
      <c r="AD395" s="229">
        <f t="shared" si="167"/>
        <v>-3.6938221326230023</v>
      </c>
      <c r="AE395" s="229">
        <f t="shared" si="168"/>
        <v>120.45950117446075</v>
      </c>
      <c r="AF395" s="227">
        <f t="shared" si="157"/>
        <v>-11.651759143248045</v>
      </c>
      <c r="AG395" s="227">
        <f t="shared" si="158"/>
        <v>13.325547888624769</v>
      </c>
      <c r="AH395" s="229" t="str">
        <f t="shared" si="159"/>
        <v>0.331326524527491-0.563391069240773i</v>
      </c>
    </row>
    <row r="396" spans="2:34" x14ac:dyDescent="0.2">
      <c r="B396" s="220"/>
      <c r="I396" s="227">
        <v>392</v>
      </c>
      <c r="J396" s="227">
        <f t="shared" si="147"/>
        <v>4.8220480304990927</v>
      </c>
      <c r="K396" s="227">
        <f t="shared" si="146"/>
        <v>66381.648066891212</v>
      </c>
      <c r="L396" s="227">
        <f t="shared" si="160"/>
        <v>417088.19580025703</v>
      </c>
      <c r="M396" s="227">
        <f t="shared" si="148"/>
        <v>61304.957751317284</v>
      </c>
      <c r="N396" s="227">
        <f>SQRT((ABS(AC396)-171.5+'Small Signal'!C$59)^2)</f>
        <v>5.5561362166590413</v>
      </c>
      <c r="O396" s="227">
        <f t="shared" si="161"/>
        <v>12.851426917562875</v>
      </c>
      <c r="P396" s="227">
        <f t="shared" si="162"/>
        <v>11.662468636380552</v>
      </c>
      <c r="Q396" s="227">
        <f t="shared" si="145"/>
        <v>66381.648066891212</v>
      </c>
      <c r="R396" s="227" t="str">
        <f t="shared" si="149"/>
        <v>0.0355+0.542214654540334i</v>
      </c>
      <c r="S396" s="227" t="str">
        <f t="shared" si="150"/>
        <v>0.018-0.0108980656638659i</v>
      </c>
      <c r="T396" s="227" t="str">
        <f t="shared" si="151"/>
        <v>0.0179679187026322-0.0108369904473165i</v>
      </c>
      <c r="U396" s="227" t="str">
        <f t="shared" si="152"/>
        <v>-0.445932332750765+0.0702755011545829i</v>
      </c>
      <c r="V396" s="227">
        <f t="shared" si="163"/>
        <v>-6.9080798531627794</v>
      </c>
      <c r="W396" s="227">
        <f t="shared" si="164"/>
        <v>-188.95571887223136</v>
      </c>
      <c r="X396" s="227" t="str">
        <f t="shared" si="153"/>
        <v>0.968664723910566-0.0478284023411056i</v>
      </c>
      <c r="Y396" s="227" t="str">
        <f t="shared" si="154"/>
        <v>2.87179142658207-44.2256686804041i</v>
      </c>
      <c r="Z396" s="227" t="str">
        <f t="shared" si="155"/>
        <v>0.122297390096626-7.88526073590736i</v>
      </c>
      <c r="AA396" s="227" t="str">
        <f t="shared" si="156"/>
        <v>-0.119148268416928-0.388355143552225i</v>
      </c>
      <c r="AB396" s="227">
        <f t="shared" si="165"/>
        <v>-7.8247387233704675</v>
      </c>
      <c r="AC396" s="227">
        <f t="shared" si="166"/>
        <v>-107.05613621665904</v>
      </c>
      <c r="AD396" s="229">
        <f t="shared" si="167"/>
        <v>-3.8377299130100839</v>
      </c>
      <c r="AE396" s="229">
        <f t="shared" si="168"/>
        <v>119.90756313422192</v>
      </c>
      <c r="AF396" s="227">
        <f t="shared" si="157"/>
        <v>-11.662468636380552</v>
      </c>
      <c r="AG396" s="227">
        <f t="shared" si="158"/>
        <v>12.851426917562875</v>
      </c>
      <c r="AH396" s="229" t="str">
        <f t="shared" si="159"/>
        <v>0.320529249133901-0.557247217699384i</v>
      </c>
    </row>
    <row r="397" spans="2:34" x14ac:dyDescent="0.2">
      <c r="B397" s="220"/>
      <c r="I397" s="227">
        <v>393</v>
      </c>
      <c r="J397" s="227">
        <f t="shared" si="147"/>
        <v>4.8317981530258756</v>
      </c>
      <c r="K397" s="227">
        <f t="shared" si="146"/>
        <v>67888.803260417917</v>
      </c>
      <c r="L397" s="227">
        <f t="shared" si="160"/>
        <v>426557.93116786343</v>
      </c>
      <c r="M397" s="227">
        <f t="shared" si="148"/>
        <v>62846.331992480496</v>
      </c>
      <c r="N397" s="227">
        <f>SQRT((ABS(AC397)-171.5+'Small Signal'!C$59)^2)</f>
        <v>5.479992180490612</v>
      </c>
      <c r="O397" s="227">
        <f t="shared" si="161"/>
        <v>12.381445248994268</v>
      </c>
      <c r="P397" s="227">
        <f t="shared" si="162"/>
        <v>11.671834888908474</v>
      </c>
      <c r="Q397" s="227">
        <f t="shared" si="145"/>
        <v>67888.803260417917</v>
      </c>
      <c r="R397" s="227" t="str">
        <f t="shared" si="149"/>
        <v>0.0355+0.554525310518223i</v>
      </c>
      <c r="S397" s="227" t="str">
        <f t="shared" si="150"/>
        <v>0.018-0.0106561247917947i</v>
      </c>
      <c r="T397" s="227" t="str">
        <f t="shared" si="151"/>
        <v>0.0179671107250374-0.0105964068079545i</v>
      </c>
      <c r="U397" s="227" t="str">
        <f t="shared" si="152"/>
        <v>-0.44248576702186+0.0689432804605196i</v>
      </c>
      <c r="V397" s="227">
        <f t="shared" si="163"/>
        <v>-6.9778419856140026</v>
      </c>
      <c r="W397" s="227">
        <f t="shared" si="164"/>
        <v>-188.85599420368627</v>
      </c>
      <c r="X397" s="227" t="str">
        <f t="shared" si="153"/>
        <v>0.96722567389773-0.0489143173053416i</v>
      </c>
      <c r="Y397" s="227" t="str">
        <f t="shared" si="154"/>
        <v>2.74606423378433-43.2507527707037i</v>
      </c>
      <c r="Z397" s="227" t="str">
        <f t="shared" si="155"/>
        <v>0.0991653212129577-7.70001695382537i</v>
      </c>
      <c r="AA397" s="227" t="str">
        <f t="shared" si="156"/>
        <v>-0.120507156964436-0.394654000897325i</v>
      </c>
      <c r="AB397" s="227">
        <f t="shared" si="165"/>
        <v>-7.6885228571348598</v>
      </c>
      <c r="AC397" s="227">
        <f t="shared" si="166"/>
        <v>-106.97999218049061</v>
      </c>
      <c r="AD397" s="229">
        <f t="shared" si="167"/>
        <v>-3.9833120317736137</v>
      </c>
      <c r="AE397" s="229">
        <f t="shared" si="168"/>
        <v>119.36143742948488</v>
      </c>
      <c r="AF397" s="227">
        <f t="shared" si="157"/>
        <v>-11.671834888908474</v>
      </c>
      <c r="AG397" s="227">
        <f t="shared" si="158"/>
        <v>12.381445248994268</v>
      </c>
      <c r="AH397" s="229" t="str">
        <f t="shared" si="159"/>
        <v>0.309964241616793-0.550964633791381i</v>
      </c>
    </row>
    <row r="398" spans="2:34" x14ac:dyDescent="0.2">
      <c r="B398" s="220"/>
      <c r="I398" s="227">
        <v>394</v>
      </c>
      <c r="J398" s="227">
        <f t="shared" si="147"/>
        <v>4.8415482755526593</v>
      </c>
      <c r="K398" s="227">
        <f t="shared" si="146"/>
        <v>69430.177501581129</v>
      </c>
      <c r="L398" s="227">
        <f t="shared" si="160"/>
        <v>436242.67115280521</v>
      </c>
      <c r="M398" s="227">
        <f t="shared" si="148"/>
        <v>64422.702204072106</v>
      </c>
      <c r="N398" s="227">
        <f>SQRT((ABS(AC398)-171.5+'Small Signal'!C$59)^2)</f>
        <v>5.4058328004444576</v>
      </c>
      <c r="O398" s="227">
        <f t="shared" si="161"/>
        <v>11.91544303248655</v>
      </c>
      <c r="P398" s="227">
        <f t="shared" si="162"/>
        <v>11.679860118202811</v>
      </c>
      <c r="Q398" s="227">
        <f t="shared" si="145"/>
        <v>69430.177501581129</v>
      </c>
      <c r="R398" s="227" t="str">
        <f t="shared" si="149"/>
        <v>0.0355+0.567115472498647i</v>
      </c>
      <c r="S398" s="227" t="str">
        <f t="shared" si="150"/>
        <v>0.018-0.0104195550917631i</v>
      </c>
      <c r="T398" s="227" t="str">
        <f t="shared" si="151"/>
        <v>0.0179663382238059-0.0103611641222131i</v>
      </c>
      <c r="U398" s="227" t="str">
        <f t="shared" si="152"/>
        <v>-0.439189450588446+0.0676258466341942i</v>
      </c>
      <c r="V398" s="227">
        <f t="shared" si="163"/>
        <v>-7.0451948468773908</v>
      </c>
      <c r="W398" s="227">
        <f t="shared" si="164"/>
        <v>-188.75358416903205</v>
      </c>
      <c r="X398" s="227" t="str">
        <f t="shared" si="153"/>
        <v>0.965720536548259-0.0500248873124358i</v>
      </c>
      <c r="Y398" s="227" t="str">
        <f t="shared" si="154"/>
        <v>2.6258260151213-42.2970319196533i</v>
      </c>
      <c r="Z398" s="227" t="str">
        <f t="shared" si="155"/>
        <v>0.0770431485242802-7.51854297631916i</v>
      </c>
      <c r="AA398" s="227" t="str">
        <f t="shared" si="156"/>
        <v>-0.121934720786171-0.401187584847976i</v>
      </c>
      <c r="AB398" s="227">
        <f t="shared" si="165"/>
        <v>-7.5493282503905723</v>
      </c>
      <c r="AC398" s="227">
        <f t="shared" si="166"/>
        <v>-106.90583280044446</v>
      </c>
      <c r="AD398" s="229">
        <f t="shared" si="167"/>
        <v>-4.1305318678122376</v>
      </c>
      <c r="AE398" s="229">
        <f t="shared" si="168"/>
        <v>118.82127583293101</v>
      </c>
      <c r="AF398" s="227">
        <f t="shared" si="157"/>
        <v>-11.679860118202811</v>
      </c>
      <c r="AG398" s="227">
        <f t="shared" si="158"/>
        <v>11.91544303248655</v>
      </c>
      <c r="AH398" s="229" t="str">
        <f t="shared" si="159"/>
        <v>0.299634390915281-0.544553849029633i</v>
      </c>
    </row>
    <row r="399" spans="2:34" x14ac:dyDescent="0.2">
      <c r="B399" s="220"/>
      <c r="I399" s="227">
        <v>395</v>
      </c>
      <c r="J399" s="227">
        <f t="shared" si="147"/>
        <v>4.8512983980794431</v>
      </c>
      <c r="K399" s="227">
        <f t="shared" si="146"/>
        <v>71006.547713172738</v>
      </c>
      <c r="L399" s="227">
        <f t="shared" si="160"/>
        <v>446147.29730495322</v>
      </c>
      <c r="M399" s="227">
        <f t="shared" si="148"/>
        <v>66034.862948446622</v>
      </c>
      <c r="N399" s="227">
        <f>SQRT((ABS(AC399)-171.5+'Small Signal'!C$59)^2)</f>
        <v>5.3339667715951435</v>
      </c>
      <c r="O399" s="227">
        <f t="shared" si="161"/>
        <v>11.45325217781523</v>
      </c>
      <c r="P399" s="227">
        <f t="shared" si="162"/>
        <v>11.686544665612843</v>
      </c>
      <c r="Q399" s="227">
        <f t="shared" si="145"/>
        <v>71006.547713172738</v>
      </c>
      <c r="R399" s="227" t="str">
        <f t="shared" si="149"/>
        <v>0.0355+0.579991486496439i</v>
      </c>
      <c r="S399" s="227" t="str">
        <f t="shared" si="150"/>
        <v>0.018-0.0101882373218718i</v>
      </c>
      <c r="T399" s="227" t="str">
        <f t="shared" si="151"/>
        <v>0.0179655996412634-0.0101311438247436i</v>
      </c>
      <c r="U399" s="227" t="str">
        <f t="shared" si="152"/>
        <v>-0.436036878891809+0.0663238286923374i</v>
      </c>
      <c r="V399" s="227">
        <f t="shared" si="163"/>
        <v>-7.1102008851717882</v>
      </c>
      <c r="W399" s="227">
        <f t="shared" si="164"/>
        <v>-188.64873909900322</v>
      </c>
      <c r="X399" s="227" t="str">
        <f t="shared" si="153"/>
        <v>0.96414627684876-0.0511606721402328i</v>
      </c>
      <c r="Y399" s="227" t="str">
        <f t="shared" si="154"/>
        <v>2.51083845108581-41.3640646251061i</v>
      </c>
      <c r="Z399" s="227" t="str">
        <f t="shared" si="155"/>
        <v>0.0558870244408811-7.34075454687635i</v>
      </c>
      <c r="AA399" s="227" t="str">
        <f t="shared" si="156"/>
        <v>-0.123434868217393-0.407961776552777i</v>
      </c>
      <c r="AB399" s="227">
        <f t="shared" si="165"/>
        <v>-7.4071922740780796</v>
      </c>
      <c r="AC399" s="227">
        <f t="shared" si="166"/>
        <v>-106.83396677159514</v>
      </c>
      <c r="AD399" s="229">
        <f t="shared" si="167"/>
        <v>-4.279352391534764</v>
      </c>
      <c r="AE399" s="229">
        <f t="shared" si="168"/>
        <v>118.28721894941037</v>
      </c>
      <c r="AF399" s="227">
        <f t="shared" si="157"/>
        <v>-11.686544665612843</v>
      </c>
      <c r="AG399" s="227">
        <f t="shared" si="158"/>
        <v>11.45325217781523</v>
      </c>
      <c r="AH399" s="229" t="str">
        <f t="shared" si="159"/>
        <v>0.289541995564867-0.538025327311006i</v>
      </c>
    </row>
    <row r="400" spans="2:34" x14ac:dyDescent="0.2">
      <c r="B400" s="220"/>
      <c r="I400" s="227">
        <v>396</v>
      </c>
      <c r="J400" s="227">
        <f t="shared" si="147"/>
        <v>4.8610485206062268</v>
      </c>
      <c r="K400" s="227">
        <f t="shared" si="146"/>
        <v>72618.708457547255</v>
      </c>
      <c r="L400" s="227">
        <f t="shared" si="160"/>
        <v>456276.80200681888</v>
      </c>
      <c r="M400" s="227">
        <f t="shared" si="148"/>
        <v>67683.626828016393</v>
      </c>
      <c r="N400" s="227">
        <f>SQRT((ABS(AC400)-171.5+'Small Signal'!C$59)^2)</f>
        <v>5.2646999226478641</v>
      </c>
      <c r="O400" s="227">
        <f t="shared" si="161"/>
        <v>10.994696388163618</v>
      </c>
      <c r="P400" s="227">
        <f t="shared" si="162"/>
        <v>11.691886924710065</v>
      </c>
      <c r="Q400" s="227">
        <f t="shared" si="145"/>
        <v>72618.708457547255</v>
      </c>
      <c r="R400" s="227" t="str">
        <f t="shared" si="149"/>
        <v>0.0355+0.593159842608865i</v>
      </c>
      <c r="S400" s="227" t="str">
        <f t="shared" si="150"/>
        <v>0.018-0.00996205488743349i</v>
      </c>
      <c r="T400" s="227" t="str">
        <f t="shared" si="151"/>
        <v>0.0179648934881284-0.00990622998201911i</v>
      </c>
      <c r="U400" s="227" t="str">
        <f t="shared" si="152"/>
        <v>-0.433021825070072+0.0650377799660048i</v>
      </c>
      <c r="V400" s="227">
        <f t="shared" si="163"/>
        <v>-7.172922287520489</v>
      </c>
      <c r="W400" s="227">
        <f t="shared" si="164"/>
        <v>-188.54170078381188</v>
      </c>
      <c r="X400" s="227" t="str">
        <f t="shared" si="153"/>
        <v>0.962499720405033-0.0523222442759951i</v>
      </c>
      <c r="Y400" s="227" t="str">
        <f t="shared" si="154"/>
        <v>2.40087345658188-40.4514173133419i</v>
      </c>
      <c r="Z400" s="227" t="str">
        <f t="shared" si="155"/>
        <v>0.0356549843723717-7.16656880080186i</v>
      </c>
      <c r="AA400" s="227" t="str">
        <f t="shared" si="156"/>
        <v>-0.125011759303577-0.414982769709774i</v>
      </c>
      <c r="AB400" s="227">
        <f t="shared" si="165"/>
        <v>-7.2621506685891335</v>
      </c>
      <c r="AC400" s="227">
        <f t="shared" si="166"/>
        <v>-106.76469992264786</v>
      </c>
      <c r="AD400" s="229">
        <f t="shared" si="167"/>
        <v>-4.4297362561209308</v>
      </c>
      <c r="AE400" s="229">
        <f t="shared" si="168"/>
        <v>117.75939631081148</v>
      </c>
      <c r="AF400" s="227">
        <f t="shared" si="157"/>
        <v>-11.691886924710065</v>
      </c>
      <c r="AG400" s="227">
        <f t="shared" si="158"/>
        <v>10.994696388163618</v>
      </c>
      <c r="AH400" s="229" t="str">
        <f t="shared" si="159"/>
        <v>0.279688782214212-0.531389430143983i</v>
      </c>
    </row>
    <row r="401" spans="2:34" x14ac:dyDescent="0.2">
      <c r="B401" s="220"/>
      <c r="I401" s="227">
        <v>397</v>
      </c>
      <c r="J401" s="227">
        <f t="shared" si="147"/>
        <v>4.8707986431330106</v>
      </c>
      <c r="K401" s="227">
        <f t="shared" si="146"/>
        <v>74267.472337117026</v>
      </c>
      <c r="L401" s="227">
        <f t="shared" si="160"/>
        <v>466636.29098994005</v>
      </c>
      <c r="M401" s="227">
        <f t="shared" si="148"/>
        <v>69369.824894840582</v>
      </c>
      <c r="N401" s="227">
        <f>SQRT((ABS(AC401)-171.5+'Small Signal'!C$59)^2)</f>
        <v>5.1983353494557889</v>
      </c>
      <c r="O401" s="227">
        <f t="shared" si="161"/>
        <v>10.539591156064944</v>
      </c>
      <c r="P401" s="227">
        <f t="shared" si="162"/>
        <v>11.695883266947497</v>
      </c>
      <c r="Q401" s="227">
        <f t="shared" si="145"/>
        <v>74267.472337117026</v>
      </c>
      <c r="R401" s="227" t="str">
        <f t="shared" si="149"/>
        <v>0.0355+0.606627178286922i</v>
      </c>
      <c r="S401" s="227" t="str">
        <f t="shared" si="150"/>
        <v>0.018-0.00974089378220377i</v>
      </c>
      <c r="T401" s="227" t="str">
        <f t="shared" si="151"/>
        <v>0.0179642183405094-0.00968630923393096i</v>
      </c>
      <c r="U401" s="227" t="str">
        <f t="shared" si="152"/>
        <v>-0.430138328438261+0.0637681837343979i</v>
      </c>
      <c r="V401" s="227">
        <f t="shared" si="163"/>
        <v>-7.2334208871279664</v>
      </c>
      <c r="W401" s="227">
        <f t="shared" si="164"/>
        <v>-188.43270229874312</v>
      </c>
      <c r="X401" s="227" t="str">
        <f t="shared" si="153"/>
        <v>0.960777547041106-0.0535101892049623i</v>
      </c>
      <c r="Y401" s="227" t="str">
        <f t="shared" si="154"/>
        <v>2.29571275111621-39.5586642831423i</v>
      </c>
      <c r="Z401" s="227" t="str">
        <f t="shared" si="155"/>
        <v>0.0163068676480273-6.99590425336665i</v>
      </c>
      <c r="AA401" s="227" t="str">
        <f t="shared" si="156"/>
        <v>-0.12666982540515-0.422257088303754i</v>
      </c>
      <c r="AB401" s="227">
        <f t="shared" si="165"/>
        <v>-7.1142373812324369</v>
      </c>
      <c r="AC401" s="227">
        <f t="shared" si="166"/>
        <v>-106.69833534945579</v>
      </c>
      <c r="AD401" s="229">
        <f t="shared" si="167"/>
        <v>-4.5816458857150613</v>
      </c>
      <c r="AE401" s="229">
        <f t="shared" si="168"/>
        <v>117.23792650552073</v>
      </c>
      <c r="AF401" s="227">
        <f t="shared" si="157"/>
        <v>-11.695883266947497</v>
      </c>
      <c r="AG401" s="227">
        <f t="shared" si="158"/>
        <v>10.539591156064944</v>
      </c>
      <c r="AH401" s="229" t="str">
        <f t="shared" si="159"/>
        <v>0.270075926140564-0.52465638428714i</v>
      </c>
    </row>
    <row r="402" spans="2:34" x14ac:dyDescent="0.2">
      <c r="B402" s="220"/>
      <c r="I402" s="227">
        <v>398</v>
      </c>
      <c r="J402" s="227">
        <f t="shared" si="147"/>
        <v>4.8805487656597935</v>
      </c>
      <c r="K402" s="227">
        <f t="shared" si="146"/>
        <v>75953.670403941214</v>
      </c>
      <c r="L402" s="227">
        <f t="shared" si="160"/>
        <v>477230.9859084044</v>
      </c>
      <c r="M402" s="227">
        <f t="shared" si="148"/>
        <v>71094.307069512884</v>
      </c>
      <c r="N402" s="227">
        <f>SQRT((ABS(AC402)-171.5+'Small Signal'!C$59)^2)</f>
        <v>5.1351736205683096</v>
      </c>
      <c r="O402" s="227">
        <f t="shared" si="161"/>
        <v>10.087743719366443</v>
      </c>
      <c r="P402" s="227">
        <f t="shared" si="162"/>
        <v>11.698527964332662</v>
      </c>
      <c r="Q402" s="227">
        <f t="shared" si="145"/>
        <v>75953.670403941214</v>
      </c>
      <c r="R402" s="227" t="str">
        <f t="shared" si="149"/>
        <v>0.0355+0.620400281680926i</v>
      </c>
      <c r="S402" s="227" t="str">
        <f t="shared" si="150"/>
        <v>0.018-0.0095246425309168i</v>
      </c>
      <c r="T402" s="227" t="str">
        <f t="shared" si="151"/>
        <v>0.0179635728370334-0.00947127073668069i</v>
      </c>
      <c r="U402" s="227" t="str">
        <f t="shared" si="152"/>
        <v>-0.427380683417085+0.0625154584831163i</v>
      </c>
      <c r="V402" s="227">
        <f t="shared" si="163"/>
        <v>-7.2917580756401872</v>
      </c>
      <c r="W402" s="227">
        <f t="shared" si="164"/>
        <v>-188.32196787476821</v>
      </c>
      <c r="X402" s="227" t="str">
        <f t="shared" si="153"/>
        <v>0.958976284104316-0.0547251057054624i</v>
      </c>
      <c r="Y402" s="227" t="str">
        <f t="shared" si="154"/>
        <v>2.19514744620238-38.6853876434834i</v>
      </c>
      <c r="Z402" s="227" t="str">
        <f t="shared" si="155"/>
        <v>-0.00219575839586506-6.82868078674787i</v>
      </c>
      <c r="AA402" s="227" t="str">
        <f t="shared" si="156"/>
        <v>-0.128413790609325-0.429791605676226i</v>
      </c>
      <c r="AB402" s="227">
        <f t="shared" si="165"/>
        <v>-6.9634844040744968</v>
      </c>
      <c r="AC402" s="227">
        <f t="shared" si="166"/>
        <v>-106.63517362056831</v>
      </c>
      <c r="AD402" s="229">
        <f t="shared" si="167"/>
        <v>-4.7350435602581662</v>
      </c>
      <c r="AE402" s="229">
        <f t="shared" si="168"/>
        <v>116.72291733993475</v>
      </c>
      <c r="AF402" s="227">
        <f t="shared" si="157"/>
        <v>-11.698527964332662</v>
      </c>
      <c r="AG402" s="227">
        <f t="shared" si="158"/>
        <v>10.087743719366443</v>
      </c>
      <c r="AH402" s="229" t="str">
        <f t="shared" si="159"/>
        <v>0.260704073487919-0.517836251881783i</v>
      </c>
    </row>
    <row r="403" spans="2:34" x14ac:dyDescent="0.2">
      <c r="B403" s="220"/>
      <c r="I403" s="227">
        <v>399</v>
      </c>
      <c r="J403" s="227">
        <f t="shared" si="147"/>
        <v>4.8902988881865763</v>
      </c>
      <c r="K403" s="227">
        <f t="shared" si="146"/>
        <v>77678.152578613517</v>
      </c>
      <c r="L403" s="227">
        <f t="shared" si="160"/>
        <v>488066.22697079857</v>
      </c>
      <c r="M403" s="227">
        <f t="shared" si="148"/>
        <v>72857.942569560342</v>
      </c>
      <c r="N403" s="227">
        <f>SQRT((ABS(AC403)-171.5+'Small Signal'!C$59)^2)</f>
        <v>5.0755130550525678</v>
      </c>
      <c r="O403" s="227">
        <f t="shared" si="161"/>
        <v>9.6389529743650399</v>
      </c>
      <c r="P403" s="227">
        <f t="shared" si="162"/>
        <v>11.699813108702738</v>
      </c>
      <c r="Q403" s="227">
        <f t="shared" si="145"/>
        <v>77678.152578613517</v>
      </c>
      <c r="R403" s="227" t="str">
        <f t="shared" si="149"/>
        <v>0.0355+0.634486095062038i</v>
      </c>
      <c r="S403" s="227" t="str">
        <f t="shared" si="150"/>
        <v>0.018-0.0093131921330965i</v>
      </c>
      <c r="T403" s="227" t="str">
        <f t="shared" si="151"/>
        <v>0.0179629556761015-0.00926100610693795i</v>
      </c>
      <c r="U403" s="227" t="str">
        <f t="shared" si="152"/>
        <v>-0.424743428895569+0.0612799628107516i</v>
      </c>
      <c r="V403" s="227">
        <f t="shared" si="163"/>
        <v>-7.3479947204301377</v>
      </c>
      <c r="W403" s="227">
        <f t="shared" si="164"/>
        <v>-188.20971281185098</v>
      </c>
      <c r="X403" s="227" t="str">
        <f t="shared" si="153"/>
        <v>0.957092299462924-0.0559676061507237i</v>
      </c>
      <c r="Y403" s="227" t="str">
        <f t="shared" si="154"/>
        <v>2.09897764936091-37.8311772454706i</v>
      </c>
      <c r="Z403" s="227" t="str">
        <f t="shared" si="155"/>
        <v>-0.0198896712752225-6.66481963587445i</v>
      </c>
      <c r="AA403" s="227" t="str">
        <f t="shared" si="156"/>
        <v>-0.130248695143644-0.437593565035205i</v>
      </c>
      <c r="AB403" s="227">
        <f t="shared" si="165"/>
        <v>-6.8099216119895942</v>
      </c>
      <c r="AC403" s="227">
        <f t="shared" si="166"/>
        <v>-106.57551305505257</v>
      </c>
      <c r="AD403" s="229">
        <f t="shared" si="167"/>
        <v>-4.8898914967131439</v>
      </c>
      <c r="AE403" s="229">
        <f t="shared" si="168"/>
        <v>116.21446602941761</v>
      </c>
      <c r="AF403" s="227">
        <f t="shared" si="157"/>
        <v>-11.699813108702738</v>
      </c>
      <c r="AG403" s="227">
        <f t="shared" si="158"/>
        <v>9.6389529743650399</v>
      </c>
      <c r="AH403" s="229" t="str">
        <f t="shared" si="159"/>
        <v>0.251573364955371-0.510938903131664i</v>
      </c>
    </row>
    <row r="404" spans="2:34" x14ac:dyDescent="0.2">
      <c r="B404" s="220"/>
      <c r="I404" s="227">
        <v>400</v>
      </c>
      <c r="J404" s="227">
        <f t="shared" si="147"/>
        <v>4.9000490107133601</v>
      </c>
      <c r="K404" s="227">
        <f t="shared" si="146"/>
        <v>79441.788078660975</v>
      </c>
      <c r="L404" s="227">
        <f t="shared" si="160"/>
        <v>499147.47563191707</v>
      </c>
      <c r="M404" s="227">
        <f t="shared" si="148"/>
        <v>74661.620347568649</v>
      </c>
      <c r="N404" s="227">
        <f>SQRT((ABS(AC404)-171.5+'Small Signal'!C$59)^2)</f>
        <v>5.0196500729689717</v>
      </c>
      <c r="O404" s="227">
        <f t="shared" si="161"/>
        <v>9.193009343086942</v>
      </c>
      <c r="P404" s="227">
        <f t="shared" si="162"/>
        <v>11.699728527162423</v>
      </c>
      <c r="Q404" s="227">
        <f t="shared" si="145"/>
        <v>79441.788078660975</v>
      </c>
      <c r="R404" s="227" t="str">
        <f t="shared" si="149"/>
        <v>0.0355+0.648891718321492i</v>
      </c>
      <c r="S404" s="227" t="str">
        <f t="shared" si="150"/>
        <v>0.018-0.00910643600811568i</v>
      </c>
      <c r="T404" s="227" t="str">
        <f t="shared" si="151"/>
        <v>0.0179623656132643-0.00905540936723727i</v>
      </c>
      <c r="U404" s="227" t="str">
        <f t="shared" si="152"/>
        <v>-0.422221338012866+0.0600620000062783i</v>
      </c>
      <c r="V404" s="227">
        <f t="shared" si="163"/>
        <v>-7.4021910870142085</v>
      </c>
      <c r="W404" s="227">
        <f t="shared" si="164"/>
        <v>-188.09614343247847</v>
      </c>
      <c r="X404" s="227" t="str">
        <f t="shared" si="153"/>
        <v>0.955121794182152-0.0572383168175383i</v>
      </c>
      <c r="Y404" s="227" t="str">
        <f t="shared" si="154"/>
        <v>2.00701208411712-36.9956306090849i</v>
      </c>
      <c r="Z404" s="227" t="str">
        <f t="shared" si="155"/>
        <v>-0.0368100632739471-6.50424337328215i</v>
      </c>
      <c r="AA404" s="227" t="str">
        <f t="shared" si="156"/>
        <v>-0.132179921009661-0.445670601521079i</v>
      </c>
      <c r="AB404" s="227">
        <f t="shared" si="165"/>
        <v>-6.6535766006887691</v>
      </c>
      <c r="AC404" s="227">
        <f t="shared" si="166"/>
        <v>-106.51965007296897</v>
      </c>
      <c r="AD404" s="229">
        <f t="shared" si="167"/>
        <v>-5.0461519264736534</v>
      </c>
      <c r="AE404" s="229">
        <f t="shared" si="168"/>
        <v>115.71265941605591</v>
      </c>
      <c r="AF404" s="227">
        <f t="shared" si="157"/>
        <v>-11.699728527162423</v>
      </c>
      <c r="AG404" s="227">
        <f t="shared" si="158"/>
        <v>9.193009343086942</v>
      </c>
      <c r="AH404" s="229" t="str">
        <f t="shared" si="159"/>
        <v>0.242683460669939-0.503973991554916i</v>
      </c>
    </row>
    <row r="405" spans="2:34" x14ac:dyDescent="0.2">
      <c r="B405" s="220"/>
      <c r="I405" s="227">
        <v>401</v>
      </c>
      <c r="J405" s="227">
        <f t="shared" si="147"/>
        <v>4.9097991332401438</v>
      </c>
      <c r="K405" s="227">
        <f t="shared" ref="K405:K468" si="169">10^(J405)</f>
        <v>81245.465856669281</v>
      </c>
      <c r="L405" s="227">
        <f t="shared" si="160"/>
        <v>510480.31734558515</v>
      </c>
      <c r="M405" s="227">
        <f t="shared" si="148"/>
        <v>76506.249539254219</v>
      </c>
      <c r="N405" s="227">
        <f>SQRT((ABS(AC405)-171.5+'Small Signal'!C$59)^2)</f>
        <v>4.9678796190732299</v>
      </c>
      <c r="O405" s="227">
        <f t="shared" si="161"/>
        <v>8.7496945914789706</v>
      </c>
      <c r="P405" s="227">
        <f t="shared" si="162"/>
        <v>11.698261693227131</v>
      </c>
      <c r="Q405" s="227">
        <f t="shared" ref="Q405:Q468" si="170">K405</f>
        <v>81245.465856669281</v>
      </c>
      <c r="R405" s="227" t="str">
        <f t="shared" si="149"/>
        <v>0.0355+0.663624412549261i</v>
      </c>
      <c r="S405" s="227" t="str">
        <f t="shared" si="150"/>
        <v>0.018-0.00890426994147426i</v>
      </c>
      <c r="T405" s="227" t="str">
        <f t="shared" si="151"/>
        <v>0.0179618014587122-0.00885437689258519i</v>
      </c>
      <c r="U405" s="227" t="str">
        <f t="shared" si="152"/>
        <v>-0.419809408344906+0.0588618223183091i</v>
      </c>
      <c r="V405" s="227">
        <f t="shared" si="163"/>
        <v>-7.4544067666677263</v>
      </c>
      <c r="W405" s="227">
        <f t="shared" si="164"/>
        <v>-187.98145707283388</v>
      </c>
      <c r="X405" s="227" t="str">
        <f t="shared" si="153"/>
        <v>0.953060794863878-0.0585378782019342i</v>
      </c>
      <c r="Y405" s="227" t="str">
        <f t="shared" si="154"/>
        <v>1.91906772540706-36.1783528452738i</v>
      </c>
      <c r="Z405" s="227" t="str">
        <f t="shared" si="155"/>
        <v>-0.0529906085247286-6.34687589307517i</v>
      </c>
      <c r="AA405" s="227" t="str">
        <f t="shared" si="156"/>
        <v>-0.134213220082109-0.454030765954758i</v>
      </c>
      <c r="AB405" s="227">
        <f t="shared" si="165"/>
        <v>-6.4944745244333237</v>
      </c>
      <c r="AC405" s="227">
        <f t="shared" si="166"/>
        <v>-106.46787961907323</v>
      </c>
      <c r="AD405" s="229">
        <f t="shared" si="167"/>
        <v>-5.2037871687938084</v>
      </c>
      <c r="AE405" s="229">
        <f t="shared" si="168"/>
        <v>115.2175742105522</v>
      </c>
      <c r="AF405" s="227">
        <f t="shared" si="157"/>
        <v>-11.698261693227131</v>
      </c>
      <c r="AG405" s="227">
        <f t="shared" si="158"/>
        <v>8.7496945914789706</v>
      </c>
      <c r="AH405" s="229" t="str">
        <f t="shared" si="159"/>
        <v>0.23403356598724-0.496950931806918i</v>
      </c>
    </row>
    <row r="406" spans="2:34" x14ac:dyDescent="0.2">
      <c r="B406" s="220"/>
      <c r="I406" s="227">
        <v>402</v>
      </c>
      <c r="J406" s="227">
        <f t="shared" si="147"/>
        <v>4.9195492557669267</v>
      </c>
      <c r="K406" s="227">
        <f t="shared" si="169"/>
        <v>83090.095048354851</v>
      </c>
      <c r="L406" s="227">
        <f t="shared" si="160"/>
        <v>522070.46437997848</v>
      </c>
      <c r="M406" s="227">
        <f t="shared" si="148"/>
        <v>78392.759921710589</v>
      </c>
      <c r="N406" s="227">
        <f>SQRT((ABS(AC406)-171.5+'Small Signal'!C$59)^2)</f>
        <v>4.9204956606080117</v>
      </c>
      <c r="O406" s="227">
        <f t="shared" si="161"/>
        <v>8.3087815950021024</v>
      </c>
      <c r="P406" s="227">
        <f t="shared" si="162"/>
        <v>11.695397633186317</v>
      </c>
      <c r="Q406" s="227">
        <f t="shared" si="170"/>
        <v>83090.095048354851</v>
      </c>
      <c r="R406" s="227" t="str">
        <f t="shared" si="149"/>
        <v>0.0355+0.678691603693972i</v>
      </c>
      <c r="S406" s="227" t="str">
        <f t="shared" si="150"/>
        <v>0.018-0.00870659203227064i</v>
      </c>
      <c r="T406" s="227" t="str">
        <f t="shared" si="151"/>
        <v>0.0179612620748773-0.00865780735825202i</v>
      </c>
      <c r="U406" s="227" t="str">
        <f t="shared" si="152"/>
        <v>-0.417502852481814+0.057679634935952i</v>
      </c>
      <c r="V406" s="227">
        <f t="shared" si="163"/>
        <v>-7.5047006092736943</v>
      </c>
      <c r="W406" s="227">
        <f t="shared" si="164"/>
        <v>-187.86584210895168</v>
      </c>
      <c r="X406" s="227" t="str">
        <f t="shared" si="153"/>
        <v>0.950905145634527-0.0598669453420146i</v>
      </c>
      <c r="Y406" s="227" t="str">
        <f t="shared" si="154"/>
        <v>1.83496944983042-35.3789565738899i</v>
      </c>
      <c r="Z406" s="227" t="str">
        <f t="shared" si="155"/>
        <v>-0.0684635273582413-6.19264239408614i</v>
      </c>
      <c r="AA406" s="227" t="str">
        <f t="shared" si="156"/>
        <v>-0.136354744949669-0.462682550404833i</v>
      </c>
      <c r="AB406" s="227">
        <f t="shared" si="165"/>
        <v>-6.3326379330756488</v>
      </c>
      <c r="AC406" s="227">
        <f t="shared" si="166"/>
        <v>-106.42049566060801</v>
      </c>
      <c r="AD406" s="229">
        <f t="shared" si="167"/>
        <v>-5.3627597001106677</v>
      </c>
      <c r="AE406" s="229">
        <f t="shared" si="168"/>
        <v>114.72927725561011</v>
      </c>
      <c r="AF406" s="227">
        <f t="shared" si="157"/>
        <v>-11.695397633186317</v>
      </c>
      <c r="AG406" s="227">
        <f t="shared" si="158"/>
        <v>8.3087815950021024</v>
      </c>
      <c r="AH406" s="229" t="str">
        <f t="shared" si="159"/>
        <v>0.225622457975053-0.489878880049278i</v>
      </c>
    </row>
    <row r="407" spans="2:34" x14ac:dyDescent="0.2">
      <c r="B407" s="220"/>
      <c r="I407" s="227">
        <v>403</v>
      </c>
      <c r="J407" s="227">
        <f t="shared" si="147"/>
        <v>4.9292993782937096</v>
      </c>
      <c r="K407" s="227">
        <f t="shared" si="169"/>
        <v>84976.605430811222</v>
      </c>
      <c r="L407" s="227">
        <f t="shared" si="160"/>
        <v>533923.75869687006</v>
      </c>
      <c r="M407" s="227">
        <f t="shared" si="148"/>
        <v>80322.102382058671</v>
      </c>
      <c r="N407" s="227">
        <f>SQRT((ABS(AC407)-171.5+'Small Signal'!C$59)^2)</f>
        <v>4.8777917603893854</v>
      </c>
      <c r="O407" s="227">
        <f t="shared" si="161"/>
        <v>7.8700340478127373</v>
      </c>
      <c r="P407" s="227">
        <f t="shared" si="162"/>
        <v>11.69111882717495</v>
      </c>
      <c r="Q407" s="227">
        <f t="shared" si="170"/>
        <v>84976.605430811222</v>
      </c>
      <c r="R407" s="227" t="str">
        <f t="shared" si="149"/>
        <v>0.0355+0.694100886305931i</v>
      </c>
      <c r="S407" s="227" t="str">
        <f t="shared" si="150"/>
        <v>0.018-0.00851330264183879i</v>
      </c>
      <c r="T407" s="227" t="str">
        <f t="shared" si="151"/>
        <v>0.0179607463741386-0.00846560168872109i</v>
      </c>
      <c r="U407" s="227" t="str">
        <f t="shared" si="152"/>
        <v>-0.415297088982298+0.0565155996998584i</v>
      </c>
      <c r="V407" s="227">
        <f t="shared" si="163"/>
        <v>-7.5531306614064508</v>
      </c>
      <c r="W407" s="227">
        <f t="shared" si="164"/>
        <v>-187.749478015162</v>
      </c>
      <c r="X407" s="227" t="str">
        <f t="shared" si="153"/>
        <v>0.948650499765022-0.0612261881481268i</v>
      </c>
      <c r="Y407" s="227" t="str">
        <f t="shared" si="154"/>
        <v>1.75454970018806-34.5970618379325i</v>
      </c>
      <c r="Z407" s="227" t="str">
        <f t="shared" si="155"/>
        <v>-0.0832596480240435-6.04146936231736i</v>
      </c>
      <c r="AA407" s="227" t="str">
        <f t="shared" si="156"/>
        <v>-0.138611082808398-0.471634915722082i</v>
      </c>
      <c r="AB407" s="227">
        <f t="shared" si="165"/>
        <v>-6.1680866080023931</v>
      </c>
      <c r="AC407" s="227">
        <f t="shared" si="166"/>
        <v>-106.37779176038939</v>
      </c>
      <c r="AD407" s="229">
        <f t="shared" si="167"/>
        <v>-5.5230322191725563</v>
      </c>
      <c r="AE407" s="229">
        <f t="shared" si="168"/>
        <v>114.24782580820212</v>
      </c>
      <c r="AF407" s="227">
        <f t="shared" si="157"/>
        <v>-11.69111882717495</v>
      </c>
      <c r="AG407" s="227">
        <f t="shared" si="158"/>
        <v>7.8700340478127373</v>
      </c>
      <c r="AH407" s="229" t="str">
        <f t="shared" si="159"/>
        <v>0.217448512348107-0.482766716818494i</v>
      </c>
    </row>
    <row r="408" spans="2:34" x14ac:dyDescent="0.2">
      <c r="B408" s="220"/>
      <c r="I408" s="227">
        <v>404</v>
      </c>
      <c r="J408" s="227">
        <f t="shared" si="147"/>
        <v>4.9390495008204933</v>
      </c>
      <c r="K408" s="227">
        <f t="shared" si="169"/>
        <v>86905.947891159303</v>
      </c>
      <c r="L408" s="227">
        <f t="shared" si="160"/>
        <v>546046.17489624687</v>
      </c>
      <c r="M408" s="227">
        <f t="shared" si="148"/>
        <v>82295.249396735933</v>
      </c>
      <c r="N408" s="227">
        <f>SQRT((ABS(AC408)-171.5+'Small Signal'!C$59)^2)</f>
        <v>4.8400617268356427</v>
      </c>
      <c r="O408" s="227">
        <f t="shared" si="161"/>
        <v>7.4332061113339165</v>
      </c>
      <c r="P408" s="227">
        <f t="shared" si="162"/>
        <v>11.685405104407536</v>
      </c>
      <c r="Q408" s="227">
        <f t="shared" si="170"/>
        <v>86905.947891159303</v>
      </c>
      <c r="R408" s="227" t="str">
        <f t="shared" si="149"/>
        <v>0.0355+0.709860027365121i</v>
      </c>
      <c r="S408" s="227" t="str">
        <f t="shared" si="150"/>
        <v>0.018-0.00832430434352595i</v>
      </c>
      <c r="T408" s="227" t="str">
        <f t="shared" si="151"/>
        <v>0.0179602533166298-0.00827766300777059i</v>
      </c>
      <c r="U408" s="227" t="str">
        <f t="shared" si="152"/>
        <v>-0.413187733691621+0.0553698385607933i</v>
      </c>
      <c r="V408" s="227">
        <f t="shared" si="163"/>
        <v>-7.5997541096194539</v>
      </c>
      <c r="W408" s="227">
        <f t="shared" si="164"/>
        <v>-187.63253545210191</v>
      </c>
      <c r="X408" s="227" t="str">
        <f t="shared" si="153"/>
        <v>0.946292310905878-0.0626162917405282i</v>
      </c>
      <c r="Y408" s="227" t="str">
        <f t="shared" si="154"/>
        <v>1.67764816377478-33.8322960145258i</v>
      </c>
      <c r="Z408" s="227" t="str">
        <f t="shared" si="155"/>
        <v>-0.0974084658807112-5.89328455274204i</v>
      </c>
      <c r="AA408" s="227" t="str">
        <f t="shared" si="156"/>
        <v>-0.140989292758869-0.480897321201969i</v>
      </c>
      <c r="AB408" s="227">
        <f t="shared" si="165"/>
        <v>-6.0008373964889632</v>
      </c>
      <c r="AC408" s="227">
        <f t="shared" si="166"/>
        <v>-106.34006172683564</v>
      </c>
      <c r="AD408" s="229">
        <f t="shared" si="167"/>
        <v>-5.684567707918573</v>
      </c>
      <c r="AE408" s="229">
        <f t="shared" si="168"/>
        <v>113.77326783816956</v>
      </c>
      <c r="AF408" s="227">
        <f t="shared" si="157"/>
        <v>-11.685405104407536</v>
      </c>
      <c r="AG408" s="227">
        <f t="shared" si="158"/>
        <v>7.4332061113339165</v>
      </c>
      <c r="AH408" s="229" t="str">
        <f t="shared" si="159"/>
        <v>0.209509730637424-0.47562303232911i</v>
      </c>
    </row>
    <row r="409" spans="2:34" x14ac:dyDescent="0.2">
      <c r="B409" s="220"/>
      <c r="I409" s="227">
        <v>405</v>
      </c>
      <c r="J409" s="227">
        <f t="shared" si="147"/>
        <v>4.9487996233472771</v>
      </c>
      <c r="K409" s="227">
        <f t="shared" si="169"/>
        <v>88879.094905836566</v>
      </c>
      <c r="L409" s="227">
        <f t="shared" si="160"/>
        <v>558443.82322777237</v>
      </c>
      <c r="M409" s="227">
        <f t="shared" si="148"/>
        <v>84313.195521669768</v>
      </c>
      <c r="N409" s="227">
        <f>SQRT((ABS(AC409)-171.5+'Small Signal'!C$59)^2)</f>
        <v>4.8076003431049514</v>
      </c>
      <c r="O409" s="227">
        <f t="shared" si="161"/>
        <v>6.9980419975738641</v>
      </c>
      <c r="P409" s="227">
        <f t="shared" si="162"/>
        <v>11.678233531997334</v>
      </c>
      <c r="Q409" s="227">
        <f t="shared" si="170"/>
        <v>88879.094905836566</v>
      </c>
      <c r="R409" s="227" t="str">
        <f t="shared" si="149"/>
        <v>0.0355+0.725976970196104i</v>
      </c>
      <c r="S409" s="227" t="str">
        <f t="shared" si="150"/>
        <v>0.018-0.00813950187358521i</v>
      </c>
      <c r="T409" s="227" t="str">
        <f t="shared" si="151"/>
        <v>0.0179597819081421-0.00809389658966264i</v>
      </c>
      <c r="U409" s="227" t="str">
        <f t="shared" si="152"/>
        <v>-0.411170591409984+0.0542424368020755i</v>
      </c>
      <c r="V409" s="227">
        <f t="shared" si="163"/>
        <v>-7.64462722887993</v>
      </c>
      <c r="W409" s="227">
        <f t="shared" si="164"/>
        <v>-187.51517638160053</v>
      </c>
      <c r="X409" s="227" t="str">
        <f t="shared" si="153"/>
        <v>0.943825823919781-0.0640379567947166i</v>
      </c>
      <c r="Y409" s="227" t="str">
        <f t="shared" si="154"/>
        <v>1.60411146390209-33.0842937230301i</v>
      </c>
      <c r="Z409" s="227" t="str">
        <f t="shared" si="155"/>
        <v>-0.110938200151766-5.74801697053772i</v>
      </c>
      <c r="AA409" s="227" t="str">
        <f t="shared" si="156"/>
        <v>-0.143496946903713-0.490479756548918i</v>
      </c>
      <c r="AB409" s="227">
        <f t="shared" si="165"/>
        <v>-5.8309040439085456</v>
      </c>
      <c r="AC409" s="227">
        <f t="shared" si="166"/>
        <v>-106.30760034310495</v>
      </c>
      <c r="AD409" s="229">
        <f t="shared" si="167"/>
        <v>-5.8473294880887883</v>
      </c>
      <c r="AE409" s="229">
        <f t="shared" si="168"/>
        <v>113.30564234067882</v>
      </c>
      <c r="AF409" s="227">
        <f t="shared" si="157"/>
        <v>-11.678233531997334</v>
      </c>
      <c r="AG409" s="227">
        <f t="shared" si="158"/>
        <v>6.9980419975738641</v>
      </c>
      <c r="AH409" s="229" t="str">
        <f t="shared" si="159"/>
        <v>0.201803767393498-0.468456114129689i</v>
      </c>
    </row>
    <row r="410" spans="2:34" x14ac:dyDescent="0.2">
      <c r="B410" s="220"/>
      <c r="I410" s="227">
        <v>406</v>
      </c>
      <c r="J410" s="227">
        <f t="shared" si="147"/>
        <v>4.9585497458740608</v>
      </c>
      <c r="K410" s="227">
        <f t="shared" si="169"/>
        <v>90897.041030770401</v>
      </c>
      <c r="L410" s="227">
        <f t="shared" si="160"/>
        <v>571122.95267063659</v>
      </c>
      <c r="M410" s="227">
        <f t="shared" si="148"/>
        <v>86376.957893578627</v>
      </c>
      <c r="N410" s="227">
        <f>SQRT((ABS(AC410)-171.5+'Small Signal'!C$59)^2)</f>
        <v>4.7807041781165509</v>
      </c>
      <c r="O410" s="227">
        <f t="shared" si="161"/>
        <v>6.5642754820350575</v>
      </c>
      <c r="P410" s="227">
        <f t="shared" si="162"/>
        <v>11.669578296743893</v>
      </c>
      <c r="Q410" s="227">
        <f t="shared" si="170"/>
        <v>90897.041030770401</v>
      </c>
      <c r="R410" s="227" t="str">
        <f t="shared" si="149"/>
        <v>0.0355+0.742459838471828i</v>
      </c>
      <c r="S410" s="227" t="str">
        <f t="shared" si="150"/>
        <v>0.018-0.00795880208315824i</v>
      </c>
      <c r="T410" s="227" t="str">
        <f t="shared" si="151"/>
        <v>0.0179593311981199-0.00791420981141492i</v>
      </c>
      <c r="U410" s="227" t="str">
        <f t="shared" si="152"/>
        <v>-0.409241647898588+0.0531334460411417i</v>
      </c>
      <c r="V410" s="227">
        <f t="shared" si="163"/>
        <v>-7.6878053360648479</v>
      </c>
      <c r="W410" s="227">
        <f t="shared" si="164"/>
        <v>-187.39755420576992</v>
      </c>
      <c r="X410" s="227" t="str">
        <f t="shared" si="153"/>
        <v>0.941246065293159-0.065491899894604i</v>
      </c>
      <c r="Y410" s="227" t="str">
        <f t="shared" si="154"/>
        <v>1.5337928641474-32.352696730656i</v>
      </c>
      <c r="Z410" s="227" t="str">
        <f t="shared" si="155"/>
        <v>-0.123875848340109-5.60559685181889i</v>
      </c>
      <c r="AA410" s="227" t="str">
        <f t="shared" si="156"/>
        <v>-0.14614217569456-0.500392776330369i</v>
      </c>
      <c r="AB410" s="227">
        <f t="shared" si="165"/>
        <v>-5.6582970231683181</v>
      </c>
      <c r="AC410" s="227">
        <f t="shared" si="166"/>
        <v>-106.28070417811655</v>
      </c>
      <c r="AD410" s="229">
        <f t="shared" si="167"/>
        <v>-6.0112812735755758</v>
      </c>
      <c r="AE410" s="229">
        <f t="shared" si="168"/>
        <v>112.84497966015161</v>
      </c>
      <c r="AF410" s="227">
        <f t="shared" si="157"/>
        <v>-11.669578296743893</v>
      </c>
      <c r="AG410" s="227">
        <f t="shared" si="158"/>
        <v>6.5642754820350575</v>
      </c>
      <c r="AH410" s="229" t="str">
        <f t="shared" si="159"/>
        <v>0.194327957239405-0.461273937015954i</v>
      </c>
    </row>
    <row r="411" spans="2:34" x14ac:dyDescent="0.2">
      <c r="B411" s="220"/>
      <c r="I411" s="227">
        <v>407</v>
      </c>
      <c r="J411" s="227">
        <f t="shared" si="147"/>
        <v>4.9682998684008446</v>
      </c>
      <c r="K411" s="227">
        <f t="shared" si="169"/>
        <v>92960.803402679259</v>
      </c>
      <c r="L411" s="227">
        <f t="shared" si="160"/>
        <v>584089.95408332441</v>
      </c>
      <c r="M411" s="227">
        <f t="shared" si="148"/>
        <v>88487.576742655583</v>
      </c>
      <c r="N411" s="227">
        <f>SQRT((ABS(AC411)-171.5+'Small Signal'!C$59)^2)</f>
        <v>4.7596724829409567</v>
      </c>
      <c r="O411" s="227">
        <f t="shared" si="161"/>
        <v>6.1316293404481996</v>
      </c>
      <c r="P411" s="227">
        <f t="shared" si="162"/>
        <v>11.659410579229309</v>
      </c>
      <c r="Q411" s="227">
        <f t="shared" si="170"/>
        <v>92960.803402679259</v>
      </c>
      <c r="R411" s="227" t="str">
        <f t="shared" si="149"/>
        <v>0.0355+0.759316940308322i</v>
      </c>
      <c r="S411" s="227" t="str">
        <f t="shared" si="150"/>
        <v>0.018-0.00778211389132387i</v>
      </c>
      <c r="T411" s="227" t="str">
        <f t="shared" si="151"/>
        <v>0.0179589002777437-0.00773851210613096i</v>
      </c>
      <c r="U411" s="227" t="str">
        <f t="shared" si="152"/>
        <v>-0.407397062210879+0.0520428870245698i</v>
      </c>
      <c r="V411" s="227">
        <f t="shared" si="163"/>
        <v>-7.7293427484111135</v>
      </c>
      <c r="W411" s="227">
        <f t="shared" si="164"/>
        <v>-187.27981392769911</v>
      </c>
      <c r="X411" s="227" t="str">
        <f t="shared" si="153"/>
        <v>0.938547833107402-0.0669788538937067i</v>
      </c>
      <c r="Y411" s="227" t="str">
        <f t="shared" si="154"/>
        <v>1.46655198483857-31.6371538559236i</v>
      </c>
      <c r="Z411" s="227" t="str">
        <f t="shared" si="155"/>
        <v>-0.136247238391259-5.46595564393071i</v>
      </c>
      <c r="AA411" s="227" t="str">
        <f t="shared" si="156"/>
        <v>-0.148933718037342-0.510647537123455i</v>
      </c>
      <c r="AB411" s="227">
        <f t="shared" si="165"/>
        <v>-5.4830233606781489</v>
      </c>
      <c r="AC411" s="227">
        <f t="shared" si="166"/>
        <v>-106.25967248294096</v>
      </c>
      <c r="AD411" s="229">
        <f t="shared" si="167"/>
        <v>-6.1763872185511595</v>
      </c>
      <c r="AE411" s="229">
        <f t="shared" si="168"/>
        <v>112.39130182338916</v>
      </c>
      <c r="AF411" s="227">
        <f t="shared" si="157"/>
        <v>-11.659410579229309</v>
      </c>
      <c r="AG411" s="227">
        <f t="shared" si="158"/>
        <v>6.1316293404481996</v>
      </c>
      <c r="AH411" s="229" t="str">
        <f t="shared" si="159"/>
        <v>0.187079341607239-0.454084155094088i</v>
      </c>
    </row>
    <row r="412" spans="2:34" x14ac:dyDescent="0.2">
      <c r="B412" s="220"/>
      <c r="I412" s="227">
        <v>408</v>
      </c>
      <c r="J412" s="227">
        <f t="shared" si="147"/>
        <v>4.9780499909276275</v>
      </c>
      <c r="K412" s="227">
        <f t="shared" si="169"/>
        <v>95071.422251756216</v>
      </c>
      <c r="L412" s="227">
        <f t="shared" si="160"/>
        <v>597351.36342490104</v>
      </c>
      <c r="M412" s="227">
        <f t="shared" si="148"/>
        <v>90646.115916891329</v>
      </c>
      <c r="N412" s="227">
        <f>SQRT((ABS(AC412)-171.5+'Small Signal'!C$59)^2)</f>
        <v>4.7448081768643249</v>
      </c>
      <c r="O412" s="227">
        <f t="shared" si="161"/>
        <v>5.6998147028667034</v>
      </c>
      <c r="P412" s="227">
        <f t="shared" si="162"/>
        <v>11.64769841951982</v>
      </c>
      <c r="Q412" s="227">
        <f t="shared" si="170"/>
        <v>95071.422251756216</v>
      </c>
      <c r="R412" s="227" t="str">
        <f t="shared" si="149"/>
        <v>0.0355+0.776556772452371i</v>
      </c>
      <c r="S412" s="227" t="str">
        <f t="shared" si="150"/>
        <v>0.018-0.00760934823918923i</v>
      </c>
      <c r="T412" s="227" t="str">
        <f t="shared" si="151"/>
        <v>0.017958488278098-0.00756671491736579i</v>
      </c>
      <c r="U412" s="227" t="str">
        <f t="shared" si="152"/>
        <v>-0.405633159336958+0.0509707522299839i</v>
      </c>
      <c r="V412" s="227">
        <f t="shared" si="163"/>
        <v>-7.769292746788877</v>
      </c>
      <c r="W412" s="227">
        <f t="shared" si="164"/>
        <v>-187.16209233122123</v>
      </c>
      <c r="X412" s="227" t="str">
        <f t="shared" si="153"/>
        <v>0.935725686549534-0.0684995682845373i</v>
      </c>
      <c r="Y412" s="227" t="str">
        <f t="shared" si="154"/>
        <v>1.40225453130412-30.9373208702831i</v>
      </c>
      <c r="Z412" s="227" t="str">
        <f t="shared" si="155"/>
        <v>-0.148077078691873-5.3290259853613i</v>
      </c>
      <c r="AA412" s="227" t="str">
        <f t="shared" si="156"/>
        <v>-0.151880976733911-0.521255837573004i</v>
      </c>
      <c r="AB412" s="227">
        <f t="shared" si="165"/>
        <v>-5.3050864580845563</v>
      </c>
      <c r="AC412" s="227">
        <f t="shared" si="166"/>
        <v>-106.24480817686432</v>
      </c>
      <c r="AD412" s="229">
        <f t="shared" si="167"/>
        <v>-6.3426119614352627</v>
      </c>
      <c r="AE412" s="229">
        <f t="shared" si="168"/>
        <v>111.94462287973103</v>
      </c>
      <c r="AF412" s="227">
        <f t="shared" si="157"/>
        <v>-11.64769841951982</v>
      </c>
      <c r="AG412" s="227">
        <f t="shared" si="158"/>
        <v>5.6998147028667034</v>
      </c>
      <c r="AH412" s="229" t="str">
        <f t="shared" si="159"/>
        <v>0.180054695008648-0.446894095877757i</v>
      </c>
    </row>
    <row r="413" spans="2:34" x14ac:dyDescent="0.2">
      <c r="B413" s="220"/>
      <c r="I413" s="227">
        <v>409</v>
      </c>
      <c r="J413" s="227">
        <f t="shared" si="147"/>
        <v>4.9878001134544103</v>
      </c>
      <c r="K413" s="227">
        <f t="shared" si="169"/>
        <v>97229.961425991962</v>
      </c>
      <c r="L413" s="227">
        <f t="shared" si="160"/>
        <v>610913.86504943063</v>
      </c>
      <c r="M413" s="227">
        <f t="shared" si="148"/>
        <v>92853.663418302123</v>
      </c>
      <c r="N413" s="227">
        <f>SQRT((ABS(AC413)-171.5+'Small Signal'!C$59)^2)</f>
        <v>4.7364189283541549</v>
      </c>
      <c r="O413" s="227">
        <f t="shared" si="161"/>
        <v>5.2685303178528216</v>
      </c>
      <c r="P413" s="227">
        <f t="shared" si="162"/>
        <v>11.634406573716529</v>
      </c>
      <c r="Q413" s="227">
        <f t="shared" si="170"/>
        <v>97229.961425991962</v>
      </c>
      <c r="R413" s="227" t="str">
        <f t="shared" si="149"/>
        <v>0.0355+0.79418802456426i</v>
      </c>
      <c r="S413" s="227" t="str">
        <f t="shared" si="150"/>
        <v>0.018-0.00744041804500009i</v>
      </c>
      <c r="T413" s="227" t="str">
        <f t="shared" si="151"/>
        <v>0.0179580943684189-0.00739873165450421i</v>
      </c>
      <c r="U413" s="227" t="str">
        <f t="shared" si="152"/>
        <v>-0.403946423149354+0.0499170082874517i</v>
      </c>
      <c r="V413" s="227">
        <f t="shared" si="163"/>
        <v>-7.8077075436509453</v>
      </c>
      <c r="W413" s="227">
        <f t="shared" si="164"/>
        <v>-187.04451817732246</v>
      </c>
      <c r="X413" s="227" t="str">
        <f t="shared" si="153"/>
        <v>0.932773934941156-0.0700548095763828i</v>
      </c>
      <c r="Y413" s="227" t="str">
        <f t="shared" si="154"/>
        <v>1.34077203342454-30.252860398191i</v>
      </c>
      <c r="Z413" s="227" t="str">
        <f t="shared" si="155"/>
        <v>-0.15938900598896-5.19474168532542i</v>
      </c>
      <c r="AA413" s="227" t="str">
        <f t="shared" si="156"/>
        <v>-0.15499407991713-0.532230161595979i</v>
      </c>
      <c r="AB413" s="227">
        <f t="shared" si="165"/>
        <v>-5.1244859089317849</v>
      </c>
      <c r="AC413" s="227">
        <f t="shared" si="166"/>
        <v>-106.23641892835415</v>
      </c>
      <c r="AD413" s="229">
        <f t="shared" si="167"/>
        <v>-6.509920664784743</v>
      </c>
      <c r="AE413" s="229">
        <f t="shared" si="168"/>
        <v>111.50494924620698</v>
      </c>
      <c r="AF413" s="227">
        <f t="shared" si="157"/>
        <v>-11.634406573716529</v>
      </c>
      <c r="AG413" s="227">
        <f t="shared" si="158"/>
        <v>5.2685303178528216</v>
      </c>
      <c r="AH413" s="229" t="str">
        <f t="shared" si="159"/>
        <v>0.173250550707637-0.439710756295649i</v>
      </c>
    </row>
    <row r="414" spans="2:34" x14ac:dyDescent="0.2">
      <c r="B414" s="220"/>
      <c r="I414" s="227">
        <v>410</v>
      </c>
      <c r="J414" s="227">
        <f t="shared" si="147"/>
        <v>4.9975502359811941</v>
      </c>
      <c r="K414" s="227">
        <f t="shared" si="169"/>
        <v>99437.508927402756</v>
      </c>
      <c r="L414" s="227">
        <f t="shared" si="160"/>
        <v>624784.29507519596</v>
      </c>
      <c r="M414" s="227">
        <f t="shared" si="148"/>
        <v>95111.331951332308</v>
      </c>
      <c r="N414" s="227">
        <f>SQRT((ABS(AC414)-171.5+'Small Signal'!C$59)^2)</f>
        <v>4.7348183372251498</v>
      </c>
      <c r="O414" s="227">
        <f t="shared" si="161"/>
        <v>4.8374617185508271</v>
      </c>
      <c r="P414" s="227">
        <f t="shared" si="162"/>
        <v>11.619496360545927</v>
      </c>
      <c r="Q414" s="227">
        <f t="shared" si="170"/>
        <v>99437.508927402756</v>
      </c>
      <c r="R414" s="227" t="str">
        <f t="shared" si="149"/>
        <v>0.0355+0.812219583597755i</v>
      </c>
      <c r="S414" s="227" t="str">
        <f t="shared" si="150"/>
        <v>0.018-0.00727523816024774i</v>
      </c>
      <c r="T414" s="227" t="str">
        <f t="shared" si="151"/>
        <v>0.0179577177544192-0.00723447764912864i</v>
      </c>
      <c r="U414" s="227" t="str">
        <f t="shared" si="152"/>
        <v>-0.402333489638771+0.0488815982320992i</v>
      </c>
      <c r="V414" s="227">
        <f t="shared" si="163"/>
        <v>-7.8446382554939955</v>
      </c>
      <c r="W414" s="227">
        <f t="shared" si="164"/>
        <v>-186.92721241485211</v>
      </c>
      <c r="X414" s="227" t="str">
        <f t="shared" si="153"/>
        <v>0.929686626263557-0.0716453616816602i</v>
      </c>
      <c r="Y414" s="227" t="str">
        <f t="shared" si="154"/>
        <v>1.28198159604827-29.5834418159106i</v>
      </c>
      <c r="Z414" s="227" t="str">
        <f t="shared" si="155"/>
        <v>-0.170205631310132-5.0630377030682i</v>
      </c>
      <c r="AA414" s="227" t="str">
        <f t="shared" si="156"/>
        <v>-0.158283949228142-0.543583724984523i</v>
      </c>
      <c r="AB414" s="227">
        <f t="shared" si="165"/>
        <v>-4.9412173093370546</v>
      </c>
      <c r="AC414" s="227">
        <f t="shared" si="166"/>
        <v>-106.23481833722515</v>
      </c>
      <c r="AD414" s="229">
        <f t="shared" si="167"/>
        <v>-6.6782790512088717</v>
      </c>
      <c r="AE414" s="229">
        <f t="shared" si="168"/>
        <v>111.07228005577598</v>
      </c>
      <c r="AF414" s="227">
        <f t="shared" si="157"/>
        <v>-11.619496360545927</v>
      </c>
      <c r="AG414" s="227">
        <f t="shared" si="158"/>
        <v>4.8374617185508271</v>
      </c>
      <c r="AH414" s="229" t="str">
        <f t="shared" si="159"/>
        <v>0.166663225680818-0.432540800481213i</v>
      </c>
    </row>
    <row r="415" spans="2:34" x14ac:dyDescent="0.2">
      <c r="B415" s="220"/>
      <c r="I415" s="227">
        <v>411</v>
      </c>
      <c r="J415" s="227">
        <f t="shared" si="147"/>
        <v>5.0073003585079769</v>
      </c>
      <c r="K415" s="227">
        <f t="shared" si="169"/>
        <v>101695.17746043294</v>
      </c>
      <c r="L415" s="227">
        <f t="shared" si="160"/>
        <v>638969.64483041293</v>
      </c>
      <c r="M415" s="227">
        <f t="shared" si="148"/>
        <v>97420.259483708258</v>
      </c>
      <c r="N415" s="227">
        <f>SQRT((ABS(AC415)-171.5+'Small Signal'!C$59)^2)</f>
        <v>4.740327225502071</v>
      </c>
      <c r="O415" s="227">
        <f t="shared" si="161"/>
        <v>4.4062802813754587</v>
      </c>
      <c r="P415" s="227">
        <f t="shared" si="162"/>
        <v>11.602925497123177</v>
      </c>
      <c r="Q415" s="227">
        <f t="shared" si="170"/>
        <v>101695.17746043294</v>
      </c>
      <c r="R415" s="227" t="str">
        <f t="shared" si="149"/>
        <v>0.0355+0.830660538279537i</v>
      </c>
      <c r="S415" s="227" t="str">
        <f t="shared" si="150"/>
        <v>0.018-0.00711372532674997i</v>
      </c>
      <c r="T415" s="227" t="str">
        <f t="shared" si="151"/>
        <v>0.0179573576766869-0.00707387011235488i</v>
      </c>
      <c r="U415" s="227" t="str">
        <f t="shared" si="152"/>
        <v>-0.400791140428781+0.0478644435990413i</v>
      </c>
      <c r="V415" s="227">
        <f t="shared" si="163"/>
        <v>-7.8801348796531903</v>
      </c>
      <c r="W415" s="227">
        <f t="shared" si="164"/>
        <v>-186.81028840332417</v>
      </c>
      <c r="X415" s="227" t="str">
        <f t="shared" si="153"/>
        <v>0.926457535155847-0.0732720263110441i</v>
      </c>
      <c r="Y415" s="227" t="str">
        <f t="shared" si="154"/>
        <v>1.22576565983935-28.9287411492929i</v>
      </c>
      <c r="Z415" s="227" t="str">
        <f t="shared" si="155"/>
        <v>-0.180548583964595-4.93385012693471i</v>
      </c>
      <c r="AA415" s="227" t="str">
        <f t="shared" si="156"/>
        <v>-0.161762375590031-0.555330525677051i</v>
      </c>
      <c r="AB415" s="227">
        <f t="shared" si="165"/>
        <v>-4.7552720616921391</v>
      </c>
      <c r="AC415" s="227">
        <f t="shared" si="166"/>
        <v>-106.24032722550207</v>
      </c>
      <c r="AD415" s="229">
        <f t="shared" si="167"/>
        <v>-6.847653435431039</v>
      </c>
      <c r="AE415" s="229">
        <f t="shared" si="168"/>
        <v>110.64660750687753</v>
      </c>
      <c r="AF415" s="227">
        <f t="shared" si="157"/>
        <v>-11.602925497123177</v>
      </c>
      <c r="AG415" s="227">
        <f t="shared" si="158"/>
        <v>4.4062802813754587</v>
      </c>
      <c r="AH415" s="229" t="str">
        <f t="shared" si="159"/>
        <v>0.160288844766788-0.425390559213197i</v>
      </c>
    </row>
    <row r="416" spans="2:34" x14ac:dyDescent="0.2">
      <c r="B416" s="220"/>
      <c r="I416" s="227">
        <v>412</v>
      </c>
      <c r="J416" s="227">
        <f t="shared" si="147"/>
        <v>5.0170504810347607</v>
      </c>
      <c r="K416" s="227">
        <f t="shared" si="169"/>
        <v>104004.10499280889</v>
      </c>
      <c r="L416" s="227">
        <f t="shared" si="160"/>
        <v>653477.06437717983</v>
      </c>
      <c r="M416" s="227">
        <f t="shared" si="148"/>
        <v>99781.6098200251</v>
      </c>
      <c r="N416" s="227">
        <f>SQRT((ABS(AC416)-171.5+'Small Signal'!C$59)^2)</f>
        <v>4.7532750458591124</v>
      </c>
      <c r="O416" s="227">
        <f t="shared" si="161"/>
        <v>3.9746421667996827</v>
      </c>
      <c r="P416" s="227">
        <f t="shared" si="162"/>
        <v>11.584647922950577</v>
      </c>
      <c r="Q416" s="227">
        <f t="shared" si="170"/>
        <v>104004.10499280889</v>
      </c>
      <c r="R416" s="227" t="str">
        <f t="shared" si="149"/>
        <v>0.0355+0.849520183690334i</v>
      </c>
      <c r="S416" s="227" t="str">
        <f t="shared" si="150"/>
        <v>0.018-0.00695579813468548i</v>
      </c>
      <c r="T416" s="227" t="str">
        <f t="shared" si="151"/>
        <v>0.0179570134091536-0.00691682809311486i</v>
      </c>
      <c r="U416" s="227" t="str">
        <f t="shared" si="152"/>
        <v>-0.399316296558705+0.0468654463709486i</v>
      </c>
      <c r="V416" s="227">
        <f t="shared" si="163"/>
        <v>-7.914246275242327</v>
      </c>
      <c r="W416" s="227">
        <f t="shared" si="164"/>
        <v>-186.69385214571321</v>
      </c>
      <c r="X416" s="227" t="str">
        <f t="shared" si="153"/>
        <v>0.923080150361918-0.0749356233775655i</v>
      </c>
      <c r="Y416" s="227" t="str">
        <f t="shared" si="154"/>
        <v>1.17201177214581-28.2884409707576i</v>
      </c>
      <c r="Z416" s="227" t="str">
        <f t="shared" si="155"/>
        <v>-0.190438553700351-4.80711615324512i</v>
      </c>
      <c r="AA416" s="227" t="str">
        <f t="shared" si="156"/>
        <v>-0.165442103554457-0.567485397984338i</v>
      </c>
      <c r="AB416" s="227">
        <f t="shared" si="165"/>
        <v>-4.5666371703214859</v>
      </c>
      <c r="AC416" s="227">
        <f t="shared" si="166"/>
        <v>-106.25327504585911</v>
      </c>
      <c r="AD416" s="229">
        <f t="shared" si="167"/>
        <v>-7.01801075262909</v>
      </c>
      <c r="AE416" s="229">
        <f t="shared" si="168"/>
        <v>110.2279172126588</v>
      </c>
      <c r="AF416" s="227">
        <f t="shared" si="157"/>
        <v>-11.584647922950577</v>
      </c>
      <c r="AG416" s="227">
        <f t="shared" si="158"/>
        <v>3.9746421667996827</v>
      </c>
      <c r="AH416" s="229" t="str">
        <f t="shared" si="159"/>
        <v>0.154123363922235-0.418266030874351i</v>
      </c>
    </row>
    <row r="417" spans="2:34" x14ac:dyDescent="0.2">
      <c r="B417" s="220"/>
      <c r="I417" s="227">
        <v>413</v>
      </c>
      <c r="J417" s="227">
        <f t="shared" si="147"/>
        <v>5.0268006035615445</v>
      </c>
      <c r="K417" s="227">
        <f t="shared" si="169"/>
        <v>106365.45532912573</v>
      </c>
      <c r="L417" s="227">
        <f t="shared" si="160"/>
        <v>668313.86611542944</v>
      </c>
      <c r="M417" s="227">
        <f t="shared" si="148"/>
        <v>102196.57318835863</v>
      </c>
      <c r="N417" s="227">
        <f>SQRT((ABS(AC417)-171.5+'Small Signal'!C$59)^2)</f>
        <v>4.7740014180553345</v>
      </c>
      <c r="O417" s="227">
        <f t="shared" si="161"/>
        <v>3.5421871303223753</v>
      </c>
      <c r="P417" s="227">
        <f t="shared" si="162"/>
        <v>11.564613611152573</v>
      </c>
      <c r="Q417" s="227">
        <f t="shared" si="170"/>
        <v>106365.45532912573</v>
      </c>
      <c r="R417" s="227" t="str">
        <f t="shared" si="149"/>
        <v>0.0355+0.868808025950058i</v>
      </c>
      <c r="S417" s="227" t="str">
        <f t="shared" si="150"/>
        <v>0.018-0.00680137698155956i</v>
      </c>
      <c r="T417" s="227" t="str">
        <f t="shared" si="151"/>
        <v>0.017956684257631-0.00676327243736463i</v>
      </c>
      <c r="U417" s="227" t="str">
        <f t="shared" si="152"/>
        <v>-0.397906012524373+0.0458844907879231i</v>
      </c>
      <c r="V417" s="227">
        <f t="shared" si="163"/>
        <v>-7.9470201480405658</v>
      </c>
      <c r="W417" s="227">
        <f t="shared" si="164"/>
        <v>-186.57800252927549</v>
      </c>
      <c r="X417" s="227" t="str">
        <f t="shared" si="153"/>
        <v>0.919547661600909-0.0766369914098846i</v>
      </c>
      <c r="Y417" s="227" t="str">
        <f t="shared" si="154"/>
        <v>1.12061236748853-27.6622302957008i</v>
      </c>
      <c r="Z417" s="227" t="str">
        <f t="shared" si="155"/>
        <v>-0.199895331091442-4.68277406501562i</v>
      </c>
      <c r="AA417" s="227" t="str">
        <f t="shared" si="156"/>
        <v>-0.169336925339231-0.58006407107407i</v>
      </c>
      <c r="AB417" s="227">
        <f t="shared" si="165"/>
        <v>-4.3752950279511928</v>
      </c>
      <c r="AC417" s="227">
        <f t="shared" si="166"/>
        <v>-106.27400141805533</v>
      </c>
      <c r="AD417" s="229">
        <f t="shared" si="167"/>
        <v>-7.1893185832013806</v>
      </c>
      <c r="AE417" s="229">
        <f t="shared" si="168"/>
        <v>109.81618854837771</v>
      </c>
      <c r="AF417" s="227">
        <f t="shared" si="157"/>
        <v>-11.564613611152573</v>
      </c>
      <c r="AG417" s="227">
        <f t="shared" si="158"/>
        <v>3.5421871303223753</v>
      </c>
      <c r="AH417" s="229" t="str">
        <f t="shared" si="159"/>
        <v>0.148162592517367-0.411172883795666i</v>
      </c>
    </row>
    <row r="418" spans="2:34" x14ac:dyDescent="0.2">
      <c r="B418" s="220"/>
      <c r="I418" s="227">
        <v>414</v>
      </c>
      <c r="J418" s="227">
        <f t="shared" si="147"/>
        <v>5.0365507260883282</v>
      </c>
      <c r="K418" s="227">
        <f t="shared" si="169"/>
        <v>108780.41869745926</v>
      </c>
      <c r="L418" s="227">
        <f t="shared" si="160"/>
        <v>683487.52846871957</v>
      </c>
      <c r="M418" s="227">
        <f t="shared" si="148"/>
        <v>104666.36684019279</v>
      </c>
      <c r="N418" s="227">
        <f>SQRT((ABS(AC418)-171.5+'Small Signal'!C$59)^2)</f>
        <v>4.8028578055803877</v>
      </c>
      <c r="O418" s="227">
        <f t="shared" si="161"/>
        <v>3.108537190038021</v>
      </c>
      <c r="P418" s="227">
        <f t="shared" si="162"/>
        <v>11.542768365865689</v>
      </c>
      <c r="Q418" s="227">
        <f t="shared" si="170"/>
        <v>108780.41869745926</v>
      </c>
      <c r="R418" s="227" t="str">
        <f t="shared" si="149"/>
        <v>0.0355+0.888533787009335i</v>
      </c>
      <c r="S418" s="227" t="str">
        <f t="shared" si="150"/>
        <v>0.018-0.00665038403208052i</v>
      </c>
      <c r="T418" s="227" t="str">
        <f t="shared" si="151"/>
        <v>0.0179563695584104-0.00661312574819724i</v>
      </c>
      <c r="U418" s="227" t="str">
        <f t="shared" si="152"/>
        <v>-0.396557470566669+0.0449214450287826i</v>
      </c>
      <c r="V418" s="227">
        <f t="shared" si="163"/>
        <v>-7.9785030391225922</v>
      </c>
      <c r="W418" s="227">
        <f t="shared" si="164"/>
        <v>-186.46283157256502</v>
      </c>
      <c r="X418" s="227" t="str">
        <f t="shared" si="153"/>
        <v>0.915852945834706-0.0783769879749487i</v>
      </c>
      <c r="Y418" s="227" t="str">
        <f t="shared" si="154"/>
        <v>1.07146455728628-27.0498044785111i</v>
      </c>
      <c r="Z418" s="227" t="str">
        <f t="shared" si="155"/>
        <v>-0.208937846225771-4.5607632105576i</v>
      </c>
      <c r="AA418" s="227" t="str">
        <f t="shared" si="156"/>
        <v>-0.173461785839622-0.593083232033272i</v>
      </c>
      <c r="AB418" s="227">
        <f t="shared" si="165"/>
        <v>-4.1812231917530438</v>
      </c>
      <c r="AC418" s="227">
        <f t="shared" si="166"/>
        <v>-106.30285780558039</v>
      </c>
      <c r="AD418" s="229">
        <f t="shared" si="167"/>
        <v>-7.3615451741126448</v>
      </c>
      <c r="AE418" s="229">
        <f t="shared" si="168"/>
        <v>109.41139499561841</v>
      </c>
      <c r="AF418" s="227">
        <f t="shared" si="157"/>
        <v>-11.542768365865689</v>
      </c>
      <c r="AG418" s="227">
        <f t="shared" si="158"/>
        <v>3.108537190038021</v>
      </c>
      <c r="AH418" s="229" t="str">
        <f t="shared" si="159"/>
        <v>0.14240221461746-0.404116459855161i</v>
      </c>
    </row>
    <row r="419" spans="2:34" x14ac:dyDescent="0.2">
      <c r="B419" s="220"/>
      <c r="I419" s="227">
        <v>415</v>
      </c>
      <c r="J419" s="227">
        <f t="shared" si="147"/>
        <v>5.0463008486151111</v>
      </c>
      <c r="K419" s="227">
        <f t="shared" si="169"/>
        <v>111250.21234929342</v>
      </c>
      <c r="L419" s="227">
        <f t="shared" si="160"/>
        <v>699005.6996536894</v>
      </c>
      <c r="M419" s="227">
        <f t="shared" si="148"/>
        <v>107192.23566397153</v>
      </c>
      <c r="N419" s="227">
        <f>SQRT((ABS(AC419)-171.5+'Small Signal'!C$59)^2)</f>
        <v>4.8402093467185949</v>
      </c>
      <c r="O419" s="227">
        <f t="shared" si="161"/>
        <v>2.6732951353724417</v>
      </c>
      <c r="P419" s="227">
        <f t="shared" si="162"/>
        <v>11.519053604630152</v>
      </c>
      <c r="Q419" s="227">
        <f t="shared" si="170"/>
        <v>111250.21234929342</v>
      </c>
      <c r="R419" s="227" t="str">
        <f t="shared" si="149"/>
        <v>0.0355+0.908707409549796i</v>
      </c>
      <c r="S419" s="227" t="str">
        <f t="shared" si="150"/>
        <v>0.018-0.00650274317892759i</v>
      </c>
      <c r="T419" s="227" t="str">
        <f t="shared" si="151"/>
        <v>0.0179560686769252-0.00646631234684128i</v>
      </c>
      <c r="U419" s="227" t="str">
        <f t="shared" si="152"/>
        <v>-0.39526797519821+0.0439761627722024i</v>
      </c>
      <c r="V419" s="227">
        <f t="shared" si="163"/>
        <v>-8.0087403170222693</v>
      </c>
      <c r="W419" s="227">
        <f t="shared" si="164"/>
        <v>-186.34842467693599</v>
      </c>
      <c r="X419" s="227" t="str">
        <f t="shared" si="153"/>
        <v>0.911988552904797-0.0801564901102437i</v>
      </c>
      <c r="Y419" s="227" t="str">
        <f t="shared" si="154"/>
        <v>1.02446992844564-26.4508651083866i</v>
      </c>
      <c r="Z419" s="227" t="str">
        <f t="shared" si="155"/>
        <v>-0.217584205761958-4.44102398198949i</v>
      </c>
      <c r="AA419" s="227" t="str">
        <f t="shared" si="156"/>
        <v>-0.177832900087225-0.606560593841212i</v>
      </c>
      <c r="AB419" s="227">
        <f t="shared" si="165"/>
        <v>-3.9843941476470772</v>
      </c>
      <c r="AC419" s="227">
        <f t="shared" si="166"/>
        <v>-106.34020934671859</v>
      </c>
      <c r="AD419" s="229">
        <f t="shared" si="167"/>
        <v>-7.5346594569830749</v>
      </c>
      <c r="AE419" s="229">
        <f t="shared" si="168"/>
        <v>109.01350448209104</v>
      </c>
      <c r="AF419" s="227">
        <f t="shared" si="157"/>
        <v>-11.519053604630152</v>
      </c>
      <c r="AG419" s="227">
        <f t="shared" si="158"/>
        <v>2.6732951353724417</v>
      </c>
      <c r="AH419" s="229" t="str">
        <f t="shared" si="159"/>
        <v>0.136837809210479-0.397101779202812i</v>
      </c>
    </row>
    <row r="420" spans="2:34" x14ac:dyDescent="0.2">
      <c r="B420" s="220"/>
      <c r="I420" s="227">
        <v>416</v>
      </c>
      <c r="J420" s="227">
        <f t="shared" si="147"/>
        <v>5.0560509711418948</v>
      </c>
      <c r="K420" s="227">
        <f t="shared" si="169"/>
        <v>113776.08117307216</v>
      </c>
      <c r="L420" s="227">
        <f t="shared" si="160"/>
        <v>714876.20153511898</v>
      </c>
      <c r="M420" s="227">
        <f t="shared" si="148"/>
        <v>109775.45281257736</v>
      </c>
      <c r="N420" s="227">
        <f>SQRT((ABS(AC420)-171.5+'Small Signal'!C$59)^2)</f>
        <v>4.8864368565664051</v>
      </c>
      <c r="O420" s="227">
        <f t="shared" si="161"/>
        <v>2.2360428593498227</v>
      </c>
      <c r="P420" s="227">
        <f t="shared" si="162"/>
        <v>11.49340612453882</v>
      </c>
      <c r="Q420" s="227">
        <f t="shared" si="170"/>
        <v>113776.08117307216</v>
      </c>
      <c r="R420" s="227" t="str">
        <f t="shared" si="149"/>
        <v>0.0355+0.929339061995655i</v>
      </c>
      <c r="S420" s="227" t="str">
        <f t="shared" si="150"/>
        <v>0.018-0.00635838000438912i</v>
      </c>
      <c r="T420" s="227" t="str">
        <f t="shared" si="151"/>
        <v>0.017955781006471-0.0063227582345241i</v>
      </c>
      <c r="U420" s="227" t="str">
        <f t="shared" si="152"/>
        <v>-0.394034947958732+0.0430484846457028i</v>
      </c>
      <c r="V420" s="227">
        <f t="shared" si="163"/>
        <v>-8.0377761732192248</v>
      </c>
      <c r="W420" s="227">
        <f t="shared" si="164"/>
        <v>-186.23486088096948</v>
      </c>
      <c r="X420" s="227" t="str">
        <f t="shared" si="153"/>
        <v>0.907946690509501-0.0819763947658619i</v>
      </c>
      <c r="Y420" s="227" t="str">
        <f t="shared" si="154"/>
        <v>0.979534350456989-25.8651199051077i</v>
      </c>
      <c r="Z420" s="227" t="str">
        <f t="shared" si="155"/>
        <v>-0.225851728421132-4.32349779368833i</v>
      </c>
      <c r="AA420" s="227" t="str">
        <f t="shared" si="156"/>
        <v>-0.182467884853636-0.620514968595789i</v>
      </c>
      <c r="AB420" s="227">
        <f t="shared" si="165"/>
        <v>-3.7847750614516737</v>
      </c>
      <c r="AC420" s="227">
        <f t="shared" si="166"/>
        <v>-106.38643685656641</v>
      </c>
      <c r="AD420" s="229">
        <f t="shared" si="167"/>
        <v>-7.7086310630871466</v>
      </c>
      <c r="AE420" s="229">
        <f t="shared" si="168"/>
        <v>108.62247971591623</v>
      </c>
      <c r="AF420" s="227">
        <f t="shared" si="157"/>
        <v>-11.49340612453882</v>
      </c>
      <c r="AG420" s="227">
        <f t="shared" si="158"/>
        <v>2.2360428593498227</v>
      </c>
      <c r="AH420" s="229" t="str">
        <f t="shared" si="159"/>
        <v>0.131464869352903-0.390133545987019i</v>
      </c>
    </row>
    <row r="421" spans="2:34" x14ac:dyDescent="0.2">
      <c r="B421" s="220"/>
      <c r="I421" s="227">
        <v>417</v>
      </c>
      <c r="J421" s="227">
        <f t="shared" si="147"/>
        <v>5.0658010936686777</v>
      </c>
      <c r="K421" s="227">
        <f t="shared" si="169"/>
        <v>116359.298321678</v>
      </c>
      <c r="L421" s="227">
        <f t="shared" si="160"/>
        <v>731107.03356849344</v>
      </c>
      <c r="M421" s="227">
        <f t="shared" si="148"/>
        <v>112417.32034506089</v>
      </c>
      <c r="N421" s="227">
        <f>SQRT((ABS(AC421)-171.5+'Small Signal'!C$59)^2)</f>
        <v>4.9419390191605714</v>
      </c>
      <c r="O421" s="227">
        <f t="shared" si="161"/>
        <v>1.7963394942646431</v>
      </c>
      <c r="P421" s="227">
        <f t="shared" si="162"/>
        <v>11.46575785081475</v>
      </c>
      <c r="Q421" s="227">
        <f t="shared" si="170"/>
        <v>116359.298321678</v>
      </c>
      <c r="R421" s="227" t="str">
        <f t="shared" si="149"/>
        <v>0.0355+0.950439143639041i</v>
      </c>
      <c r="S421" s="227" t="str">
        <f t="shared" si="150"/>
        <v>0.018-0.00621722174285264i</v>
      </c>
      <c r="T421" s="227" t="str">
        <f t="shared" si="151"/>
        <v>0.0179555059669821-0.00618239105518153i</v>
      </c>
      <c r="U421" s="227" t="str">
        <f t="shared" si="152"/>
        <v>-0.392855922390174+0.0421382395698895i</v>
      </c>
      <c r="V421" s="227">
        <f t="shared" si="163"/>
        <v>-8.0656536207348655</v>
      </c>
      <c r="W421" s="227">
        <f t="shared" si="164"/>
        <v>-186.12221311638282</v>
      </c>
      <c r="X421" s="227" t="str">
        <f t="shared" si="153"/>
        <v>0.903719208491284-0.0838376192566047i</v>
      </c>
      <c r="Y421" s="227" t="str">
        <f t="shared" si="154"/>
        <v>0.936567790653521-25.2922826149223i</v>
      </c>
      <c r="Z421" s="227" t="str">
        <f t="shared" si="155"/>
        <v>-0.233756978976848-4.20812706070879i</v>
      </c>
      <c r="AA421" s="227" t="str">
        <f t="shared" si="156"/>
        <v>-0.187385906356594-0.63496634634143i</v>
      </c>
      <c r="AB421" s="227">
        <f t="shared" si="165"/>
        <v>-3.5823275153801504</v>
      </c>
      <c r="AC421" s="227">
        <f t="shared" si="166"/>
        <v>-106.44193901916057</v>
      </c>
      <c r="AD421" s="229">
        <f t="shared" si="167"/>
        <v>-7.8834303354345998</v>
      </c>
      <c r="AE421" s="229">
        <f t="shared" si="168"/>
        <v>108.23827851342521</v>
      </c>
      <c r="AF421" s="227">
        <f t="shared" si="157"/>
        <v>-11.46575785081475</v>
      </c>
      <c r="AG421" s="227">
        <f t="shared" si="158"/>
        <v>1.7963394942646431</v>
      </c>
      <c r="AH421" s="229" t="str">
        <f t="shared" si="159"/>
        <v>0.126278820216977-0.383216154962407i</v>
      </c>
    </row>
    <row r="422" spans="2:34" x14ac:dyDescent="0.2">
      <c r="B422" s="220"/>
      <c r="I422" s="227">
        <v>418</v>
      </c>
      <c r="J422" s="227">
        <f t="shared" si="147"/>
        <v>5.0755512161954615</v>
      </c>
      <c r="K422" s="227">
        <f t="shared" si="169"/>
        <v>119001.16585416152</v>
      </c>
      <c r="L422" s="227">
        <f t="shared" si="160"/>
        <v>747706.37683210871</v>
      </c>
      <c r="M422" s="227">
        <f t="shared" si="148"/>
        <v>115119.1698829349</v>
      </c>
      <c r="N422" s="227">
        <f>SQRT((ABS(AC422)-171.5+'Small Signal'!C$59)^2)</f>
        <v>5.007134791903681</v>
      </c>
      <c r="O422" s="227">
        <f t="shared" si="161"/>
        <v>1.353719327717485</v>
      </c>
      <c r="P422" s="227">
        <f t="shared" si="162"/>
        <v>11.436035566396299</v>
      </c>
      <c r="Q422" s="227">
        <f t="shared" si="170"/>
        <v>119001.16585416152</v>
      </c>
      <c r="R422" s="227" t="str">
        <f t="shared" si="149"/>
        <v>0.0355+0.972018289881741i</v>
      </c>
      <c r="S422" s="227" t="str">
        <f t="shared" si="150"/>
        <v>0.018-0.00607919724412781i</v>
      </c>
      <c r="T422" s="227" t="str">
        <f t="shared" si="151"/>
        <v>0.0179552430038621-0.00604514005899521i</v>
      </c>
      <c r="U422" s="227" t="str">
        <f t="shared" si="152"/>
        <v>-0.391728539222701+0.0412452460049425i</v>
      </c>
      <c r="V422" s="227">
        <f t="shared" si="163"/>
        <v>-8.0924144956262829</v>
      </c>
      <c r="W422" s="227">
        <f t="shared" si="164"/>
        <v>-186.01054846411975</v>
      </c>
      <c r="X422" s="227" t="str">
        <f t="shared" si="153"/>
        <v>0.899297582402491-0.0857411017243524i</v>
      </c>
      <c r="Y422" s="227" t="str">
        <f t="shared" si="154"/>
        <v>0.895484137298337-24.732072906682i</v>
      </c>
      <c r="Z422" s="227" t="str">
        <f t="shared" si="155"/>
        <v>-0.241315800804733-4.09485517719403i</v>
      </c>
      <c r="AA422" s="227" t="str">
        <f t="shared" si="156"/>
        <v>-0.192607846331204-0.649935979844219i</v>
      </c>
      <c r="AB422" s="227">
        <f t="shared" si="165"/>
        <v>-3.3770072282905099</v>
      </c>
      <c r="AC422" s="227">
        <f t="shared" si="166"/>
        <v>-106.50713479190368</v>
      </c>
      <c r="AD422" s="229">
        <f t="shared" si="167"/>
        <v>-8.0590283381057883</v>
      </c>
      <c r="AE422" s="229">
        <f t="shared" si="168"/>
        <v>107.86085411962117</v>
      </c>
      <c r="AF422" s="227">
        <f t="shared" si="157"/>
        <v>-11.436035566396299</v>
      </c>
      <c r="AG422" s="227">
        <f t="shared" si="158"/>
        <v>1.353719327717485</v>
      </c>
      <c r="AH422" s="229" t="str">
        <f t="shared" si="159"/>
        <v>0.121275036032646-0.376353698864061i</v>
      </c>
    </row>
    <row r="423" spans="2:34" x14ac:dyDescent="0.2">
      <c r="B423" s="220"/>
      <c r="I423" s="227">
        <v>419</v>
      </c>
      <c r="J423" s="227">
        <f t="shared" si="147"/>
        <v>5.0853013387222443</v>
      </c>
      <c r="K423" s="227">
        <f t="shared" si="169"/>
        <v>121703.01539203554</v>
      </c>
      <c r="L423" s="227">
        <f t="shared" si="160"/>
        <v>764682.59815068869</v>
      </c>
      <c r="M423" s="227">
        <f t="shared" si="148"/>
        <v>117882.36328137459</v>
      </c>
      <c r="N423" s="227">
        <f>SQRT((ABS(AC423)-171.5+'Small Signal'!C$59)^2)</f>
        <v>5.0824660479594286</v>
      </c>
      <c r="O423" s="227">
        <f t="shared" si="161"/>
        <v>0.9076894726154876</v>
      </c>
      <c r="P423" s="227">
        <f t="shared" si="162"/>
        <v>11.404160621013151</v>
      </c>
      <c r="Q423" s="227">
        <f t="shared" si="170"/>
        <v>121703.01539203554</v>
      </c>
      <c r="R423" s="227" t="str">
        <f t="shared" si="149"/>
        <v>0.0355+0.994087377595895i</v>
      </c>
      <c r="S423" s="227" t="str">
        <f t="shared" si="150"/>
        <v>0.018-0.00594423693758335i</v>
      </c>
      <c r="T423" s="227" t="str">
        <f t="shared" si="151"/>
        <v>0.0179549915868656-0.00591093606673867i</v>
      </c>
      <c r="U423" s="227" t="str">
        <f t="shared" si="152"/>
        <v>-0.390650541763203+0.0403693131058203i</v>
      </c>
      <c r="V423" s="227">
        <f t="shared" si="163"/>
        <v>-8.1180994611689155</v>
      </c>
      <c r="W423" s="227">
        <f t="shared" si="164"/>
        <v>-185.89992840943418</v>
      </c>
      <c r="X423" s="227" t="str">
        <f t="shared" si="153"/>
        <v>0.894672896316345-0.0876878016109287i</v>
      </c>
      <c r="Y423" s="227" t="str">
        <f t="shared" si="154"/>
        <v>0.8562010301839-24.1842162683523i</v>
      </c>
      <c r="Z423" s="227" t="str">
        <f t="shared" si="155"/>
        <v>-0.248543347049948-3.98362649479958i</v>
      </c>
      <c r="AA423" s="227" t="str">
        <f t="shared" si="156"/>
        <v>-0.198156489086536-0.665446475647634i</v>
      </c>
      <c r="AB423" s="227">
        <f t="shared" si="165"/>
        <v>-3.1687637579984291</v>
      </c>
      <c r="AC423" s="227">
        <f t="shared" si="166"/>
        <v>-106.58246604795943</v>
      </c>
      <c r="AD423" s="229">
        <f t="shared" si="167"/>
        <v>-8.2353968630147225</v>
      </c>
      <c r="AE423" s="229">
        <f t="shared" si="168"/>
        <v>107.49015552057492</v>
      </c>
      <c r="AF423" s="227">
        <f t="shared" si="157"/>
        <v>-11.404160621013151</v>
      </c>
      <c r="AG423" s="227">
        <f t="shared" si="158"/>
        <v>0.9076894726154876</v>
      </c>
      <c r="AH423" s="229" t="str">
        <f t="shared" si="159"/>
        <v>0.11644885592648-0.369549976438971i</v>
      </c>
    </row>
    <row r="424" spans="2:34" x14ac:dyDescent="0.2">
      <c r="B424" s="220"/>
      <c r="I424" s="227">
        <v>420</v>
      </c>
      <c r="J424" s="227">
        <f t="shared" si="147"/>
        <v>5.0950514612490281</v>
      </c>
      <c r="K424" s="227">
        <f t="shared" si="169"/>
        <v>124466.20879047523</v>
      </c>
      <c r="L424" s="227">
        <f t="shared" si="160"/>
        <v>782044.25431266055</v>
      </c>
      <c r="M424" s="227">
        <f t="shared" si="148"/>
        <v>120708.29331565347</v>
      </c>
      <c r="N424" s="227">
        <f>SQRT((ABS(AC424)-171.5+'Small Signal'!C$59)^2)</f>
        <v>5.1684004862955817</v>
      </c>
      <c r="O424" s="227">
        <f t="shared" si="161"/>
        <v>0.45772726082782356</v>
      </c>
      <c r="P424" s="227">
        <f t="shared" si="162"/>
        <v>11.370048618145411</v>
      </c>
      <c r="Q424" s="227">
        <f t="shared" si="170"/>
        <v>124466.20879047523</v>
      </c>
      <c r="R424" s="227" t="str">
        <f t="shared" si="149"/>
        <v>0.0355+1.01665753060646i</v>
      </c>
      <c r="S424" s="227" t="str">
        <f t="shared" si="150"/>
        <v>0.018-0.00581227279708046i</v>
      </c>
      <c r="T424" s="227" t="str">
        <f t="shared" si="151"/>
        <v>0.017954751209029-0.00577971143491498i</v>
      </c>
      <c r="U424" s="227" t="str">
        <f t="shared" si="152"/>
        <v>-0.389619771478189+0.0395102417923334i</v>
      </c>
      <c r="V424" s="227">
        <f t="shared" si="163"/>
        <v>-8.14274801452029</v>
      </c>
      <c r="W424" s="227">
        <f t="shared" si="164"/>
        <v>-185.79040909491678</v>
      </c>
      <c r="X424" s="227" t="str">
        <f t="shared" si="153"/>
        <v>0.889835824848539-0.0896787001417047i</v>
      </c>
      <c r="Y424" s="227" t="str">
        <f t="shared" si="154"/>
        <v>0.818639698431722-23.6484439040171i</v>
      </c>
      <c r="Z424" s="227" t="str">
        <f t="shared" si="155"/>
        <v>-0.25545411046992-3.8743863011512i</v>
      </c>
      <c r="AA424" s="227" t="str">
        <f t="shared" si="156"/>
        <v>-0.204056732587866-0.681521891715376i</v>
      </c>
      <c r="AB424" s="227">
        <f t="shared" si="165"/>
        <v>-2.9575401838723678</v>
      </c>
      <c r="AC424" s="227">
        <f t="shared" si="166"/>
        <v>-106.66840048629558</v>
      </c>
      <c r="AD424" s="229">
        <f t="shared" si="167"/>
        <v>-8.4125084342730432</v>
      </c>
      <c r="AE424" s="229">
        <f t="shared" si="168"/>
        <v>107.12612774712341</v>
      </c>
      <c r="AF424" s="227">
        <f t="shared" si="157"/>
        <v>-11.370048618145411</v>
      </c>
      <c r="AG424" s="227">
        <f t="shared" si="158"/>
        <v>0.45772726082782356</v>
      </c>
      <c r="AH424" s="229" t="str">
        <f t="shared" si="159"/>
        <v>0.111795598667754-0.362808501031577i</v>
      </c>
    </row>
    <row r="425" spans="2:34" x14ac:dyDescent="0.2">
      <c r="B425" s="220"/>
      <c r="I425" s="227">
        <v>421</v>
      </c>
      <c r="J425" s="227">
        <f t="shared" si="147"/>
        <v>5.1048015837758109</v>
      </c>
      <c r="K425" s="227">
        <f t="shared" si="169"/>
        <v>127292.1388247541</v>
      </c>
      <c r="L425" s="227">
        <f t="shared" si="160"/>
        <v>799800.09638315917</v>
      </c>
      <c r="M425" s="227">
        <f t="shared" si="148"/>
        <v>123598.38438316598</v>
      </c>
      <c r="N425" s="227">
        <f>SQRT((ABS(AC425)-171.5+'Small Signal'!C$59)^2)</f>
        <v>5.2654348437072827</v>
      </c>
      <c r="O425" s="227">
        <f t="shared" si="161"/>
        <v>3.277325647857765E-3</v>
      </c>
      <c r="P425" s="227">
        <f t="shared" si="162"/>
        <v>11.333609078163441</v>
      </c>
      <c r="Q425" s="227">
        <f t="shared" si="170"/>
        <v>127292.1388247541</v>
      </c>
      <c r="R425" s="227" t="str">
        <f t="shared" si="149"/>
        <v>0.0355+1.03974012529811i</v>
      </c>
      <c r="S425" s="227" t="str">
        <f t="shared" si="150"/>
        <v>0.018-0.00568323830668428i</v>
      </c>
      <c r="T425" s="227" t="str">
        <f t="shared" si="151"/>
        <v>0.0179545213856481-0.00565140002166754i</v>
      </c>
      <c r="U425" s="227" t="str">
        <f t="shared" si="152"/>
        <v>-0.38863416376318+0.0386678257397406i</v>
      </c>
      <c r="V425" s="227">
        <f t="shared" si="163"/>
        <v>-8.166398495664005</v>
      </c>
      <c r="W425" s="227">
        <f t="shared" si="164"/>
        <v>-185.68204157051582</v>
      </c>
      <c r="X425" s="227" t="str">
        <f t="shared" si="153"/>
        <v>0.884776614353205-0.09171480082018i</v>
      </c>
      <c r="Y425" s="227" t="str">
        <f t="shared" si="154"/>
        <v>0.782724805199241-23.1244926314752i</v>
      </c>
      <c r="Z425" s="227" t="str">
        <f t="shared" si="155"/>
        <v>-0.26206195200617-3.76708079835346i</v>
      </c>
      <c r="AA425" s="227" t="str">
        <f t="shared" si="156"/>
        <v>-0.210335827099488-0.698187841921447i</v>
      </c>
      <c r="AB425" s="227">
        <f t="shared" si="165"/>
        <v>-2.743272767839569</v>
      </c>
      <c r="AC425" s="227">
        <f t="shared" si="166"/>
        <v>-106.76543484370728</v>
      </c>
      <c r="AD425" s="229">
        <f t="shared" si="167"/>
        <v>-8.5903363103238721</v>
      </c>
      <c r="AE425" s="229">
        <f t="shared" si="168"/>
        <v>106.76871216935514</v>
      </c>
      <c r="AF425" s="227">
        <f t="shared" si="157"/>
        <v>-11.333609078163441</v>
      </c>
      <c r="AG425" s="227">
        <f t="shared" si="158"/>
        <v>3.277325647857765E-3</v>
      </c>
      <c r="AH425" s="229" t="str">
        <f t="shared" si="159"/>
        <v>0.107310576338922-0.356132509626782i</v>
      </c>
    </row>
    <row r="426" spans="2:34" x14ac:dyDescent="0.2">
      <c r="B426" s="220"/>
      <c r="I426" s="227">
        <v>422</v>
      </c>
      <c r="J426" s="227">
        <f t="shared" si="147"/>
        <v>5.1145517063025947</v>
      </c>
      <c r="K426" s="227">
        <f t="shared" si="169"/>
        <v>130182.22989226661</v>
      </c>
      <c r="L426" s="227">
        <f t="shared" si="160"/>
        <v>817959.07411496469</v>
      </c>
      <c r="M426" s="227">
        <f t="shared" si="148"/>
        <v>126554.09322138743</v>
      </c>
      <c r="N426" s="227">
        <f>SQRT((ABS(AC426)-171.5+'Small Signal'!C$59)^2)</f>
        <v>5.3740984485299492</v>
      </c>
      <c r="O426" s="227">
        <f t="shared" si="161"/>
        <v>0.45625166707269216</v>
      </c>
      <c r="P426" s="227">
        <f t="shared" si="162"/>
        <v>11.294745075866365</v>
      </c>
      <c r="Q426" s="227">
        <f t="shared" si="170"/>
        <v>130182.22989226661</v>
      </c>
      <c r="R426" s="227" t="str">
        <f t="shared" si="149"/>
        <v>0.0355+1.06334679634945i</v>
      </c>
      <c r="S426" s="227" t="str">
        <f t="shared" si="150"/>
        <v>0.018-0.00555706842713708i</v>
      </c>
      <c r="T426" s="227" t="str">
        <f t="shared" si="151"/>
        <v>0.017954301653301-0.00552593715344787i</v>
      </c>
      <c r="U426" s="227" t="str">
        <f t="shared" si="152"/>
        <v>-0.387691743891094+0.0378418522952336i</v>
      </c>
      <c r="V426" s="227">
        <f t="shared" si="163"/>
        <v>-8.1890880984362919</v>
      </c>
      <c r="W426" s="227">
        <f t="shared" si="164"/>
        <v>-185.57487203972579</v>
      </c>
      <c r="X426" s="227" t="str">
        <f t="shared" si="153"/>
        <v>0.879485063255304-0.0937971299337948i</v>
      </c>
      <c r="Y426" s="227" t="str">
        <f t="shared" si="154"/>
        <v>0.7483842990078-22.6121047805338i</v>
      </c>
      <c r="Z426" s="227" t="str">
        <f t="shared" si="155"/>
        <v>-0.26838012813804-3.66165708156675i</v>
      </c>
      <c r="AA426" s="227" t="str">
        <f t="shared" si="156"/>
        <v>-0.217023645506162-0.715471607574547i</v>
      </c>
      <c r="AB426" s="227">
        <f t="shared" si="165"/>
        <v>-2.5258905918524714</v>
      </c>
      <c r="AC426" s="227">
        <f t="shared" si="166"/>
        <v>-106.87409844852995</v>
      </c>
      <c r="AD426" s="229">
        <f t="shared" si="167"/>
        <v>-8.7688544840138931</v>
      </c>
      <c r="AE426" s="229">
        <f t="shared" si="168"/>
        <v>106.41784678145726</v>
      </c>
      <c r="AF426" s="227">
        <f t="shared" si="157"/>
        <v>-11.294745075866365</v>
      </c>
      <c r="AG426" s="227">
        <f t="shared" si="158"/>
        <v>-0.45625166707269216</v>
      </c>
      <c r="AH426" s="229" t="str">
        <f t="shared" si="159"/>
        <v>0.102989106953666-0.349524972260269i</v>
      </c>
    </row>
    <row r="427" spans="2:34" x14ac:dyDescent="0.2">
      <c r="B427" s="220"/>
      <c r="I427" s="227">
        <v>423</v>
      </c>
      <c r="J427" s="227">
        <f t="shared" si="147"/>
        <v>5.1243018288293776</v>
      </c>
      <c r="K427" s="227">
        <f t="shared" si="169"/>
        <v>133137.93873048807</v>
      </c>
      <c r="L427" s="227">
        <f t="shared" si="160"/>
        <v>836530.34045957855</v>
      </c>
      <c r="M427" s="227">
        <f t="shared" si="148"/>
        <v>129576.90964213862</v>
      </c>
      <c r="N427" s="227">
        <f>SQRT((ABS(AC427)-171.5+'Small Signal'!C$59)^2)</f>
        <v>5.4949571620346518</v>
      </c>
      <c r="O427" s="227">
        <f t="shared" si="161"/>
        <v>0.92149068544540569</v>
      </c>
      <c r="P427" s="227">
        <f t="shared" si="162"/>
        <v>11.253352850559217</v>
      </c>
      <c r="Q427" s="227">
        <f t="shared" si="170"/>
        <v>133137.93873048807</v>
      </c>
      <c r="R427" s="227" t="str">
        <f t="shared" si="149"/>
        <v>0.0355+1.08748944259745i</v>
      </c>
      <c r="S427" s="227" t="str">
        <f t="shared" si="150"/>
        <v>0.018-0.00543369956307543i</v>
      </c>
      <c r="T427" s="227" t="str">
        <f t="shared" si="151"/>
        <v>0.0179540915689134-0.00540325959242278i</v>
      </c>
      <c r="U427" s="227" t="str">
        <f t="shared" si="152"/>
        <v>-0.386790623132292+0.0370321033252871i</v>
      </c>
      <c r="V427" s="227">
        <f t="shared" si="163"/>
        <v>-8.210852883445753</v>
      </c>
      <c r="W427" s="227">
        <f t="shared" si="164"/>
        <v>-185.46894210121695</v>
      </c>
      <c r="X427" s="227" t="str">
        <f t="shared" si="153"/>
        <v>0.8739505014798-0.0959267370712248i</v>
      </c>
      <c r="Y427" s="227" t="str">
        <f t="shared" si="154"/>
        <v>0.715549271418248-22.1110280920734i</v>
      </c>
      <c r="Z427" s="227" t="str">
        <f t="shared" si="155"/>
        <v>-0.274421317068434-3.55806311766549i</v>
      </c>
      <c r="AA427" s="227" t="str">
        <f t="shared" si="156"/>
        <v>-0.224152990120849-0.733402256055159i</v>
      </c>
      <c r="AB427" s="227">
        <f t="shared" si="165"/>
        <v>-2.3053151697942704</v>
      </c>
      <c r="AC427" s="227">
        <f t="shared" si="166"/>
        <v>-106.99495716203465</v>
      </c>
      <c r="AD427" s="229">
        <f t="shared" si="167"/>
        <v>-8.9480376807649478</v>
      </c>
      <c r="AE427" s="229">
        <f t="shared" si="168"/>
        <v>106.07346647658925</v>
      </c>
      <c r="AF427" s="227">
        <f t="shared" si="157"/>
        <v>-11.253352850559217</v>
      </c>
      <c r="AG427" s="227">
        <f t="shared" si="158"/>
        <v>-0.92149068544540569</v>
      </c>
      <c r="AH427" s="229" t="str">
        <f t="shared" si="159"/>
        <v>0.0988265260508526-0.342988601712734i</v>
      </c>
    </row>
    <row r="428" spans="2:34" x14ac:dyDescent="0.2">
      <c r="B428" s="220"/>
      <c r="I428" s="227">
        <v>424</v>
      </c>
      <c r="J428" s="227">
        <f t="shared" si="147"/>
        <v>5.1340519513561613</v>
      </c>
      <c r="K428" s="227">
        <f t="shared" si="169"/>
        <v>136160.75515123925</v>
      </c>
      <c r="L428" s="227">
        <f t="shared" si="160"/>
        <v>855523.25618074369</v>
      </c>
      <c r="M428" s="227">
        <f t="shared" si="148"/>
        <v>132668.35728251585</v>
      </c>
      <c r="N428" s="227">
        <f>SQRT((ABS(AC428)-171.5+'Small Signal'!C$59)^2)</f>
        <v>5.6286177607859855</v>
      </c>
      <c r="O428" s="227">
        <f t="shared" si="161"/>
        <v>1.3931144492553074</v>
      </c>
      <c r="P428" s="227">
        <f t="shared" si="162"/>
        <v>11.209321386764222</v>
      </c>
      <c r="Q428" s="227">
        <f t="shared" si="170"/>
        <v>136160.75515123925</v>
      </c>
      <c r="R428" s="227" t="str">
        <f t="shared" si="149"/>
        <v>0.0355+1.11218023303497i</v>
      </c>
      <c r="S428" s="227" t="str">
        <f t="shared" si="150"/>
        <v>0.018-0.00531306953097513i</v>
      </c>
      <c r="T428" s="227" t="str">
        <f t="shared" si="151"/>
        <v>0.0179538907088656-0.00528330550460472i</v>
      </c>
      <c r="U428" s="227" t="str">
        <f t="shared" si="152"/>
        <v>-0.385928995039329+0.0362383559985374i</v>
      </c>
      <c r="V428" s="227">
        <f t="shared" si="163"/>
        <v>-8.2317277927016583</v>
      </c>
      <c r="W428" s="227">
        <f t="shared" si="164"/>
        <v>-185.36428898527925</v>
      </c>
      <c r="X428" s="227" t="str">
        <f t="shared" si="153"/>
        <v>0.868161768936137-0.0981046956514231i</v>
      </c>
      <c r="Y428" s="227" t="str">
        <f t="shared" si="154"/>
        <v>0.684153820790384-21.6210156179754i</v>
      </c>
      <c r="Z428" s="227" t="str">
        <f t="shared" si="155"/>
        <v>-0.280197643790318-3.45624772399236i</v>
      </c>
      <c r="AA428" s="227" t="str">
        <f t="shared" si="156"/>
        <v>-0.231759941602236-0.75201076648647i</v>
      </c>
      <c r="AB428" s="227">
        <f t="shared" si="165"/>
        <v>-2.0814600317588288</v>
      </c>
      <c r="AC428" s="227">
        <f t="shared" si="166"/>
        <v>-107.12861776078599</v>
      </c>
      <c r="AD428" s="229">
        <f t="shared" si="167"/>
        <v>-9.1278613550053933</v>
      </c>
      <c r="AE428" s="229">
        <f t="shared" si="168"/>
        <v>105.73550331153068</v>
      </c>
      <c r="AF428" s="227">
        <f t="shared" si="157"/>
        <v>-11.209321386764222</v>
      </c>
      <c r="AG428" s="227">
        <f t="shared" si="158"/>
        <v>-1.3931144492553074</v>
      </c>
      <c r="AH428" s="229" t="str">
        <f t="shared" si="159"/>
        <v>0.094818197296953-0.33652586341112i</v>
      </c>
    </row>
    <row r="429" spans="2:34" x14ac:dyDescent="0.2">
      <c r="B429" s="220"/>
      <c r="I429" s="227">
        <v>425</v>
      </c>
      <c r="J429" s="227">
        <f t="shared" si="147"/>
        <v>5.1438020738829451</v>
      </c>
      <c r="K429" s="227">
        <f t="shared" si="169"/>
        <v>139252.20279161647</v>
      </c>
      <c r="L429" s="227">
        <f t="shared" si="160"/>
        <v>874947.39457267674</v>
      </c>
      <c r="M429" s="227">
        <f t="shared" si="148"/>
        <v>135829.99437287499</v>
      </c>
      <c r="N429" s="227">
        <f>SQRT((ABS(AC429)-171.5+'Small Signal'!C$59)^2)</f>
        <v>5.7757328218246187</v>
      </c>
      <c r="O429" s="227">
        <f t="shared" si="161"/>
        <v>1.8718460608934748</v>
      </c>
      <c r="P429" s="227">
        <f t="shared" si="162"/>
        <v>11.162531963630164</v>
      </c>
      <c r="Q429" s="227">
        <f t="shared" si="170"/>
        <v>139252.20279161647</v>
      </c>
      <c r="R429" s="227" t="str">
        <f t="shared" si="149"/>
        <v>0.0355+1.13743161294448i</v>
      </c>
      <c r="S429" s="227" t="str">
        <f t="shared" si="150"/>
        <v>0.018-0.0051951175278081i</v>
      </c>
      <c r="T429" s="227" t="str">
        <f t="shared" si="151"/>
        <v>0.0179536986681376-0.00516601442868993i</v>
      </c>
      <c r="U429" s="227" t="str">
        <f t="shared" si="152"/>
        <v>-0.385105131889623+0.0354603835085716i</v>
      </c>
      <c r="V429" s="227">
        <f t="shared" si="163"/>
        <v>-8.2517466657753573</v>
      </c>
      <c r="W429" s="227">
        <f t="shared" si="164"/>
        <v>-185.26094578454953</v>
      </c>
      <c r="X429" s="227" t="str">
        <f t="shared" si="153"/>
        <v>0.862107193014631-0.10033210346467i</v>
      </c>
      <c r="Y429" s="227" t="str">
        <f t="shared" si="154"/>
        <v>0.654134921873571-21.1418256219685i</v>
      </c>
      <c r="Z429" s="227" t="str">
        <f t="shared" si="155"/>
        <v>-0.285720704080246-3.35616054721803i</v>
      </c>
      <c r="AA429" s="227" t="str">
        <f t="shared" si="156"/>
        <v>-0.239884256574332-0.771330162139198i</v>
      </c>
      <c r="AB429" s="227">
        <f t="shared" si="165"/>
        <v>-1.8542302786182139</v>
      </c>
      <c r="AC429" s="227">
        <f t="shared" si="166"/>
        <v>-107.27573282182462</v>
      </c>
      <c r="AD429" s="229">
        <f t="shared" si="167"/>
        <v>-9.3083016850119495</v>
      </c>
      <c r="AE429" s="229">
        <f t="shared" si="168"/>
        <v>105.40388676093114</v>
      </c>
      <c r="AF429" s="227">
        <f t="shared" si="157"/>
        <v>-11.162531963630164</v>
      </c>
      <c r="AG429" s="227">
        <f t="shared" si="158"/>
        <v>-1.8718460608934748</v>
      </c>
      <c r="AH429" s="229" t="str">
        <f t="shared" si="159"/>
        <v>0.0909595221330419-0.330138985466648i</v>
      </c>
    </row>
    <row r="430" spans="2:34" x14ac:dyDescent="0.2">
      <c r="B430" s="220"/>
      <c r="I430" s="227">
        <v>426</v>
      </c>
      <c r="J430" s="227">
        <f t="shared" si="147"/>
        <v>5.1535521964097288</v>
      </c>
      <c r="K430" s="227">
        <f t="shared" si="169"/>
        <v>142413.83988197561</v>
      </c>
      <c r="L430" s="227">
        <f t="shared" si="160"/>
        <v>894812.54628545535</v>
      </c>
      <c r="M430" s="227">
        <f t="shared" si="148"/>
        <v>139063.41452225015</v>
      </c>
      <c r="N430" s="227">
        <f>SQRT((ABS(AC430)-171.5+'Small Signal'!C$59)^2)</f>
        <v>5.9370061825310785</v>
      </c>
      <c r="O430" s="227">
        <f t="shared" si="161"/>
        <v>2.3584622214792574</v>
      </c>
      <c r="P430" s="227">
        <f t="shared" si="162"/>
        <v>11.112857671135234</v>
      </c>
      <c r="Q430" s="227">
        <f t="shared" si="170"/>
        <v>142413.83988197561</v>
      </c>
      <c r="R430" s="227" t="str">
        <f t="shared" si="149"/>
        <v>0.0355+1.16325631017109i</v>
      </c>
      <c r="S430" s="227" t="str">
        <f t="shared" si="150"/>
        <v>0.018-0.0050797841003947i</v>
      </c>
      <c r="T430" s="227" t="str">
        <f t="shared" si="151"/>
        <v>0.0179535150594933-0.00505132724558752i</v>
      </c>
      <c r="U430" s="227" t="str">
        <f t="shared" si="152"/>
        <v>-0.384317381279584+0.0346979557406825i</v>
      </c>
      <c r="V430" s="227">
        <f t="shared" si="163"/>
        <v>-8.2709422573258369</v>
      </c>
      <c r="W430" s="227">
        <f t="shared" si="164"/>
        <v>-185.15894167857127</v>
      </c>
      <c r="X430" s="227" t="str">
        <f t="shared" si="153"/>
        <v>0.855774565049394-0.102610083225912i</v>
      </c>
      <c r="Y430" s="227" t="str">
        <f t="shared" si="154"/>
        <v>0.625432300985599-20.6732214814687i</v>
      </c>
      <c r="Z430" s="227" t="str">
        <f t="shared" si="155"/>
        <v>-0.291001587463826-3.25775204231823i</v>
      </c>
      <c r="AA430" s="227" t="str">
        <f t="shared" si="156"/>
        <v>-0.248569821690641-0.79139564896277i</v>
      </c>
      <c r="AB430" s="227">
        <f t="shared" si="165"/>
        <v>-1.6235221048244577</v>
      </c>
      <c r="AC430" s="227">
        <f t="shared" si="166"/>
        <v>-107.43700618253108</v>
      </c>
      <c r="AD430" s="229">
        <f t="shared" si="167"/>
        <v>-9.4893355663107766</v>
      </c>
      <c r="AE430" s="229">
        <f t="shared" si="168"/>
        <v>105.07854396105182</v>
      </c>
      <c r="AF430" s="227">
        <f t="shared" si="157"/>
        <v>-11.112857671135234</v>
      </c>
      <c r="AG430" s="227">
        <f t="shared" si="158"/>
        <v>-2.3584622214792574</v>
      </c>
      <c r="AH430" s="229" t="str">
        <f t="shared" si="159"/>
        <v>0.0872459485051609-0.323829968785697i</v>
      </c>
    </row>
    <row r="431" spans="2:34" x14ac:dyDescent="0.2">
      <c r="B431" s="220"/>
      <c r="I431" s="227">
        <v>427</v>
      </c>
      <c r="J431" s="227">
        <f t="shared" si="147"/>
        <v>5.1633023189365126</v>
      </c>
      <c r="K431" s="227">
        <f t="shared" si="169"/>
        <v>145647.26003135077</v>
      </c>
      <c r="L431" s="227">
        <f t="shared" si="160"/>
        <v>915128.72425994778</v>
      </c>
      <c r="M431" s="227">
        <f t="shared" si="148"/>
        <v>142370.24752160569</v>
      </c>
      <c r="N431" s="227">
        <f>SQRT((ABS(AC431)-171.5+'Small Signal'!C$59)^2)</f>
        <v>6.1131990588394132</v>
      </c>
      <c r="O431" s="227">
        <f t="shared" si="161"/>
        <v>2.8537991158809604</v>
      </c>
      <c r="P431" s="227">
        <f t="shared" si="162"/>
        <v>11.060162891255816</v>
      </c>
      <c r="Q431" s="227">
        <f t="shared" si="170"/>
        <v>145647.26003135077</v>
      </c>
      <c r="R431" s="227" t="str">
        <f t="shared" si="149"/>
        <v>0.0355+1.18966734153793i</v>
      </c>
      <c r="S431" s="227" t="str">
        <f t="shared" si="150"/>
        <v>0.018-0.00496701111543666i</v>
      </c>
      <c r="T431" s="227" t="str">
        <f t="shared" si="151"/>
        <v>0.0179533395126989-0.00493918614862509i</v>
      </c>
      <c r="U431" s="227" t="str">
        <f t="shared" si="152"/>
        <v>-0.383564162863915+0.0339508398864232i</v>
      </c>
      <c r="V431" s="227">
        <f t="shared" si="163"/>
        <v>-8.2893462558299973</v>
      </c>
      <c r="W431" s="227">
        <f t="shared" si="164"/>
        <v>-185.05830215182263</v>
      </c>
      <c r="X431" s="227" t="str">
        <f t="shared" si="153"/>
        <v>0.849151115700339-0.104939783140659i</v>
      </c>
      <c r="Y431" s="227" t="str">
        <f t="shared" si="154"/>
        <v>0.597988316545558-20.2149715904604i</v>
      </c>
      <c r="Z431" s="227" t="str">
        <f t="shared" si="155"/>
        <v>-0.296050899196028-3.16097345167568i</v>
      </c>
      <c r="AA431" s="227" t="str">
        <f t="shared" si="156"/>
        <v>-0.257865173255782-0.81224475921383i</v>
      </c>
      <c r="AB431" s="227">
        <f t="shared" si="165"/>
        <v>-1.3892222874791018</v>
      </c>
      <c r="AC431" s="227">
        <f t="shared" si="166"/>
        <v>-107.61319905883941</v>
      </c>
      <c r="AD431" s="229">
        <f t="shared" si="167"/>
        <v>-9.6709406037767138</v>
      </c>
      <c r="AE431" s="229">
        <f t="shared" si="168"/>
        <v>104.75939994295845</v>
      </c>
      <c r="AF431" s="227">
        <f t="shared" si="157"/>
        <v>-11.060162891255816</v>
      </c>
      <c r="AG431" s="227">
        <f t="shared" si="158"/>
        <v>-2.8537991158809604</v>
      </c>
      <c r="AH431" s="229" t="str">
        <f t="shared" si="159"/>
        <v>0.0836729787190175-0.31760059719592i</v>
      </c>
    </row>
    <row r="432" spans="2:34" x14ac:dyDescent="0.2">
      <c r="B432" s="220"/>
      <c r="I432" s="227">
        <v>428</v>
      </c>
      <c r="J432" s="227">
        <f t="shared" si="147"/>
        <v>5.1730524414632955</v>
      </c>
      <c r="K432" s="227">
        <f t="shared" si="169"/>
        <v>148954.09303070631</v>
      </c>
      <c r="L432" s="227">
        <f t="shared" si="160"/>
        <v>935906.16877479514</v>
      </c>
      <c r="M432" s="227">
        <f t="shared" si="148"/>
        <v>145752.16016532469</v>
      </c>
      <c r="N432" s="227">
        <f>SQRT((ABS(AC432)-171.5+'Small Signal'!C$59)^2)</f>
        <v>6.3051369193443065</v>
      </c>
      <c r="O432" s="227">
        <f t="shared" si="161"/>
        <v>3.3587590641666765</v>
      </c>
      <c r="P432" s="227">
        <f t="shared" si="162"/>
        <v>11.004302742451202</v>
      </c>
      <c r="Q432" s="227">
        <f t="shared" si="170"/>
        <v>148954.09303070631</v>
      </c>
      <c r="R432" s="227" t="str">
        <f t="shared" si="149"/>
        <v>0.0355+1.21667801940723i</v>
      </c>
      <c r="S432" s="227" t="str">
        <f t="shared" si="150"/>
        <v>0.018-0.00485674173021538i</v>
      </c>
      <c r="T432" s="227" t="str">
        <f t="shared" si="151"/>
        <v>0.0179531716737768-0.00482953461441581i</v>
      </c>
      <c r="U432" s="227" t="str">
        <f t="shared" si="152"/>
        <v>-0.382843965234147+0.0332188010095252i</v>
      </c>
      <c r="V432" s="227">
        <f t="shared" si="163"/>
        <v>-8.3069893033642739</v>
      </c>
      <c r="W432" s="227">
        <f t="shared" si="164"/>
        <v>-184.95904920491768</v>
      </c>
      <c r="X432" s="227" t="str">
        <f t="shared" si="153"/>
        <v>0.84222348920462-0.107322377483731i</v>
      </c>
      <c r="Y432" s="227" t="str">
        <f t="shared" si="154"/>
        <v>0.571747844736971-19.766849263474i</v>
      </c>
      <c r="Z432" s="227" t="str">
        <f t="shared" si="155"/>
        <v>-0.300878781297642-3.06577678431541i</v>
      </c>
      <c r="AA432" s="227" t="str">
        <f t="shared" si="156"/>
        <v>-0.267824093150769-0.833917498578916i</v>
      </c>
      <c r="AB432" s="227">
        <f t="shared" si="165"/>
        <v>-1.1512076398855884</v>
      </c>
      <c r="AC432" s="227">
        <f t="shared" si="166"/>
        <v>-107.80513691934431</v>
      </c>
      <c r="AD432" s="229">
        <f t="shared" si="167"/>
        <v>-9.8530951025656126</v>
      </c>
      <c r="AE432" s="229">
        <f t="shared" si="168"/>
        <v>104.44637785517763</v>
      </c>
      <c r="AF432" s="227">
        <f t="shared" si="157"/>
        <v>-11.004302742451202</v>
      </c>
      <c r="AG432" s="227">
        <f t="shared" si="158"/>
        <v>-3.3587590641666765</v>
      </c>
      <c r="AH432" s="229" t="str">
        <f t="shared" si="159"/>
        <v>0.080236176461443-0.311452447535859i</v>
      </c>
    </row>
    <row r="433" spans="2:34" x14ac:dyDescent="0.2">
      <c r="B433" s="220"/>
      <c r="I433" s="227">
        <v>429</v>
      </c>
      <c r="J433" s="227">
        <f t="shared" si="147"/>
        <v>5.1828025639900792</v>
      </c>
      <c r="K433" s="227">
        <f t="shared" si="169"/>
        <v>152336.00567442531</v>
      </c>
      <c r="L433" s="227">
        <f t="shared" si="160"/>
        <v>957155.35260797513</v>
      </c>
      <c r="M433" s="227">
        <f t="shared" si="148"/>
        <v>149210.85709134807</v>
      </c>
      <c r="N433" s="227">
        <f>SQRT((ABS(AC433)-171.5+'Small Signal'!C$59)^2)</f>
        <v>6.5137172292561019</v>
      </c>
      <c r="O433" s="227">
        <f t="shared" si="161"/>
        <v>3.8743180533760722</v>
      </c>
      <c r="P433" s="227">
        <f t="shared" si="162"/>
        <v>10.945122486109199</v>
      </c>
      <c r="Q433" s="227">
        <f t="shared" si="170"/>
        <v>152336.00567442531</v>
      </c>
      <c r="R433" s="227" t="str">
        <f t="shared" si="149"/>
        <v>0.0355+1.24430195839037i</v>
      </c>
      <c r="S433" s="227" t="str">
        <f t="shared" si="150"/>
        <v>0.018-0.00474892036394037i</v>
      </c>
      <c r="T433" s="227" t="str">
        <f t="shared" si="151"/>
        <v>0.0179530112042917-0.0047223173743715i</v>
      </c>
      <c r="U433" s="227" t="str">
        <f t="shared" si="152"/>
        <v>-0.382155342930568+0.0325016025664979i</v>
      </c>
      <c r="V433" s="227">
        <f t="shared" si="163"/>
        <v>-8.3239010162955882</v>
      </c>
      <c r="W433" s="227">
        <f t="shared" si="164"/>
        <v>-184.86120155875241</v>
      </c>
      <c r="X433" s="227" t="str">
        <f t="shared" si="153"/>
        <v>0.834977716445593-0.109759067191153i</v>
      </c>
      <c r="Y433" s="227" t="str">
        <f t="shared" si="154"/>
        <v>0.54665817008567-19.3286326407013i</v>
      </c>
      <c r="Z433" s="227" t="str">
        <f t="shared" si="155"/>
        <v>-0.305494932687497-2.97211479527956i</v>
      </c>
      <c r="AA433" s="227" t="str">
        <f t="shared" si="156"/>
        <v>-0.278506293758974-0.856456494411451i</v>
      </c>
      <c r="AB433" s="227">
        <f t="shared" si="165"/>
        <v>-0.90934442810128435</v>
      </c>
      <c r="AC433" s="227">
        <f t="shared" si="166"/>
        <v>-108.0137172292561</v>
      </c>
      <c r="AD433" s="229">
        <f t="shared" si="167"/>
        <v>-10.035778058007914</v>
      </c>
      <c r="AE433" s="229">
        <f t="shared" si="168"/>
        <v>104.13939917588003</v>
      </c>
      <c r="AF433" s="227">
        <f t="shared" si="157"/>
        <v>-10.945122486109199</v>
      </c>
      <c r="AG433" s="227">
        <f t="shared" si="158"/>
        <v>-3.8743180533760722</v>
      </c>
      <c r="AH433" s="229" t="str">
        <f t="shared" si="159"/>
        <v>0.0769311730320175-0.305386899662022i</v>
      </c>
    </row>
    <row r="434" spans="2:34" x14ac:dyDescent="0.2">
      <c r="B434" s="220"/>
      <c r="I434" s="227">
        <v>430</v>
      </c>
      <c r="J434" s="227">
        <f t="shared" si="147"/>
        <v>5.1925526865168621</v>
      </c>
      <c r="K434" s="227">
        <f t="shared" si="169"/>
        <v>155794.70260044868</v>
      </c>
      <c r="L434" s="227">
        <f t="shared" si="160"/>
        <v>978886.98631555249</v>
      </c>
      <c r="M434" s="227">
        <f t="shared" si="148"/>
        <v>152748.08164039275</v>
      </c>
      <c r="N434" s="227">
        <f>SQRT((ABS(AC434)-171.5+'Small Signal'!C$59)^2)</f>
        <v>6.7399181975843874</v>
      </c>
      <c r="O434" s="227">
        <f t="shared" si="161"/>
        <v>4.4015342828844268</v>
      </c>
      <c r="P434" s="227">
        <f t="shared" si="162"/>
        <v>10.882456894057507</v>
      </c>
      <c r="Q434" s="227">
        <f t="shared" si="170"/>
        <v>155794.70260044868</v>
      </c>
      <c r="R434" s="227" t="str">
        <f t="shared" si="149"/>
        <v>0.0355+1.27255308221022i</v>
      </c>
      <c r="S434" s="227" t="str">
        <f t="shared" si="150"/>
        <v>0.018-0.00464349266973427i</v>
      </c>
      <c r="T434" s="227" t="str">
        <f t="shared" si="151"/>
        <v>0.0179528577806683-0.00461748038684855i</v>
      </c>
      <c r="U434" s="227" t="str">
        <f t="shared" si="152"/>
        <v>-0.38149691358204+0.0317990068850433i</v>
      </c>
      <c r="V434" s="227">
        <f t="shared" si="163"/>
        <v>-8.3401100067456664</v>
      </c>
      <c r="W434" s="227">
        <f t="shared" si="164"/>
        <v>-184.76477485143181</v>
      </c>
      <c r="X434" s="227" t="str">
        <f t="shared" si="153"/>
        <v>0.82739918678498-0.112251080465471i</v>
      </c>
      <c r="Y434" s="227" t="str">
        <f t="shared" si="154"/>
        <v>0.522668880745717-18.9001045942882i</v>
      </c>
      <c r="Z434" s="227" t="str">
        <f t="shared" si="155"/>
        <v>-0.30990862844841-2.87994096514731i</v>
      </c>
      <c r="AA434" s="227" t="str">
        <f t="shared" si="156"/>
        <v>-0.289978206922365-0.879907141656692i</v>
      </c>
      <c r="AB434" s="227">
        <f t="shared" si="165"/>
        <v>-0.66348774947560918</v>
      </c>
      <c r="AC434" s="227">
        <f t="shared" si="166"/>
        <v>-108.23991819758439</v>
      </c>
      <c r="AD434" s="229">
        <f t="shared" si="167"/>
        <v>-10.218969144581898</v>
      </c>
      <c r="AE434" s="229">
        <f t="shared" si="168"/>
        <v>103.83838391469996</v>
      </c>
      <c r="AF434" s="227">
        <f t="shared" si="157"/>
        <v>-10.882456894057507</v>
      </c>
      <c r="AG434" s="227">
        <f t="shared" si="158"/>
        <v>-4.4015342828844268</v>
      </c>
      <c r="AH434" s="229" t="str">
        <f t="shared" si="159"/>
        <v>0.073753672828795-0.299405146332899i</v>
      </c>
    </row>
    <row r="435" spans="2:34" x14ac:dyDescent="0.2">
      <c r="B435" s="220"/>
      <c r="I435" s="227">
        <v>431</v>
      </c>
      <c r="J435" s="227">
        <f t="shared" si="147"/>
        <v>5.2023028090436458</v>
      </c>
      <c r="K435" s="227">
        <f t="shared" si="169"/>
        <v>159331.92714949336</v>
      </c>
      <c r="L435" s="227">
        <f t="shared" si="160"/>
        <v>1001112.023630305</v>
      </c>
      <c r="M435" s="227">
        <f t="shared" si="148"/>
        <v>156365.61673467082</v>
      </c>
      <c r="N435" s="227">
        <f>SQRT((ABS(AC435)-171.5+'Small Signal'!C$59)^2)</f>
        <v>6.9848086839628678</v>
      </c>
      <c r="O435" s="227">
        <f t="shared" si="161"/>
        <v>4.9415578796252362</v>
      </c>
      <c r="P435" s="227">
        <f t="shared" si="162"/>
        <v>10.816129576941361</v>
      </c>
      <c r="Q435" s="227">
        <f t="shared" si="170"/>
        <v>159331.92714949336</v>
      </c>
      <c r="R435" s="227" t="str">
        <f t="shared" si="149"/>
        <v>0.0355+1.3014456307194i</v>
      </c>
      <c r="S435" s="227" t="str">
        <f t="shared" si="150"/>
        <v>0.018-0.00454040550723933i</v>
      </c>
      <c r="T435" s="227" t="str">
        <f t="shared" si="151"/>
        <v>0.0179527110935385-0.00451497080991161i</v>
      </c>
      <c r="U435" s="227" t="str">
        <f t="shared" si="152"/>
        <v>-0.380867355168351+0.0311107756031927i</v>
      </c>
      <c r="V435" s="227">
        <f t="shared" si="163"/>
        <v>-8.3556439047025783</v>
      </c>
      <c r="W435" s="227">
        <f t="shared" si="164"/>
        <v>-184.6697818278673</v>
      </c>
      <c r="X435" s="227" t="str">
        <f t="shared" si="153"/>
        <v>0.819472618601447-0.114799673394831i</v>
      </c>
      <c r="Y435" s="227" t="str">
        <f t="shared" si="154"/>
        <v>0.499731768294328-18.4810526358378i</v>
      </c>
      <c r="Z435" s="227" t="str">
        <f t="shared" si="155"/>
        <v>-0.314128738263572-2.78920947970441i</v>
      </c>
      <c r="AA435" s="227" t="str">
        <f t="shared" si="156"/>
        <v>-0.302313894749242-0.904317741632504i</v>
      </c>
      <c r="AB435" s="227">
        <f t="shared" si="165"/>
        <v>-0.41348087285938745</v>
      </c>
      <c r="AC435" s="227">
        <f t="shared" si="166"/>
        <v>-108.48480868396287</v>
      </c>
      <c r="AD435" s="229">
        <f t="shared" si="167"/>
        <v>-10.402648704081972</v>
      </c>
      <c r="AE435" s="229">
        <f t="shared" si="168"/>
        <v>103.54325080433763</v>
      </c>
      <c r="AF435" s="227">
        <f t="shared" si="157"/>
        <v>-10.816129576941361</v>
      </c>
      <c r="AG435" s="227">
        <f t="shared" si="158"/>
        <v>-4.9415578796252362</v>
      </c>
      <c r="AH435" s="229" t="str">
        <f t="shared" si="159"/>
        <v>0.0706994581320921-0.293508202934351i</v>
      </c>
    </row>
    <row r="436" spans="2:34" x14ac:dyDescent="0.2">
      <c r="I436" s="227">
        <v>432</v>
      </c>
      <c r="J436" s="227">
        <f t="shared" si="147"/>
        <v>5.2120529315704287</v>
      </c>
      <c r="K436" s="227">
        <f t="shared" si="169"/>
        <v>162949.46224377144</v>
      </c>
      <c r="L436" s="227">
        <f t="shared" si="160"/>
        <v>1023841.6669828795</v>
      </c>
      <c r="M436" s="227">
        <f t="shared" si="148"/>
        <v>160065.28577656666</v>
      </c>
      <c r="N436" s="227">
        <f>SQRT((ABS(AC436)-171.5+'Small Signal'!C$59)^2)</f>
        <v>7.2495594489202091</v>
      </c>
      <c r="O436" s="227">
        <f t="shared" si="161"/>
        <v>5.4956419667932295</v>
      </c>
      <c r="P436" s="227">
        <f t="shared" si="162"/>
        <v>10.745952274271072</v>
      </c>
      <c r="Q436" s="227">
        <f t="shared" si="170"/>
        <v>162949.46224377144</v>
      </c>
      <c r="R436" s="227" t="str">
        <f t="shared" si="149"/>
        <v>0.0355+1.33099416707774i</v>
      </c>
      <c r="S436" s="227" t="str">
        <f t="shared" si="150"/>
        <v>0.018-0.00443960691583237i</v>
      </c>
      <c r="T436" s="227" t="str">
        <f t="shared" si="151"/>
        <v>0.0179525708471182-0.00441473697470199i</v>
      </c>
      <c r="U436" s="227" t="str">
        <f t="shared" si="152"/>
        <v>-0.380265403400028+0.0304366700718735i</v>
      </c>
      <c r="V436" s="227">
        <f t="shared" si="163"/>
        <v>-8.3705293806602814</v>
      </c>
      <c r="W436" s="227">
        <f t="shared" si="164"/>
        <v>-184.57623252198135</v>
      </c>
      <c r="X436" s="227" t="str">
        <f t="shared" si="153"/>
        <v>0.8111820284762-0.117406130586099i</v>
      </c>
      <c r="Y436" s="227" t="str">
        <f t="shared" si="154"/>
        <v>0.477800731846528-18.0712688251557i</v>
      </c>
      <c r="Z436" s="227" t="str">
        <f t="shared" si="155"/>
        <v>-0.318163744058175-2.69987520976648i</v>
      </c>
      <c r="AA436" s="227" t="str">
        <f t="shared" si="156"/>
        <v>-0.315596103438426-0.929739626948494i</v>
      </c>
      <c r="AB436" s="227">
        <f t="shared" si="165"/>
        <v>-0.15915454118294733</v>
      </c>
      <c r="AC436" s="227">
        <f t="shared" si="166"/>
        <v>-108.74955944892021</v>
      </c>
      <c r="AD436" s="229">
        <f t="shared" si="167"/>
        <v>-10.586797733088126</v>
      </c>
      <c r="AE436" s="229">
        <f t="shared" si="168"/>
        <v>103.25391748212698</v>
      </c>
      <c r="AF436" s="227">
        <f t="shared" si="157"/>
        <v>-10.745952274271072</v>
      </c>
      <c r="AG436" s="227">
        <f t="shared" si="158"/>
        <v>-5.4956419667932295</v>
      </c>
      <c r="AH436" s="229" t="str">
        <f t="shared" si="159"/>
        <v>0.067764393230056-0.287696917015668i</v>
      </c>
    </row>
    <row r="437" spans="2:34" x14ac:dyDescent="0.2">
      <c r="I437" s="227">
        <v>433</v>
      </c>
      <c r="J437" s="227">
        <f t="shared" si="147"/>
        <v>5.2218030540972125</v>
      </c>
      <c r="K437" s="227">
        <f t="shared" si="169"/>
        <v>166649.13128566727</v>
      </c>
      <c r="L437" s="227">
        <f t="shared" si="160"/>
        <v>1047087.3731483466</v>
      </c>
      <c r="M437" s="227">
        <f t="shared" si="148"/>
        <v>163848.9535677133</v>
      </c>
      <c r="N437" s="227">
        <f>SQRT((ABS(AC437)-171.5+'Small Signal'!C$59)^2)</f>
        <v>7.5354559640142895</v>
      </c>
      <c r="O437" s="227">
        <f t="shared" si="161"/>
        <v>6.0651553022337765</v>
      </c>
      <c r="P437" s="227">
        <f t="shared" si="162"/>
        <v>10.671724108367062</v>
      </c>
      <c r="Q437" s="227">
        <f t="shared" si="170"/>
        <v>166649.13128566727</v>
      </c>
      <c r="R437" s="227" t="str">
        <f t="shared" si="149"/>
        <v>0.0355+1.36121358509285i</v>
      </c>
      <c r="S437" s="227" t="str">
        <f t="shared" si="150"/>
        <v>0.018-0.00434104608843427i</v>
      </c>
      <c r="T437" s="227" t="str">
        <f t="shared" si="151"/>
        <v>0.0179524367586101-0.00431672835939708i</v>
      </c>
      <c r="U437" s="227" t="str">
        <f t="shared" si="152"/>
        <v>-0.379689849210591+0.029776451723464i</v>
      </c>
      <c r="V437" s="227">
        <f t="shared" si="163"/>
        <v>-8.3847921686783664</v>
      </c>
      <c r="W437" s="227">
        <f t="shared" si="164"/>
        <v>-184.48413443150602</v>
      </c>
      <c r="X437" s="227" t="str">
        <f t="shared" si="153"/>
        <v>0.802510698963431-0.120071765812366i</v>
      </c>
      <c r="Y437" s="227" t="str">
        <f t="shared" si="154"/>
        <v>0.456831686305471-17.6705496802576i</v>
      </c>
      <c r="Z437" s="227" t="str">
        <f t="shared" si="155"/>
        <v>-0.322021756880084-2.61189369115806i</v>
      </c>
      <c r="AA437" s="227" t="str">
        <f t="shared" si="156"/>
        <v>-0.329917485290752-0.956227263321122i</v>
      </c>
      <c r="AB437" s="227">
        <f t="shared" si="165"/>
        <v>9.9673761469196556E-2</v>
      </c>
      <c r="AC437" s="227">
        <f t="shared" si="166"/>
        <v>-109.03545596401429</v>
      </c>
      <c r="AD437" s="229">
        <f t="shared" si="167"/>
        <v>-10.771397869836258</v>
      </c>
      <c r="AE437" s="229">
        <f t="shared" si="168"/>
        <v>102.97030066178051</v>
      </c>
      <c r="AF437" s="227">
        <f t="shared" si="157"/>
        <v>-10.671724108367062</v>
      </c>
      <c r="AG437" s="227">
        <f t="shared" si="158"/>
        <v>-6.0651553022337765</v>
      </c>
      <c r="AH437" s="229" t="str">
        <f t="shared" si="159"/>
        <v>0.0649444279291138-0.281971977610027i</v>
      </c>
    </row>
    <row r="438" spans="2:34" x14ac:dyDescent="0.2">
      <c r="I438" s="227">
        <v>434</v>
      </c>
      <c r="J438" s="227">
        <f t="shared" si="147"/>
        <v>5.2315531766239953</v>
      </c>
      <c r="K438" s="227">
        <f t="shared" si="169"/>
        <v>170432.79907681391</v>
      </c>
      <c r="L438" s="227">
        <f t="shared" si="160"/>
        <v>1070860.8590209277</v>
      </c>
      <c r="M438" s="227">
        <f t="shared" si="148"/>
        <v>167718.52724893784</v>
      </c>
      <c r="N438" s="227">
        <f>SQRT((ABS(AC438)-171.5+'Small Signal'!C$59)^2)</f>
        <v>7.8439130371273933</v>
      </c>
      <c r="O438" s="227">
        <f t="shared" si="161"/>
        <v>6.6515967415811019</v>
      </c>
      <c r="P438" s="227">
        <f t="shared" si="162"/>
        <v>10.593230806426387</v>
      </c>
      <c r="Q438" s="227">
        <f t="shared" si="170"/>
        <v>170432.79907681391</v>
      </c>
      <c r="R438" s="227" t="str">
        <f t="shared" si="149"/>
        <v>0.0355+1.39211911672721i</v>
      </c>
      <c r="S438" s="227" t="str">
        <f t="shared" si="150"/>
        <v>0.018-0.00424467334590078i</v>
      </c>
      <c r="T438" s="227" t="str">
        <f t="shared" si="151"/>
        <v>0.017952308557634-0.00422089556374774i</v>
      </c>
      <c r="U438" s="227" t="str">
        <f t="shared" si="152"/>
        <v>-0.379139536356661+0.0291298824086972i</v>
      </c>
      <c r="V438" s="227">
        <f t="shared" si="163"/>
        <v>-8.3984570897569473</v>
      </c>
      <c r="W438" s="227">
        <f t="shared" si="164"/>
        <v>-184.39349268539533</v>
      </c>
      <c r="X438" s="227" t="str">
        <f t="shared" si="153"/>
        <v>0.793441144880657-0.122797922675143i</v>
      </c>
      <c r="Y438" s="227" t="str">
        <f t="shared" si="154"/>
        <v>0.436782474574115-17.2786960886658i</v>
      </c>
      <c r="Z438" s="227" t="str">
        <f t="shared" si="155"/>
        <v>-0.3257105330517-2.5252211048506i</v>
      </c>
      <c r="AA438" s="227" t="str">
        <f t="shared" si="156"/>
        <v>-0.345382018876066-0.983838315661248i</v>
      </c>
      <c r="AB438" s="227">
        <f t="shared" si="165"/>
        <v>0.36320057415561796</v>
      </c>
      <c r="AC438" s="227">
        <f t="shared" si="166"/>
        <v>-109.34391303712739</v>
      </c>
      <c r="AD438" s="229">
        <f t="shared" si="167"/>
        <v>-10.956431380582005</v>
      </c>
      <c r="AE438" s="229">
        <f t="shared" si="168"/>
        <v>102.69231629554629</v>
      </c>
      <c r="AF438" s="227">
        <f t="shared" si="157"/>
        <v>-10.593230806426387</v>
      </c>
      <c r="AG438" s="227">
        <f t="shared" si="158"/>
        <v>-6.6515967415811019</v>
      </c>
      <c r="AH438" s="229" t="str">
        <f t="shared" si="159"/>
        <v>0.0622356004915413-0.276333924317221i</v>
      </c>
    </row>
    <row r="439" spans="2:34" x14ac:dyDescent="0.2">
      <c r="I439" s="227">
        <v>435</v>
      </c>
      <c r="J439" s="227">
        <f t="shared" si="147"/>
        <v>5.2413032991507791</v>
      </c>
      <c r="K439" s="227">
        <f t="shared" si="169"/>
        <v>174302.37275803846</v>
      </c>
      <c r="L439" s="227">
        <f t="shared" si="160"/>
        <v>1095174.1075198466</v>
      </c>
      <c r="M439" s="227">
        <f t="shared" si="148"/>
        <v>171675.95726154596</v>
      </c>
      <c r="N439" s="227">
        <f>SQRT((ABS(AC439)-171.5+'Small Signal'!C$59)^2)</f>
        <v>8.1764915546691839</v>
      </c>
      <c r="O439" s="227">
        <f t="shared" si="161"/>
        <v>7.2566118276328808</v>
      </c>
      <c r="P439" s="227">
        <f t="shared" si="162"/>
        <v>10.51024389770474</v>
      </c>
      <c r="Q439" s="227">
        <f t="shared" si="170"/>
        <v>174302.37275803846</v>
      </c>
      <c r="R439" s="227" t="str">
        <f t="shared" si="149"/>
        <v>0.0355+1.4237263397758i</v>
      </c>
      <c r="S439" s="227" t="str">
        <f t="shared" si="150"/>
        <v>0.018-0.00415044011198208i</v>
      </c>
      <c r="T439" s="227" t="str">
        <f t="shared" si="151"/>
        <v>0.0179521859856817-0.00412719028418083i</v>
      </c>
      <c r="U439" s="227" t="str">
        <f t="shared" si="152"/>
        <v>-0.378613359121271+0.0284967247041373i</v>
      </c>
      <c r="V439" s="227">
        <f t="shared" si="163"/>
        <v>-8.411548075435098</v>
      </c>
      <c r="W439" s="227">
        <f t="shared" si="164"/>
        <v>-184.30431020391109</v>
      </c>
      <c r="X439" s="227" t="str">
        <f t="shared" si="153"/>
        <v>0.783955078050971-0.125585975281605i</v>
      </c>
      <c r="Y439" s="227" t="str">
        <f t="shared" si="154"/>
        <v>0.417612783559804-16.8955132200082i</v>
      </c>
      <c r="Z439" s="227" t="str">
        <f t="shared" si="155"/>
        <v>-0.329237489624009-2.43981425726001i</v>
      </c>
      <c r="AA439" s="227" t="str">
        <f t="shared" si="156"/>
        <v>-0.362106663063834-1.01263366128223i</v>
      </c>
      <c r="AB439" s="227">
        <f t="shared" si="165"/>
        <v>0.6316372478423794</v>
      </c>
      <c r="AC439" s="227">
        <f t="shared" si="166"/>
        <v>-109.67649155466918</v>
      </c>
      <c r="AD439" s="229">
        <f t="shared" si="167"/>
        <v>-11.141881145547119</v>
      </c>
      <c r="AE439" s="229">
        <f t="shared" si="168"/>
        <v>102.4198797270363</v>
      </c>
      <c r="AF439" s="227">
        <f t="shared" si="157"/>
        <v>-10.51024389770474</v>
      </c>
      <c r="AG439" s="227">
        <f t="shared" si="158"/>
        <v>-7.2566118276328808</v>
      </c>
      <c r="AH439" s="229" t="str">
        <f t="shared" si="159"/>
        <v>0.059634040041291-0.270783156130228i</v>
      </c>
    </row>
    <row r="440" spans="2:34" x14ac:dyDescent="0.2">
      <c r="I440" s="227">
        <v>436</v>
      </c>
      <c r="J440" s="227">
        <f t="shared" si="147"/>
        <v>5.2510534216775619</v>
      </c>
      <c r="K440" s="227">
        <f t="shared" si="169"/>
        <v>178259.80277064658</v>
      </c>
      <c r="L440" s="227">
        <f t="shared" si="160"/>
        <v>1120039.3736292575</v>
      </c>
      <c r="M440" s="227">
        <f t="shared" si="148"/>
        <v>175723.23833043626</v>
      </c>
      <c r="N440" s="227">
        <f>SQRT((ABS(AC440)-171.5+'Small Signal'!C$59)^2)</f>
        <v>8.5349176979258345</v>
      </c>
      <c r="O440" s="227">
        <f t="shared" si="161"/>
        <v>7.8820118629273423</v>
      </c>
      <c r="P440" s="227">
        <f t="shared" si="162"/>
        <v>10.422519896605191</v>
      </c>
      <c r="Q440" s="227">
        <f t="shared" si="170"/>
        <v>178259.80277064658</v>
      </c>
      <c r="R440" s="227" t="str">
        <f t="shared" si="149"/>
        <v>0.0355+1.45605118571803i</v>
      </c>
      <c r="S440" s="227" t="str">
        <f t="shared" si="150"/>
        <v>0.018-0.0040582988888381i</v>
      </c>
      <c r="T440" s="227" t="str">
        <f t="shared" si="151"/>
        <v>0.0179520687955952-0.00403556528945439i</v>
      </c>
      <c r="U440" s="227" t="str">
        <f t="shared" si="152"/>
        <v>-0.378110260116097+0.0278767421923045i</v>
      </c>
      <c r="V440" s="227">
        <f t="shared" si="163"/>
        <v>-8.4240881915245858</v>
      </c>
      <c r="W440" s="227">
        <f t="shared" si="164"/>
        <v>-184.21658785147025</v>
      </c>
      <c r="X440" s="227" t="str">
        <f t="shared" si="153"/>
        <v>0.774033370426099-0.128437328937198i</v>
      </c>
      <c r="Y440" s="227" t="str">
        <f t="shared" si="154"/>
        <v>0.399284063810165-16.5208104399344i</v>
      </c>
      <c r="Z440" s="227" t="str">
        <f t="shared" si="155"/>
        <v>-0.332609719162444-2.35563056070476i</v>
      </c>
      <c r="AA440" s="227" t="str">
        <f t="shared" si="156"/>
        <v>-0.380223287478624-1.04267732700858i</v>
      </c>
      <c r="AB440" s="227">
        <f t="shared" si="165"/>
        <v>0.90521074791967493</v>
      </c>
      <c r="AC440" s="227">
        <f t="shared" si="166"/>
        <v>-110.03491769792583</v>
      </c>
      <c r="AD440" s="229">
        <f t="shared" si="167"/>
        <v>-11.327730644524866</v>
      </c>
      <c r="AE440" s="229">
        <f t="shared" si="168"/>
        <v>102.15290583499849</v>
      </c>
      <c r="AF440" s="227">
        <f t="shared" si="157"/>
        <v>-10.422519896605191</v>
      </c>
      <c r="AG440" s="227">
        <f t="shared" si="158"/>
        <v>-7.8820118629273423</v>
      </c>
      <c r="AH440" s="229" t="str">
        <f t="shared" si="159"/>
        <v>0.0571359684779772-0.265319939990887i</v>
      </c>
    </row>
    <row r="441" spans="2:34" x14ac:dyDescent="0.2">
      <c r="I441" s="227">
        <v>437</v>
      </c>
      <c r="J441" s="227">
        <f t="shared" si="147"/>
        <v>5.2608035442043457</v>
      </c>
      <c r="K441" s="227">
        <f t="shared" si="169"/>
        <v>182307.08383953688</v>
      </c>
      <c r="L441" s="227">
        <f t="shared" si="160"/>
        <v>1145469.1905753352</v>
      </c>
      <c r="M441" s="227">
        <f t="shared" si="148"/>
        <v>179862.41046952829</v>
      </c>
      <c r="N441" s="227">
        <f>SQRT((ABS(AC441)-171.5+'Small Signal'!C$59)^2)</f>
        <v>8.9211050571487078</v>
      </c>
      <c r="O441" s="227">
        <f t="shared" si="161"/>
        <v>8.5297958888273797</v>
      </c>
      <c r="P441" s="227">
        <f t="shared" si="162"/>
        <v>10.329799487686419</v>
      </c>
      <c r="Q441" s="227">
        <f t="shared" si="170"/>
        <v>182307.08383953688</v>
      </c>
      <c r="R441" s="227" t="str">
        <f t="shared" si="149"/>
        <v>0.0355+1.48910994774794i</v>
      </c>
      <c r="S441" s="227" t="str">
        <f t="shared" si="150"/>
        <v>0.018-0.00396820323309743i</v>
      </c>
      <c r="T441" s="227" t="str">
        <f t="shared" si="151"/>
        <v>0.0179519567510688-0.00394597439685316i</v>
      </c>
      <c r="U441" s="227" t="str">
        <f t="shared" si="152"/>
        <v>-0.377629228178406+0.0272696997163689i</v>
      </c>
      <c r="V441" s="227">
        <f t="shared" si="163"/>
        <v>-8.4360996618999913</v>
      </c>
      <c r="W441" s="227">
        <f t="shared" si="164"/>
        <v>-184.13032458236628</v>
      </c>
      <c r="X441" s="227" t="str">
        <f t="shared" si="153"/>
        <v>0.763656015515905-0.131353420853978i</v>
      </c>
      <c r="Y441" s="227" t="str">
        <f t="shared" si="154"/>
        <v>0.381759452626113-16.1544012253619i</v>
      </c>
      <c r="Z441" s="227" t="str">
        <f t="shared" si="155"/>
        <v>-0.33583400389306-2.27262801402498i</v>
      </c>
      <c r="AA441" s="227" t="str">
        <f t="shared" si="156"/>
        <v>-0.399880930096951-1.07403631882405i</v>
      </c>
      <c r="AB441" s="227">
        <f t="shared" si="165"/>
        <v>1.1841644545359191</v>
      </c>
      <c r="AC441" s="227">
        <f t="shared" si="166"/>
        <v>-110.42110505714871</v>
      </c>
      <c r="AD441" s="229">
        <f t="shared" si="167"/>
        <v>-11.513963942222338</v>
      </c>
      <c r="AE441" s="229">
        <f t="shared" si="168"/>
        <v>101.89130916832133</v>
      </c>
      <c r="AF441" s="227">
        <f t="shared" si="157"/>
        <v>-10.329799487686419</v>
      </c>
      <c r="AG441" s="227">
        <f t="shared" si="158"/>
        <v>-8.5297958888273797</v>
      </c>
      <c r="AH441" s="229" t="str">
        <f t="shared" si="159"/>
        <v>0.0547377019374525-0.259944419062867i</v>
      </c>
    </row>
    <row r="442" spans="2:34" x14ac:dyDescent="0.2">
      <c r="I442" s="227">
        <v>438</v>
      </c>
      <c r="J442" s="227">
        <f t="shared" si="147"/>
        <v>5.2705536667311286</v>
      </c>
      <c r="K442" s="227">
        <f t="shared" si="169"/>
        <v>186446.25597862891</v>
      </c>
      <c r="L442" s="227">
        <f t="shared" si="160"/>
        <v>1171476.3761435652</v>
      </c>
      <c r="M442" s="227">
        <f t="shared" si="148"/>
        <v>184095.56001002603</v>
      </c>
      <c r="N442" s="227">
        <f>SQRT((ABS(AC442)-171.5+'Small Signal'!C$59)^2)</f>
        <v>9.3371801462998576</v>
      </c>
      <c r="O442" s="227">
        <f t="shared" si="161"/>
        <v>9.2021760737291203</v>
      </c>
      <c r="P442" s="227">
        <f t="shared" si="162"/>
        <v>10.231806735698783</v>
      </c>
      <c r="Q442" s="227">
        <f t="shared" si="170"/>
        <v>186446.25597862891</v>
      </c>
      <c r="R442" s="227" t="str">
        <f t="shared" si="149"/>
        <v>0.0355+1.52291928898663i</v>
      </c>
      <c r="S442" s="227" t="str">
        <f t="shared" si="150"/>
        <v>0.018-0.00388010773244778i</v>
      </c>
      <c r="T442" s="227" t="str">
        <f t="shared" si="151"/>
        <v>0.0179518496261723-0.00385837244891236i</v>
      </c>
      <c r="U442" s="227" t="str">
        <f t="shared" si="152"/>
        <v>-0.377169296358715+0.0266753636112282i</v>
      </c>
      <c r="V442" s="227">
        <f t="shared" si="163"/>
        <v>-8.4476038922727028</v>
      </c>
      <c r="W442" s="227">
        <f t="shared" si="164"/>
        <v>-184.0455175795029</v>
      </c>
      <c r="X442" s="227" t="str">
        <f t="shared" si="153"/>
        <v>0.752802088046589-0.134335720875034i</v>
      </c>
      <c r="Y442" s="227" t="str">
        <f t="shared" si="154"/>
        <v>0.365003700503889-15.7961030810581i</v>
      </c>
      <c r="Z442" s="227" t="str">
        <f t="shared" si="155"/>
        <v>-0.338916829236214-2.19076518336164i</v>
      </c>
      <c r="AA442" s="227" t="str">
        <f t="shared" si="156"/>
        <v>-0.421248442357576-1.10678030176365i</v>
      </c>
      <c r="AB442" s="227">
        <f t="shared" si="165"/>
        <v>1.4687589377063468</v>
      </c>
      <c r="AC442" s="227">
        <f t="shared" si="166"/>
        <v>-110.83718014629986</v>
      </c>
      <c r="AD442" s="229">
        <f t="shared" si="167"/>
        <v>-11.70056567340513</v>
      </c>
      <c r="AE442" s="229">
        <f t="shared" si="168"/>
        <v>101.63500407257074</v>
      </c>
      <c r="AF442" s="227">
        <f t="shared" si="157"/>
        <v>-10.231806735698783</v>
      </c>
      <c r="AG442" s="227">
        <f t="shared" si="158"/>
        <v>-9.2021760737291203</v>
      </c>
      <c r="AH442" s="229" t="str">
        <f t="shared" si="159"/>
        <v>0.0524356518359321-0.254656620713216i</v>
      </c>
    </row>
    <row r="443" spans="2:34" x14ac:dyDescent="0.2">
      <c r="I443" s="227">
        <v>439</v>
      </c>
      <c r="J443" s="227">
        <f t="shared" si="147"/>
        <v>5.2803037892579123</v>
      </c>
      <c r="K443" s="227">
        <f t="shared" si="169"/>
        <v>190679.40551912665</v>
      </c>
      <c r="L443" s="227">
        <f t="shared" si="160"/>
        <v>1198074.0391395148</v>
      </c>
      <c r="M443" s="227">
        <f t="shared" si="148"/>
        <v>188424.82065202176</v>
      </c>
      <c r="N443" s="227">
        <f>SQRT((ABS(AC443)-171.5+'Small Signal'!C$59)^2)</f>
        <v>9.7855119160878559</v>
      </c>
      <c r="O443" s="227">
        <f t="shared" si="161"/>
        <v>9.9016071077247858</v>
      </c>
      <c r="P443" s="227">
        <f t="shared" si="162"/>
        <v>10.128248353435589</v>
      </c>
      <c r="Q443" s="227">
        <f t="shared" si="170"/>
        <v>190679.40551912665</v>
      </c>
      <c r="R443" s="227" t="str">
        <f t="shared" si="149"/>
        <v>0.0355+1.55749625088137i</v>
      </c>
      <c r="S443" s="227" t="str">
        <f t="shared" si="150"/>
        <v>0.018-0.00379396798274604i</v>
      </c>
      <c r="T443" s="227" t="str">
        <f t="shared" si="151"/>
        <v>0.0179517472048957-0.0037727152906583i</v>
      </c>
      <c r="U443" s="227" t="str">
        <f t="shared" si="152"/>
        <v>-0.376729539995344+0.0260935019126611i</v>
      </c>
      <c r="V443" s="227">
        <f t="shared" si="163"/>
        <v>-8.4586214938821698</v>
      </c>
      <c r="W443" s="227">
        <f t="shared" si="164"/>
        <v>-183.96216238629643</v>
      </c>
      <c r="X443" s="227" t="str">
        <f t="shared" si="153"/>
        <v>0.741449701766204-0.137385732215352i</v>
      </c>
      <c r="Y443" s="227" t="str">
        <f t="shared" si="154"/>
        <v>0.348983100763141-15.445737457565i</v>
      </c>
      <c r="Z443" s="227" t="str">
        <f t="shared" si="155"/>
        <v>-0.341864396754008-2.11000118309528i</v>
      </c>
      <c r="AA443" s="227" t="str">
        <f t="shared" si="156"/>
        <v>-0.444517593501103-1.14098107304383i</v>
      </c>
      <c r="AB443" s="227">
        <f t="shared" si="165"/>
        <v>1.7592726744730824</v>
      </c>
      <c r="AC443" s="227">
        <f t="shared" si="166"/>
        <v>-111.28551191608786</v>
      </c>
      <c r="AD443" s="229">
        <f t="shared" si="167"/>
        <v>-11.887521027908672</v>
      </c>
      <c r="AE443" s="229">
        <f t="shared" si="168"/>
        <v>101.38390480836307</v>
      </c>
      <c r="AF443" s="227">
        <f t="shared" si="157"/>
        <v>-10.128248353435589</v>
      </c>
      <c r="AG443" s="227">
        <f t="shared" si="158"/>
        <v>-9.9016071077247858</v>
      </c>
      <c r="AH443" s="229" t="str">
        <f t="shared" si="159"/>
        <v>0.0502263255329486-0.24945646419623i</v>
      </c>
    </row>
    <row r="444" spans="2:34" x14ac:dyDescent="0.2">
      <c r="I444" s="227">
        <v>440</v>
      </c>
      <c r="J444" s="227">
        <f t="shared" si="147"/>
        <v>5.290053911784697</v>
      </c>
      <c r="K444" s="227">
        <f t="shared" si="169"/>
        <v>195008.66616112238</v>
      </c>
      <c r="L444" s="227">
        <f t="shared" si="160"/>
        <v>1225275.5859962532</v>
      </c>
      <c r="M444" s="227">
        <f t="shared" si="148"/>
        <v>192852.37453997714</v>
      </c>
      <c r="N444" s="227">
        <f>SQRT((ABS(AC444)-171.5+'Small Signal'!C$59)^2)</f>
        <v>10.268745975797472</v>
      </c>
      <c r="O444" s="227">
        <f t="shared" si="161"/>
        <v>10.630820313909609</v>
      </c>
      <c r="P444" s="227">
        <f t="shared" si="162"/>
        <v>10.018813073330335</v>
      </c>
      <c r="Q444" s="227">
        <f t="shared" si="170"/>
        <v>195008.66616112238</v>
      </c>
      <c r="R444" s="227" t="str">
        <f t="shared" si="149"/>
        <v>0.0355+1.59285826179513i</v>
      </c>
      <c r="S444" s="227" t="str">
        <f t="shared" si="150"/>
        <v>0.018-0.00370974056563667i</v>
      </c>
      <c r="T444" s="227" t="str">
        <f t="shared" si="151"/>
        <v>0.0179516492807136-0.003688959747354i</v>
      </c>
      <c r="U444" s="227" t="str">
        <f t="shared" si="152"/>
        <v>-0.376309074872112+0.0255238845461083i</v>
      </c>
      <c r="V444" s="227">
        <f t="shared" si="163"/>
        <v>-8.4691723070463176</v>
      </c>
      <c r="W444" s="227">
        <f t="shared" si="164"/>
        <v>-183.88025303191623</v>
      </c>
      <c r="X444" s="227" t="str">
        <f t="shared" si="153"/>
        <v>0.729575965312426-0.140504992219506i</v>
      </c>
      <c r="Y444" s="227" t="str">
        <f t="shared" si="154"/>
        <v>0.333665422226106-15.1031296704698i</v>
      </c>
      <c r="Z444" s="227" t="str">
        <f t="shared" si="155"/>
        <v>-0.344682636536429-2.03029565694276i</v>
      </c>
      <c r="AA444" s="227" t="str">
        <f t="shared" si="156"/>
        <v>-0.469906719032065-1.17671175160454i</v>
      </c>
      <c r="AB444" s="227">
        <f t="shared" si="165"/>
        <v>2.0560026622422005</v>
      </c>
      <c r="AC444" s="227">
        <f t="shared" si="166"/>
        <v>-111.76874597579747</v>
      </c>
      <c r="AD444" s="229">
        <f t="shared" si="167"/>
        <v>-12.074815735572535</v>
      </c>
      <c r="AE444" s="229">
        <f t="shared" si="168"/>
        <v>101.13792566188786</v>
      </c>
      <c r="AF444" s="227">
        <f t="shared" si="157"/>
        <v>-10.018813073330335</v>
      </c>
      <c r="AG444" s="227">
        <f t="shared" si="158"/>
        <v>-10.630820313909609</v>
      </c>
      <c r="AH444" s="229" t="str">
        <f t="shared" si="159"/>
        <v>0.0481063266467898-0.24434376803579i</v>
      </c>
    </row>
    <row r="445" spans="2:34" x14ac:dyDescent="0.2">
      <c r="I445" s="227">
        <v>441</v>
      </c>
      <c r="J445" s="227">
        <f t="shared" si="147"/>
        <v>5.2998040343114798</v>
      </c>
      <c r="K445" s="227">
        <f t="shared" si="169"/>
        <v>199436.22004907776</v>
      </c>
      <c r="L445" s="227">
        <f t="shared" si="160"/>
        <v>1253094.7275318003</v>
      </c>
      <c r="M445" s="227">
        <f t="shared" si="148"/>
        <v>197380.45336262794</v>
      </c>
      <c r="N445" s="227">
        <f>SQRT((ABS(AC445)-171.5+'Small Signal'!C$59)^2)</f>
        <v>10.789844368433947</v>
      </c>
      <c r="O445" s="227">
        <f t="shared" si="161"/>
        <v>11.3928633205404</v>
      </c>
      <c r="P445" s="227">
        <f t="shared" si="162"/>
        <v>9.9031711865777812</v>
      </c>
      <c r="Q445" s="227">
        <f t="shared" si="170"/>
        <v>199436.22004907776</v>
      </c>
      <c r="R445" s="227" t="str">
        <f t="shared" si="149"/>
        <v>0.0355+1.62902314579134i</v>
      </c>
      <c r="S445" s="227" t="str">
        <f t="shared" si="150"/>
        <v>0.018-0.00362738302666683i</v>
      </c>
      <c r="T445" s="227" t="str">
        <f t="shared" si="151"/>
        <v>0.0179515556561684-0.0036070636027389i</v>
      </c>
      <c r="U445" s="227" t="str">
        <f t="shared" si="152"/>
        <v>-0.375907055455724+0.02496628349658i</v>
      </c>
      <c r="V445" s="227">
        <f t="shared" si="163"/>
        <v>-8.4792754245154249</v>
      </c>
      <c r="W445" s="227">
        <f t="shared" si="164"/>
        <v>-183.79978215005181</v>
      </c>
      <c r="X445" s="227" t="str">
        <f t="shared" si="153"/>
        <v>0.717156936053588-0.143695073136549i</v>
      </c>
      <c r="Y445" s="227" t="str">
        <f t="shared" si="154"/>
        <v>0.31901984481592-14.7681088210215i</v>
      </c>
      <c r="Z445" s="227" t="str">
        <f t="shared" si="155"/>
        <v>-0.34737721905036-1.95160875921002i</v>
      </c>
      <c r="AA445" s="227" t="str">
        <f t="shared" si="156"/>
        <v>-0.497665013247608-1.21404558048824i</v>
      </c>
      <c r="AB445" s="227">
        <f t="shared" si="165"/>
        <v>2.3592648645718213</v>
      </c>
      <c r="AC445" s="227">
        <f t="shared" si="166"/>
        <v>-112.28984436843395</v>
      </c>
      <c r="AD445" s="229">
        <f t="shared" si="167"/>
        <v>-12.262436051149603</v>
      </c>
      <c r="AE445" s="229">
        <f t="shared" si="168"/>
        <v>100.89698104789355</v>
      </c>
      <c r="AF445" s="227">
        <f t="shared" si="157"/>
        <v>-9.9031711865777812</v>
      </c>
      <c r="AG445" s="227">
        <f t="shared" si="158"/>
        <v>-11.3928633205404</v>
      </c>
      <c r="AH445" s="229" t="str">
        <f t="shared" si="159"/>
        <v>0.0460723550543331-0.239318257104369i</v>
      </c>
    </row>
    <row r="446" spans="2:34" x14ac:dyDescent="0.2">
      <c r="I446" s="227">
        <v>442</v>
      </c>
      <c r="J446" s="227">
        <f t="shared" si="147"/>
        <v>5.3095541568382636</v>
      </c>
      <c r="K446" s="227">
        <f t="shared" si="169"/>
        <v>203964.29887172856</v>
      </c>
      <c r="L446" s="227">
        <f t="shared" si="160"/>
        <v>1281545.4858600309</v>
      </c>
      <c r="M446" s="227">
        <f t="shared" si="148"/>
        <v>202011.33947785053</v>
      </c>
      <c r="N446" s="227">
        <f>SQRT((ABS(AC446)-171.5+'Small Signal'!C$59)^2)</f>
        <v>11.352131901928985</v>
      </c>
      <c r="O446" s="227">
        <f t="shared" si="161"/>
        <v>12.191146296477513</v>
      </c>
      <c r="P446" s="227">
        <f t="shared" si="162"/>
        <v>9.7809743378110827</v>
      </c>
      <c r="Q446" s="227">
        <f t="shared" si="170"/>
        <v>203964.29887172856</v>
      </c>
      <c r="R446" s="227" t="str">
        <f t="shared" si="149"/>
        <v>0.0355+1.66600913161804i</v>
      </c>
      <c r="S446" s="227" t="str">
        <f t="shared" si="150"/>
        <v>0.018-0.00354685385388732i</v>
      </c>
      <c r="T446" s="227" t="str">
        <f t="shared" si="151"/>
        <v>0.0179514661424726-0.00352698557775141i</v>
      </c>
      <c r="U446" s="227" t="str">
        <f t="shared" si="152"/>
        <v>-0.375522673209399+0.0244204729610323i</v>
      </c>
      <c r="V446" s="227">
        <f t="shared" si="163"/>
        <v>-8.4889492145828171</v>
      </c>
      <c r="W446" s="227">
        <f t="shared" si="164"/>
        <v>-183.72074109139783</v>
      </c>
      <c r="X446" s="227" t="str">
        <f t="shared" si="153"/>
        <v>0.704167571809879-0.1469575829125i</v>
      </c>
      <c r="Y446" s="227" t="str">
        <f t="shared" si="154"/>
        <v>0.305016897950165-14.4405077180935i</v>
      </c>
      <c r="Z446" s="227" t="str">
        <f t="shared" si="155"/>
        <v>-0.349953566474336-1.87390113619879i</v>
      </c>
      <c r="AA446" s="227" t="str">
        <f t="shared" si="156"/>
        <v>-0.528077582527221-1.2530542023233i</v>
      </c>
      <c r="AB446" s="227">
        <f t="shared" si="165"/>
        <v>2.6693944014273563</v>
      </c>
      <c r="AC446" s="227">
        <f t="shared" si="166"/>
        <v>-112.85213190192898</v>
      </c>
      <c r="AD446" s="229">
        <f t="shared" si="167"/>
        <v>-12.450368739238439</v>
      </c>
      <c r="AE446" s="229">
        <f t="shared" si="168"/>
        <v>100.66098560545147</v>
      </c>
      <c r="AF446" s="227">
        <f t="shared" si="157"/>
        <v>-9.7809743378110827</v>
      </c>
      <c r="AG446" s="227">
        <f t="shared" si="158"/>
        <v>-12.191146296477513</v>
      </c>
      <c r="AH446" s="229" t="str">
        <f t="shared" si="159"/>
        <v>0.0441212066054622-0.234379569398717i</v>
      </c>
    </row>
    <row r="447" spans="2:34" x14ac:dyDescent="0.2">
      <c r="I447" s="227">
        <v>443</v>
      </c>
      <c r="J447" s="227">
        <f t="shared" si="147"/>
        <v>5.3193042793650465</v>
      </c>
      <c r="K447" s="227">
        <f t="shared" si="169"/>
        <v>208595.18498695115</v>
      </c>
      <c r="L447" s="227">
        <f t="shared" si="160"/>
        <v>1310642.2014584192</v>
      </c>
      <c r="M447" s="227">
        <f t="shared" si="148"/>
        <v>206747.36706308005</v>
      </c>
      <c r="N447" s="227">
        <f>SQRT((ABS(AC447)-171.5+'Small Signal'!C$59)^2)</f>
        <v>11.959350224372955</v>
      </c>
      <c r="O447" s="227">
        <f t="shared" si="161"/>
        <v>13.029495937559517</v>
      </c>
      <c r="P447" s="227">
        <f t="shared" si="162"/>
        <v>9.6518556962928859</v>
      </c>
      <c r="Q447" s="227">
        <f t="shared" si="170"/>
        <v>208595.18498695115</v>
      </c>
      <c r="R447" s="227" t="str">
        <f t="shared" si="149"/>
        <v>0.0355+1.70383486189595i</v>
      </c>
      <c r="S447" s="227" t="str">
        <f t="shared" si="150"/>
        <v>0.018-0.00346811245692881i</v>
      </c>
      <c r="T447" s="227" t="str">
        <f t="shared" si="151"/>
        <v>0.0179513805591279-0.00344868530972394i</v>
      </c>
      <c r="U447" s="227" t="str">
        <f t="shared" si="152"/>
        <v>-0.375155154979492+0.0238862294845086i</v>
      </c>
      <c r="V447" s="227">
        <f t="shared" si="163"/>
        <v>-8.4982113439094835</v>
      </c>
      <c r="W447" s="227">
        <f t="shared" si="164"/>
        <v>-183.64312003006356</v>
      </c>
      <c r="X447" s="227" t="str">
        <f t="shared" si="153"/>
        <v>0.690581680357402-0.150294166000818i</v>
      </c>
      <c r="Y447" s="227" t="str">
        <f t="shared" si="154"/>
        <v>0.291628401609168-14.1201628014885i</v>
      </c>
      <c r="Z447" s="227" t="str">
        <f t="shared" si="155"/>
        <v>-0.352416863541166-1.79713390776447i</v>
      </c>
      <c r="AA447" s="227" t="str">
        <f t="shared" si="156"/>
        <v>-0.561471393961972-1.29380521924364i</v>
      </c>
      <c r="AB447" s="227">
        <f t="shared" si="165"/>
        <v>2.9867453629862428</v>
      </c>
      <c r="AC447" s="227">
        <f t="shared" si="166"/>
        <v>-113.45935022437295</v>
      </c>
      <c r="AD447" s="229">
        <f t="shared" si="167"/>
        <v>-12.638601059279129</v>
      </c>
      <c r="AE447" s="229">
        <f t="shared" si="168"/>
        <v>100.42985428681344</v>
      </c>
      <c r="AF447" s="227">
        <f t="shared" si="157"/>
        <v>-9.6518556962928859</v>
      </c>
      <c r="AG447" s="227">
        <f t="shared" si="158"/>
        <v>-13.029495937559517</v>
      </c>
      <c r="AH447" s="229" t="str">
        <f t="shared" si="159"/>
        <v>0.0422497725805428-0.229527262513938i</v>
      </c>
    </row>
    <row r="448" spans="2:34" x14ac:dyDescent="0.2">
      <c r="I448" s="227">
        <v>444</v>
      </c>
      <c r="J448" s="227">
        <f t="shared" si="147"/>
        <v>5.3290544018918302</v>
      </c>
      <c r="K448" s="227">
        <f t="shared" si="169"/>
        <v>213331.21257218067</v>
      </c>
      <c r="L448" s="227">
        <f t="shared" si="160"/>
        <v>1340399.5403963306</v>
      </c>
      <c r="M448" s="227">
        <f t="shared" si="148"/>
        <v>211590.92329183692</v>
      </c>
      <c r="N448" s="227">
        <f>SQRT((ABS(AC448)-171.5+'Small Signal'!C$59)^2)</f>
        <v>12.615721045262305</v>
      </c>
      <c r="O448" s="227">
        <f t="shared" si="161"/>
        <v>13.912218605590184</v>
      </c>
      <c r="P448" s="227">
        <f t="shared" si="162"/>
        <v>9.5154306693445285</v>
      </c>
      <c r="Q448" s="227">
        <f t="shared" si="170"/>
        <v>213331.21257218067</v>
      </c>
      <c r="R448" s="227" t="str">
        <f t="shared" si="149"/>
        <v>0.0355+1.74251940251523i</v>
      </c>
      <c r="S448" s="227" t="str">
        <f t="shared" si="150"/>
        <v>0.018-0.00339111914654233i</v>
      </c>
      <c r="T448" s="227" t="str">
        <f t="shared" si="151"/>
        <v>0.0179512987335612-0.00337212333203961i</v>
      </c>
      <c r="U448" s="227" t="str">
        <f t="shared" si="152"/>
        <v>-0.374803761452022+0.0233633320812333i</v>
      </c>
      <c r="V448" s="227">
        <f t="shared" si="163"/>
        <v>-8.5070788000241375</v>
      </c>
      <c r="W448" s="227">
        <f t="shared" si="164"/>
        <v>-183.56690806411433</v>
      </c>
      <c r="X448" s="227" t="str">
        <f t="shared" si="153"/>
        <v>0.676371866613213-0.153706504191288i</v>
      </c>
      <c r="Y448" s="227" t="str">
        <f t="shared" si="154"/>
        <v>0.278827409964045-13.8069140665818i</v>
      </c>
      <c r="Z448" s="227" t="str">
        <f t="shared" si="155"/>
        <v>-0.35477206790961-1.72126864902218i</v>
      </c>
      <c r="AA448" s="227" t="str">
        <f t="shared" si="156"/>
        <v>-0.598222271653722-1.33635878228271i</v>
      </c>
      <c r="AB448" s="227">
        <f t="shared" si="165"/>
        <v>3.3116900813090515</v>
      </c>
      <c r="AC448" s="227">
        <f t="shared" si="166"/>
        <v>-114.1157210452623</v>
      </c>
      <c r="AD448" s="229">
        <f t="shared" si="167"/>
        <v>-12.827120750653581</v>
      </c>
      <c r="AE448" s="229">
        <f t="shared" si="168"/>
        <v>100.20350243967212</v>
      </c>
      <c r="AF448" s="227">
        <f t="shared" si="157"/>
        <v>-9.5154306693445285</v>
      </c>
      <c r="AG448" s="227">
        <f t="shared" si="158"/>
        <v>-13.912218605590184</v>
      </c>
      <c r="AH448" s="229" t="str">
        <f t="shared" si="159"/>
        <v>0.0404550389176795-0.224760819818952i</v>
      </c>
    </row>
    <row r="449" spans="9:34" x14ac:dyDescent="0.2">
      <c r="I449" s="227">
        <v>445</v>
      </c>
      <c r="J449" s="227">
        <f t="shared" si="147"/>
        <v>5.3388045244186131</v>
      </c>
      <c r="K449" s="227">
        <f t="shared" si="169"/>
        <v>218174.76880093754</v>
      </c>
      <c r="L449" s="227">
        <f t="shared" si="160"/>
        <v>1370832.501727354</v>
      </c>
      <c r="M449" s="227">
        <f t="shared" si="148"/>
        <v>216544.44953697509</v>
      </c>
      <c r="N449" s="227">
        <f>SQRT((ABS(AC449)-171.5+'Small Signal'!C$59)^2)</f>
        <v>13.326020147278882</v>
      </c>
      <c r="O449" s="227">
        <f t="shared" si="161"/>
        <v>14.844174264142723</v>
      </c>
      <c r="P449" s="227">
        <f t="shared" si="162"/>
        <v>9.3712983845941586</v>
      </c>
      <c r="Q449" s="227">
        <f t="shared" si="170"/>
        <v>218174.76880093754</v>
      </c>
      <c r="R449" s="227" t="str">
        <f t="shared" si="149"/>
        <v>0.0355+1.78208225224556i</v>
      </c>
      <c r="S449" s="227" t="str">
        <f t="shared" si="150"/>
        <v>0.018-0.00331583511459418i</v>
      </c>
      <c r="T449" s="227" t="str">
        <f t="shared" si="151"/>
        <v>0.0179512205007768-0.00329726105424065i</v>
      </c>
      <c r="U449" s="227" t="str">
        <f t="shared" si="152"/>
        <v>-0.374467785676107+0.0228515623417732i</v>
      </c>
      <c r="V449" s="227">
        <f t="shared" si="163"/>
        <v>-8.515567913465814</v>
      </c>
      <c r="W449" s="227">
        <f t="shared" si="164"/>
        <v>-183.4920933104593</v>
      </c>
      <c r="X449" s="227" t="str">
        <f t="shared" si="153"/>
        <v>0.661509477394897-0.157196317457709i</v>
      </c>
      <c r="Y449" s="227" t="str">
        <f t="shared" si="154"/>
        <v>0.266588157455056-13.500604990296i</v>
      </c>
      <c r="Z449" s="227" t="str">
        <f t="shared" si="155"/>
        <v>-0.357023920085196-1.64626737219755i</v>
      </c>
      <c r="AA449" s="227" t="str">
        <f t="shared" si="156"/>
        <v>-0.638763108173133-1.38076286544549i</v>
      </c>
      <c r="AB449" s="227">
        <f t="shared" si="165"/>
        <v>3.6446176333278855</v>
      </c>
      <c r="AC449" s="227">
        <f t="shared" si="166"/>
        <v>-114.82602014727888</v>
      </c>
      <c r="AD449" s="229">
        <f t="shared" si="167"/>
        <v>-13.015916017922045</v>
      </c>
      <c r="AE449" s="229">
        <f t="shared" si="168"/>
        <v>99.98184588313616</v>
      </c>
      <c r="AF449" s="227">
        <f t="shared" si="157"/>
        <v>-9.3712983845941586</v>
      </c>
      <c r="AG449" s="227">
        <f t="shared" si="158"/>
        <v>-14.844174264142723</v>
      </c>
      <c r="AH449" s="229" t="str">
        <f t="shared" si="159"/>
        <v>0.0387340852348417-0.220079656337687i</v>
      </c>
    </row>
    <row r="450" spans="9:34" x14ac:dyDescent="0.2">
      <c r="I450" s="227">
        <v>446</v>
      </c>
      <c r="J450" s="227">
        <f t="shared" si="147"/>
        <v>5.3485546469453968</v>
      </c>
      <c r="K450" s="227">
        <f t="shared" si="169"/>
        <v>223128.29504607571</v>
      </c>
      <c r="L450" s="227">
        <f t="shared" si="160"/>
        <v>1401956.4250495345</v>
      </c>
      <c r="M450" s="227">
        <f t="shared" si="148"/>
        <v>221610.44260124161</v>
      </c>
      <c r="N450" s="227">
        <f>SQRT((ABS(AC450)-171.5+'Small Signal'!C$59)^2)</f>
        <v>14.095664099599588</v>
      </c>
      <c r="O450" s="227">
        <f t="shared" si="161"/>
        <v>15.830863121881023</v>
      </c>
      <c r="P450" s="227">
        <f t="shared" si="162"/>
        <v>9.2190442504162888</v>
      </c>
      <c r="Q450" s="227">
        <f t="shared" si="170"/>
        <v>223128.29504607571</v>
      </c>
      <c r="R450" s="227" t="str">
        <f t="shared" si="149"/>
        <v>0.0355+1.8225433525644i</v>
      </c>
      <c r="S450" s="227" t="str">
        <f t="shared" si="150"/>
        <v>0.018-0.00324222241450474i</v>
      </c>
      <c r="T450" s="227" t="str">
        <f t="shared" si="151"/>
        <v>0.0179511457030236-0.00322406074257805i</v>
      </c>
      <c r="U450" s="227" t="str">
        <f t="shared" si="152"/>
        <v>-0.374146551651424+0.0223507045272973i</v>
      </c>
      <c r="V450" s="227">
        <f t="shared" si="163"/>
        <v>-8.5236943795405722</v>
      </c>
      <c r="W450" s="227">
        <f t="shared" si="164"/>
        <v>-183.41866299430029</v>
      </c>
      <c r="X450" s="227" t="str">
        <f t="shared" si="153"/>
        <v>0.645964543643246-0.160765364824851i</v>
      </c>
      <c r="Y450" s="227" t="str">
        <f t="shared" si="154"/>
        <v>0.254886007214198-13.201082458401i</v>
      </c>
      <c r="Z450" s="227" t="str">
        <f t="shared" si="155"/>
        <v>-0.359176952909792-1.57209250861878i</v>
      </c>
      <c r="AA450" s="227" t="str">
        <f t="shared" si="156"/>
        <v>-0.683593466751386-1.42704675800338i</v>
      </c>
      <c r="AB450" s="227">
        <f t="shared" si="165"/>
        <v>3.9859312658111019</v>
      </c>
      <c r="AC450" s="227">
        <f t="shared" si="166"/>
        <v>-115.59566409959959</v>
      </c>
      <c r="AD450" s="229">
        <f t="shared" si="167"/>
        <v>-13.204975516227391</v>
      </c>
      <c r="AE450" s="229">
        <f t="shared" si="168"/>
        <v>99.764800977718565</v>
      </c>
      <c r="AF450" s="227">
        <f t="shared" si="157"/>
        <v>-9.2190442504162888</v>
      </c>
      <c r="AG450" s="227">
        <f t="shared" si="158"/>
        <v>-15.830863121881023</v>
      </c>
      <c r="AH450" s="229" t="str">
        <f t="shared" si="159"/>
        <v>0.0370840836702459-0.215483124341302i</v>
      </c>
    </row>
    <row r="451" spans="9:34" x14ac:dyDescent="0.2">
      <c r="I451" s="227">
        <v>447</v>
      </c>
      <c r="J451" s="227">
        <f t="shared" si="147"/>
        <v>5.3583047694721797</v>
      </c>
      <c r="K451" s="227">
        <f t="shared" si="169"/>
        <v>228194.28811034223</v>
      </c>
      <c r="L451" s="227">
        <f t="shared" si="160"/>
        <v>1433786.9982372075</v>
      </c>
      <c r="M451" s="227">
        <f t="shared" si="148"/>
        <v>226791.45597578332</v>
      </c>
      <c r="N451" s="227">
        <f>SQRT((ABS(AC451)-171.5+'Small Signal'!C$59)^2)</f>
        <v>14.930811862026744</v>
      </c>
      <c r="O451" s="227">
        <f t="shared" si="161"/>
        <v>16.878527172387876</v>
      </c>
      <c r="P451" s="227">
        <f t="shared" si="162"/>
        <v>9.058244016538076</v>
      </c>
      <c r="Q451" s="227">
        <f t="shared" si="170"/>
        <v>228194.28811034223</v>
      </c>
      <c r="R451" s="227" t="str">
        <f t="shared" si="149"/>
        <v>0.0355+1.86392309770837i</v>
      </c>
      <c r="S451" s="227" t="str">
        <f t="shared" si="150"/>
        <v>0.018-0.00317024394212182i</v>
      </c>
      <c r="T451" s="227" t="str">
        <f t="shared" si="151"/>
        <v>0.0179510741894768-0.00315248550099343i</v>
      </c>
      <c r="U451" s="227" t="str">
        <f t="shared" si="152"/>
        <v>-0.373839412976962+0.0218605456519167i</v>
      </c>
      <c r="V451" s="227">
        <f t="shared" si="163"/>
        <v>-8.5314732796671784</v>
      </c>
      <c r="W451" s="227">
        <f t="shared" si="164"/>
        <v>-183.34660353336037</v>
      </c>
      <c r="X451" s="227" t="str">
        <f t="shared" si="153"/>
        <v>0.629705719991567-0.164415445255075i</v>
      </c>
      <c r="Y451" s="227" t="str">
        <f t="shared" si="154"/>
        <v>0.24369740173144-12.9081966941296i</v>
      </c>
      <c r="Z451" s="227" t="str">
        <f t="shared" si="155"/>
        <v>-0.361235500638322-1.49870689084589i</v>
      </c>
      <c r="AA451" s="227" t="str">
        <f t="shared" si="156"/>
        <v>-0.73329074297723-1.47521214412252i</v>
      </c>
      <c r="AB451" s="227">
        <f t="shared" si="165"/>
        <v>4.3360443203559429</v>
      </c>
      <c r="AC451" s="227">
        <f t="shared" si="166"/>
        <v>-116.43081186202674</v>
      </c>
      <c r="AD451" s="229">
        <f t="shared" si="167"/>
        <v>-13.394288336894018</v>
      </c>
      <c r="AE451" s="229">
        <f t="shared" si="168"/>
        <v>99.552284689638867</v>
      </c>
      <c r="AF451" s="227">
        <f t="shared" si="157"/>
        <v>-9.058244016538076</v>
      </c>
      <c r="AG451" s="227">
        <f t="shared" si="158"/>
        <v>-16.878527172387876</v>
      </c>
      <c r="AH451" s="229" t="str">
        <f t="shared" si="159"/>
        <v>0.0355022975628155-0.210970518657649i</v>
      </c>
    </row>
    <row r="452" spans="9:34" x14ac:dyDescent="0.2">
      <c r="I452" s="227">
        <v>448</v>
      </c>
      <c r="J452" s="227">
        <f t="shared" ref="J452:J504" si="171">1+I452*(LOG(fsw)-1)/500</f>
        <v>5.3680548919989635</v>
      </c>
      <c r="K452" s="227">
        <f t="shared" si="169"/>
        <v>233375.30148488394</v>
      </c>
      <c r="L452" s="227">
        <f t="shared" si="160"/>
        <v>1466340.2653484291</v>
      </c>
      <c r="M452" s="227">
        <f t="shared" ref="M452:M504" si="172">SQRT((Fco_target-K453)^2)</f>
        <v>232090.10112721732</v>
      </c>
      <c r="N452" s="227">
        <f>SQRT((ABS(AC452)-171.5+'Small Signal'!C$59)^2)</f>
        <v>15.838483733633211</v>
      </c>
      <c r="O452" s="227">
        <f t="shared" si="161"/>
        <v>17.994269083906303</v>
      </c>
      <c r="P452" s="227">
        <f t="shared" si="162"/>
        <v>8.8884699098458633</v>
      </c>
      <c r="Q452" s="227">
        <f t="shared" si="170"/>
        <v>233375.30148488394</v>
      </c>
      <c r="R452" s="227" t="str">
        <f t="shared" ref="R452:R503" si="173">IMSUM(COMPLEX(DCRss,Lss*L452),COMPLEX(Rdsonss,0),COMPLEX(40/3*Risense,0))</f>
        <v>0.0355+1.90624234495296i</v>
      </c>
      <c r="S452" s="227" t="str">
        <f t="shared" ref="S452:S504" si="174">IMSUM(COMPLEX(ESRss,0),IMDIV(COMPLEX(1,0),COMPLEX(0,L452*Cbulkss)))</f>
        <v>0.018-0.00309986341701833i</v>
      </c>
      <c r="T452" s="227" t="str">
        <f t="shared" ref="T452:T504" si="175">IMDIV(IMPRODUCT(S452,COMPLEX(Ross,0)),IMSUM(S452,COMPLEX(Ross,0)))</f>
        <v>0.0179510058159342-0.00308249925252256i</v>
      </c>
      <c r="U452" s="227" t="str">
        <f t="shared" ref="U452:U504" si="176">IMPRODUCT(COMPLEX(Vinss,0),COMPLEX(M^2,0),IMDIV(IMSUB(COMPLEX(1,0),IMDIV(IMPRODUCT(R452,COMPLEX(M^2,0)),COMPLEX(Ross,0))),IMSUM(COMPLEX(1,0),IMDIV(IMPRODUCT(R452,COMPLEX(M^2,0)),T452))))</f>
        <v>-0.373545751558468+0.0213808755539891i</v>
      </c>
      <c r="V452" s="227">
        <f t="shared" si="163"/>
        <v>-8.5389191022899666</v>
      </c>
      <c r="W452" s="227">
        <f t="shared" si="164"/>
        <v>-183.27590061710535</v>
      </c>
      <c r="X452" s="227" t="str">
        <f t="shared" ref="X452:X504" si="177">IMSUM(COMPLEX(1,L452/(wn*q0)),IMPOWER(COMPLEX(0,L452/wn),2))</f>
        <v>0.612700221559748-0.168148398555098i</v>
      </c>
      <c r="Y452" s="227" t="str">
        <f t="shared" ref="Y452:Y504" si="178">IMPRODUCT(COMPLEX(2*Ioutss*M^2,0),IMDIV(IMSUM(COMPLEX(1,0),IMDIV(COMPLEX(Ross,0),IMPRODUCT(COMPLEX(2,0),S452))),IMSUM(COMPLEX(1,0),IMDIV(IMPRODUCT(R452,COMPLEX(M^2,0)),T452))))</f>
        <v>0.232999815667994-12.6218011880978i</v>
      </c>
      <c r="Z452" s="227" t="str">
        <f t="shared" ref="Z452:Z504" si="179">IMPRODUCT(COMPLEX(Fm*40/3*Risense,0),Y452,X452)</f>
        <v>-0.363203707620471-1.4260737349328i</v>
      </c>
      <c r="AA452" s="227" t="str">
        <f t="shared" ref="AA452:AA504" si="180">IMDIV(IMPRODUCT(COMPLEX(Fm,0),U452),IMSUM(COMPLEX(1,0),Z452))</f>
        <v>-0.788523019788271-1.52522091754956i</v>
      </c>
      <c r="AB452" s="227">
        <f t="shared" si="165"/>
        <v>4.6953740833981286</v>
      </c>
      <c r="AC452" s="227">
        <f t="shared" si="166"/>
        <v>-117.33848373363321</v>
      </c>
      <c r="AD452" s="229">
        <f t="shared" si="167"/>
        <v>-13.583843993243992</v>
      </c>
      <c r="AE452" s="229">
        <f t="shared" si="168"/>
        <v>99.344214649726908</v>
      </c>
      <c r="AF452" s="227">
        <f t="shared" ref="AF452:AF504" si="181">AD452+AB452</f>
        <v>-8.8884699098458633</v>
      </c>
      <c r="AG452" s="227">
        <f t="shared" ref="AG452:AG504" si="182">AE452+AC452</f>
        <v>-17.994269083906303</v>
      </c>
      <c r="AH452" s="229" t="str">
        <f t="shared" ref="AH452:AH504" si="183">IMDIV(IMPRODUCT(COMPLEX(gea*Rea*Rslss/(Rslss+Rshss),0),COMPLEX(1,L452*Ccompss*Rcompss),COMPLEX(1,k_3*L452*Cffss*Rshss)),IMPRODUCT(COMPLEX(1,L452*Rea*Ccompss),COMPLEX(1,L452*Rcompss*Chfss),COMPLEX(1,k_3*L452*Rffss*Cffss)))</f>
        <v>0.0339860799929702-0.20654108170495i</v>
      </c>
    </row>
    <row r="453" spans="9:34" x14ac:dyDescent="0.2">
      <c r="I453" s="227">
        <v>449</v>
      </c>
      <c r="J453" s="227">
        <f t="shared" si="171"/>
        <v>5.3778050145257463</v>
      </c>
      <c r="K453" s="227">
        <f t="shared" si="169"/>
        <v>238673.94663631794</v>
      </c>
      <c r="L453" s="227">
        <f t="shared" ref="L453:L503" si="184">2*PI()*K453</f>
        <v>1499632.6347118774</v>
      </c>
      <c r="M453" s="227">
        <f t="shared" si="172"/>
        <v>237509.04881393322</v>
      </c>
      <c r="N453" s="227">
        <f>SQRT((ABS(AC453)-171.5+'Small Signal'!C$59)^2)</f>
        <v>16.82670030152488</v>
      </c>
      <c r="O453" s="227">
        <f t="shared" ref="O453:O504" si="185">ABS(AG453)</f>
        <v>19.186191094312775</v>
      </c>
      <c r="P453" s="227">
        <f t="shared" ref="P453:P504" si="186">ABS(AF453)</f>
        <v>8.7092996281089263</v>
      </c>
      <c r="Q453" s="227">
        <f t="shared" si="170"/>
        <v>238673.94663631794</v>
      </c>
      <c r="R453" s="227" t="str">
        <f t="shared" si="173"/>
        <v>0.0355+1.94952242512544i</v>
      </c>
      <c r="S453" s="227" t="str">
        <f t="shared" si="174"/>
        <v>0.018-0.00303104536420539i</v>
      </c>
      <c r="T453" s="227" t="str">
        <f t="shared" si="175"/>
        <v>0.0179509404445252-0.00301406672111203i</v>
      </c>
      <c r="U453" s="227" t="str">
        <f t="shared" si="176"/>
        <v>-0.373264976372014+0.0209114869572452i</v>
      </c>
      <c r="V453" s="227">
        <f t="shared" ref="V453:V504" si="187">20*LOG(IMABS(U453))</f>
        <v>-8.5460457633424074</v>
      </c>
      <c r="W453" s="227">
        <f t="shared" ref="W453:W504" si="188">IF(DEGREES(IMARGUMENT(U453))&gt;0,DEGREES(IMARGUMENT(U453))-360, DEGREES(IMARGUMENT(U453)))</f>
        <v>-183.20653928117642</v>
      </c>
      <c r="X453" s="227" t="str">
        <f t="shared" si="177"/>
        <v>0.594913757845646-0.171966106303332i</v>
      </c>
      <c r="Y453" s="227" t="str">
        <f t="shared" si="178"/>
        <v>0.222771710723606-12.3417526295221i</v>
      </c>
      <c r="Z453" s="227" t="str">
        <f t="shared" si="179"/>
        <v>-0.365085536604491-1.35415662281825i</v>
      </c>
      <c r="AA453" s="227" t="str">
        <f t="shared" si="180"/>
        <v>-0.850063664238669-1.57697858301096i</v>
      </c>
      <c r="AB453" s="227">
        <f t="shared" ref="AB453:AB504" si="189">20*LOG(IMABS(AA453))</f>
        <v>5.0643327785431316</v>
      </c>
      <c r="AC453" s="227">
        <f t="shared" ref="AC453:AC504" si="190">IF(DEGREES(IMARGUMENT(AA453))&gt;0,DEGREES(IMARGUMENT(AA453))-360, DEGREES(IMARGUMENT(AA453)))</f>
        <v>-118.32670030152488</v>
      </c>
      <c r="AD453" s="229">
        <f t="shared" ref="AD453:AD504" si="191">20*LOG(IMABS(AH453))</f>
        <v>-13.773632406652057</v>
      </c>
      <c r="AE453" s="229">
        <f t="shared" ref="AE453:AE504" si="192">180+DEGREES(IMARGUMENT(AH453))</f>
        <v>99.140509207212105</v>
      </c>
      <c r="AF453" s="227">
        <f t="shared" si="181"/>
        <v>-8.7092996281089263</v>
      </c>
      <c r="AG453" s="227">
        <f t="shared" si="182"/>
        <v>-19.186191094312775</v>
      </c>
      <c r="AH453" s="229" t="str">
        <f t="shared" si="183"/>
        <v>0.032532872202511-0.202194008257213i</v>
      </c>
    </row>
    <row r="454" spans="9:34" x14ac:dyDescent="0.2">
      <c r="I454" s="227">
        <v>450</v>
      </c>
      <c r="J454" s="227">
        <f t="shared" si="171"/>
        <v>5.3875551370525301</v>
      </c>
      <c r="K454" s="227">
        <f t="shared" si="169"/>
        <v>244092.89432303383</v>
      </c>
      <c r="L454" s="227">
        <f t="shared" si="184"/>
        <v>1533680.8871974256</v>
      </c>
      <c r="M454" s="227">
        <f t="shared" si="172"/>
        <v>243051.03043227515</v>
      </c>
      <c r="N454" s="227">
        <f>SQRT((ABS(AC454)-171.5+'Small Signal'!C$59)^2)</f>
        <v>17.904644097709081</v>
      </c>
      <c r="O454" s="227">
        <f t="shared" si="185"/>
        <v>20.463556619037533</v>
      </c>
      <c r="P454" s="227">
        <f t="shared" si="186"/>
        <v>8.5203292551586021</v>
      </c>
      <c r="Q454" s="227">
        <f t="shared" si="170"/>
        <v>244092.89432303383</v>
      </c>
      <c r="R454" s="227" t="str">
        <f t="shared" si="173"/>
        <v>0.0355+1.99378515335665i</v>
      </c>
      <c r="S454" s="227" t="str">
        <f t="shared" si="174"/>
        <v>0.018-0.00296375509625127i</v>
      </c>
      <c r="T454" s="227" t="str">
        <f t="shared" si="175"/>
        <v>0.0179508779434325-0.00294715341383937i</v>
      </c>
      <c r="U454" s="227" t="str">
        <f t="shared" si="176"/>
        <v>-0.372996522281298+0.0204521755225124i</v>
      </c>
      <c r="V454" s="227">
        <f t="shared" si="187"/>
        <v>-8.5528666262462245</v>
      </c>
      <c r="W454" s="227">
        <f t="shared" si="188"/>
        <v>-183.13850397724426</v>
      </c>
      <c r="X454" s="227" t="str">
        <f t="shared" si="177"/>
        <v>0.576310463580474-0.175870492798293i</v>
      </c>
      <c r="Y454" s="227" t="str">
        <f t="shared" si="178"/>
        <v>0.212992492469467-12.0679108387186i</v>
      </c>
      <c r="Z454" s="227" t="str">
        <f t="shared" si="179"/>
        <v>-0.366884776679355-1.28291948484039i</v>
      </c>
      <c r="AA454" s="227" t="str">
        <f t="shared" si="180"/>
        <v>-0.918807542584306-1.63031170435003i</v>
      </c>
      <c r="AB454" s="227">
        <f t="shared" si="189"/>
        <v>5.4433146376972754</v>
      </c>
      <c r="AC454" s="227">
        <f t="shared" si="190"/>
        <v>-119.40464409770908</v>
      </c>
      <c r="AD454" s="229">
        <f t="shared" si="191"/>
        <v>-13.963643892855877</v>
      </c>
      <c r="AE454" s="229">
        <f t="shared" si="192"/>
        <v>98.941087478671548</v>
      </c>
      <c r="AF454" s="227">
        <f t="shared" si="181"/>
        <v>-8.5203292551586021</v>
      </c>
      <c r="AG454" s="227">
        <f t="shared" si="182"/>
        <v>-20.463556619037533</v>
      </c>
      <c r="AH454" s="229" t="str">
        <f t="shared" si="183"/>
        <v>0.0311402019109354-0.197928449949459i</v>
      </c>
    </row>
    <row r="455" spans="9:34" x14ac:dyDescent="0.2">
      <c r="I455" s="227">
        <v>451</v>
      </c>
      <c r="J455" s="227">
        <f t="shared" si="171"/>
        <v>5.397305259579313</v>
      </c>
      <c r="K455" s="227">
        <f t="shared" si="169"/>
        <v>249634.87594137577</v>
      </c>
      <c r="L455" s="227">
        <f t="shared" si="184"/>
        <v>1568502.1846744509</v>
      </c>
      <c r="M455" s="227">
        <f t="shared" si="172"/>
        <v>248718.83939329055</v>
      </c>
      <c r="N455" s="227">
        <f>SQRT((ABS(AC455)-171.5+'Small Signal'!C$59)^2)</f>
        <v>19.082846424656509</v>
      </c>
      <c r="O455" s="227">
        <f t="shared" si="185"/>
        <v>21.836977032252548</v>
      </c>
      <c r="P455" s="227">
        <f t="shared" si="186"/>
        <v>8.3211915386243707</v>
      </c>
      <c r="Q455" s="227">
        <f t="shared" si="170"/>
        <v>249634.87594137577</v>
      </c>
      <c r="R455" s="227" t="str">
        <f t="shared" si="173"/>
        <v>0.0355+2.03905284007679i</v>
      </c>
      <c r="S455" s="227" t="str">
        <f t="shared" si="174"/>
        <v>0.018-0.0028979586957974i</v>
      </c>
      <c r="T455" s="227" t="str">
        <f t="shared" si="175"/>
        <v>0.0179508181866269-0.00288172560352801i</v>
      </c>
      <c r="U455" s="227" t="str">
        <f t="shared" si="176"/>
        <v>-0.372739848906392+0.0200027398907667i</v>
      </c>
      <c r="V455" s="227">
        <f t="shared" si="187"/>
        <v>-8.559394521433866</v>
      </c>
      <c r="W455" s="227">
        <f t="shared" si="188"/>
        <v>-183.07177863849373</v>
      </c>
      <c r="X455" s="227" t="str">
        <f t="shared" si="177"/>
        <v>0.556852826408775-0.179863526028532i</v>
      </c>
      <c r="Y455" s="227" t="str">
        <f t="shared" si="178"/>
        <v>0.203642469061936-11.8001387008727i</v>
      </c>
      <c r="Z455" s="227" t="str">
        <f t="shared" si="179"/>
        <v>-0.368605050870861-1.21232658237043i</v>
      </c>
      <c r="AA455" s="227" t="str">
        <f t="shared" si="180"/>
        <v>-0.995788412995243-1.68493735034413i</v>
      </c>
      <c r="AB455" s="227">
        <f t="shared" si="189"/>
        <v>5.8326776099130306</v>
      </c>
      <c r="AC455" s="227">
        <f t="shared" si="190"/>
        <v>-120.58284642465651</v>
      </c>
      <c r="AD455" s="229">
        <f t="shared" si="191"/>
        <v>-14.153869148537401</v>
      </c>
      <c r="AE455" s="229">
        <f t="shared" si="192"/>
        <v>98.745869392403961</v>
      </c>
      <c r="AF455" s="227">
        <f t="shared" si="181"/>
        <v>-8.3211915386243707</v>
      </c>
      <c r="AG455" s="227">
        <f t="shared" si="182"/>
        <v>-21.836977032252548</v>
      </c>
      <c r="AH455" s="229" t="str">
        <f t="shared" si="183"/>
        <v>0.0298056815441531-0.193743519531157i</v>
      </c>
    </row>
    <row r="456" spans="9:34" x14ac:dyDescent="0.2">
      <c r="I456" s="227">
        <v>452</v>
      </c>
      <c r="J456" s="227">
        <f t="shared" si="171"/>
        <v>5.4070553821060967</v>
      </c>
      <c r="K456" s="227">
        <f t="shared" si="169"/>
        <v>255302.68490239116</v>
      </c>
      <c r="L456" s="227">
        <f t="shared" si="184"/>
        <v>1604114.0786622036</v>
      </c>
      <c r="M456" s="227">
        <f t="shared" si="172"/>
        <v>254515.33253073442</v>
      </c>
      <c r="N456" s="227">
        <f>SQRT((ABS(AC456)-171.5+'Small Signal'!C$59)^2)</f>
        <v>20.373401010616021</v>
      </c>
      <c r="O456" s="227">
        <f t="shared" si="185"/>
        <v>23.318625282130654</v>
      </c>
      <c r="P456" s="227">
        <f t="shared" si="186"/>
        <v>8.1115814741993262</v>
      </c>
      <c r="Q456" s="227">
        <f t="shared" si="170"/>
        <v>255302.68490239116</v>
      </c>
      <c r="R456" s="227" t="str">
        <f t="shared" si="173"/>
        <v>0.0355+2.08534830226086i</v>
      </c>
      <c r="S456" s="227" t="str">
        <f t="shared" si="174"/>
        <v>0.018-0.0028336229984624i</v>
      </c>
      <c r="T456" s="227" t="str">
        <f t="shared" si="175"/>
        <v>0.0179507610536129-0.00281775031174789i</v>
      </c>
      <c r="U456" s="227" t="str">
        <f t="shared" si="176"/>
        <v>-0.372494439541682+0.019562981718193i</v>
      </c>
      <c r="V456" s="227">
        <f t="shared" si="187"/>
        <v>-8.5656417653863031</v>
      </c>
      <c r="W456" s="227">
        <f t="shared" si="188"/>
        <v>-183.00634674094422</v>
      </c>
      <c r="X456" s="227" t="str">
        <f t="shared" si="177"/>
        <v>0.536501611247149-0.183947218664587i</v>
      </c>
      <c r="Y456" s="227" t="str">
        <f t="shared" si="178"/>
        <v>0.194702811755395-11.5383021010666i</v>
      </c>
      <c r="Z456" s="227" t="str">
        <f t="shared" si="179"/>
        <v>-0.370249823406724-1.14234249056028i</v>
      </c>
      <c r="AA456" s="227" t="str">
        <f t="shared" si="180"/>
        <v>-1.08219649947375-1.74042184572165i</v>
      </c>
      <c r="AB456" s="227">
        <f t="shared" si="189"/>
        <v>6.2327177639887701</v>
      </c>
      <c r="AC456" s="227">
        <f t="shared" si="190"/>
        <v>-121.87340101061602</v>
      </c>
      <c r="AD456" s="229">
        <f t="shared" si="191"/>
        <v>-14.344299238188096</v>
      </c>
      <c r="AE456" s="229">
        <f t="shared" si="192"/>
        <v>98.554775728485367</v>
      </c>
      <c r="AF456" s="227">
        <f t="shared" si="181"/>
        <v>-8.1115814741993262</v>
      </c>
      <c r="AG456" s="227">
        <f t="shared" si="182"/>
        <v>-23.318625282130654</v>
      </c>
      <c r="AH456" s="229" t="str">
        <f t="shared" si="183"/>
        <v>0.028527006390269-0.189638294876564i</v>
      </c>
    </row>
    <row r="457" spans="9:34" x14ac:dyDescent="0.2">
      <c r="I457" s="227">
        <v>453</v>
      </c>
      <c r="J457" s="227">
        <f t="shared" si="171"/>
        <v>5.4168055046328796</v>
      </c>
      <c r="K457" s="227">
        <f t="shared" si="169"/>
        <v>261099.17803983504</v>
      </c>
      <c r="L457" s="227">
        <f t="shared" si="184"/>
        <v>1640534.5191765584</v>
      </c>
      <c r="M457" s="227">
        <f t="shared" si="172"/>
        <v>260443.43154104849</v>
      </c>
      <c r="N457" s="227">
        <f>SQRT((ABS(AC457)-171.5+'Small Signal'!C$59)^2)</f>
        <v>21.790204389452128</v>
      </c>
      <c r="O457" s="227">
        <f t="shared" si="185"/>
        <v>24.922476234696603</v>
      </c>
      <c r="P457" s="227">
        <f t="shared" si="186"/>
        <v>7.8912918003005474</v>
      </c>
      <c r="Q457" s="227">
        <f t="shared" si="170"/>
        <v>261099.17803983504</v>
      </c>
      <c r="R457" s="227" t="str">
        <f t="shared" si="173"/>
        <v>0.0355+2.13269487492953i</v>
      </c>
      <c r="S457" s="227" t="str">
        <f t="shared" si="174"/>
        <v>0.018-0.0027707155761258i</v>
      </c>
      <c r="T457" s="227" t="str">
        <f t="shared" si="175"/>
        <v>0.0179507064291853-0.00275519529219372i</v>
      </c>
      <c r="U457" s="227" t="str">
        <f t="shared" si="176"/>
        <v>-0.372259800120877+0.019132705703896i</v>
      </c>
      <c r="V457" s="227">
        <f t="shared" si="187"/>
        <v>-8.5716201791796145</v>
      </c>
      <c r="W457" s="227">
        <f t="shared" si="188"/>
        <v>-182.94219136080761</v>
      </c>
      <c r="X457" s="227" t="str">
        <f t="shared" si="177"/>
        <v>0.515215781169227-0.188123629073466i</v>
      </c>
      <c r="Y457" s="227" t="str">
        <f t="shared" si="178"/>
        <v>0.186155517136603-11.2822698605486i</v>
      </c>
      <c r="Z457" s="227" t="str">
        <f t="shared" si="179"/>
        <v>-0.371822406664918-1.07293208119868i</v>
      </c>
      <c r="AA457" s="227" t="str">
        <f t="shared" si="180"/>
        <v>-1.17939431112472-1.79612535903054i</v>
      </c>
      <c r="AB457" s="227">
        <f t="shared" si="189"/>
        <v>6.6436337809659927</v>
      </c>
      <c r="AC457" s="227">
        <f t="shared" si="190"/>
        <v>-123.29020438945213</v>
      </c>
      <c r="AD457" s="229">
        <f t="shared" si="191"/>
        <v>-14.53492558126654</v>
      </c>
      <c r="AE457" s="229">
        <f t="shared" si="192"/>
        <v>98.367728154755525</v>
      </c>
      <c r="AF457" s="227">
        <f t="shared" si="181"/>
        <v>-7.8912918003005474</v>
      </c>
      <c r="AG457" s="227">
        <f t="shared" si="182"/>
        <v>-24.922476234696603</v>
      </c>
      <c r="AH457" s="229" t="str">
        <f t="shared" si="183"/>
        <v>0.0273019526958825-0.185611822760908i</v>
      </c>
    </row>
    <row r="458" spans="9:34" x14ac:dyDescent="0.2">
      <c r="I458" s="227">
        <v>454</v>
      </c>
      <c r="J458" s="227">
        <f t="shared" si="171"/>
        <v>5.4265556271596633</v>
      </c>
      <c r="K458" s="227">
        <f t="shared" si="169"/>
        <v>267027.2770501491</v>
      </c>
      <c r="L458" s="227">
        <f t="shared" si="184"/>
        <v>1677781.8637776696</v>
      </c>
      <c r="M458" s="227">
        <f t="shared" si="172"/>
        <v>266506.12445602322</v>
      </c>
      <c r="N458" s="227">
        <f>SQRT((ABS(AC458)-171.5+'Small Signal'!C$59)^2)</f>
        <v>23.349219500341363</v>
      </c>
      <c r="O458" s="227">
        <f t="shared" si="185"/>
        <v>26.664570241368949</v>
      </c>
      <c r="P458" s="227">
        <f t="shared" si="186"/>
        <v>7.6602618528214634</v>
      </c>
      <c r="Q458" s="227">
        <f t="shared" si="170"/>
        <v>267027.2770501491</v>
      </c>
      <c r="R458" s="227" t="str">
        <f t="shared" si="173"/>
        <v>0.0355+2.18111642291097i</v>
      </c>
      <c r="S458" s="227" t="str">
        <f t="shared" si="174"/>
        <v>0.018-0.00270920472058273i</v>
      </c>
      <c r="T458" s="227" t="str">
        <f t="shared" si="175"/>
        <v>0.0179506542031978-0.00269402901443201i</v>
      </c>
      <c r="U458" s="227" t="str">
        <f t="shared" si="176"/>
        <v>-0.372035458227113+0.0187117196108344i</v>
      </c>
      <c r="V458" s="227">
        <f t="shared" si="187"/>
        <v>-8.5773411065347371</v>
      </c>
      <c r="W458" s="227">
        <f t="shared" si="188"/>
        <v>-182.87929522807539</v>
      </c>
      <c r="X458" s="227" t="str">
        <f t="shared" si="177"/>
        <v>0.4929524146573-0.192394862356157i</v>
      </c>
      <c r="Y458" s="227" t="str">
        <f t="shared" si="178"/>
        <v>0.177983371006169-11.0319136742323i</v>
      </c>
      <c r="Z458" s="227" t="str">
        <f t="shared" si="179"/>
        <v>-0.373325967819023-1.00406050567073i</v>
      </c>
      <c r="AA458" s="227" t="str">
        <f t="shared" si="180"/>
        <v>-1.28892722770514-1.85112800026822i</v>
      </c>
      <c r="AB458" s="227">
        <f t="shared" si="189"/>
        <v>7.0654780868385245</v>
      </c>
      <c r="AC458" s="227">
        <f t="shared" si="190"/>
        <v>-124.84921950034136</v>
      </c>
      <c r="AD458" s="229">
        <f t="shared" si="191"/>
        <v>-14.725739939659988</v>
      </c>
      <c r="AE458" s="229">
        <f t="shared" si="192"/>
        <v>98.184649258972414</v>
      </c>
      <c r="AF458" s="227">
        <f t="shared" si="181"/>
        <v>-7.6602618528214634</v>
      </c>
      <c r="AG458" s="227">
        <f t="shared" si="182"/>
        <v>-26.664570241368949</v>
      </c>
      <c r="AH458" s="229" t="str">
        <f t="shared" si="183"/>
        <v>0.0261283757151633-0.181663122411358i</v>
      </c>
    </row>
    <row r="459" spans="9:34" x14ac:dyDescent="0.2">
      <c r="I459" s="227">
        <v>455</v>
      </c>
      <c r="J459" s="227">
        <f t="shared" si="171"/>
        <v>5.4363057496864471</v>
      </c>
      <c r="K459" s="227">
        <f t="shared" si="169"/>
        <v>273089.96996512386</v>
      </c>
      <c r="L459" s="227">
        <f t="shared" si="184"/>
        <v>1715874.8868229808</v>
      </c>
      <c r="M459" s="227">
        <f t="shared" si="172"/>
        <v>272706.46714890481</v>
      </c>
      <c r="N459" s="227">
        <f>SQRT((ABS(AC459)-171.5+'Small Signal'!C$59)^2)</f>
        <v>25.06875292555624</v>
      </c>
      <c r="O459" s="227">
        <f t="shared" si="185"/>
        <v>28.563290348190861</v>
      </c>
      <c r="P459" s="227">
        <f t="shared" si="186"/>
        <v>7.4186442730339053</v>
      </c>
      <c r="Q459" s="227">
        <f t="shared" si="170"/>
        <v>273089.96996512386</v>
      </c>
      <c r="R459" s="227" t="str">
        <f t="shared" si="173"/>
        <v>0.0355+2.23063735286988i</v>
      </c>
      <c r="S459" s="227" t="str">
        <f t="shared" si="174"/>
        <v>0.018-0.00264905942756156i</v>
      </c>
      <c r="T459" s="227" t="str">
        <f t="shared" si="175"/>
        <v>0.01795060427034-0.00263422064800892i</v>
      </c>
      <c r="U459" s="227" t="str">
        <f t="shared" si="176"/>
        <v>-0.371820962146142+0.0182998342805484i</v>
      </c>
      <c r="V459" s="227">
        <f t="shared" si="187"/>
        <v>-8.5828154313694469</v>
      </c>
      <c r="W459" s="227">
        <f t="shared" si="188"/>
        <v>-182.81764077652923</v>
      </c>
      <c r="X459" s="227" t="str">
        <f t="shared" si="177"/>
        <v>0.469666619053851-0.196763071408692i</v>
      </c>
      <c r="Y459" s="227" t="str">
        <f t="shared" si="178"/>
        <v>0.170169913835396-10.7871080494078i</v>
      </c>
      <c r="Z459" s="227" t="str">
        <f t="shared" si="179"/>
        <v>-0.374763535193662-0.935693178015032i</v>
      </c>
      <c r="AA459" s="227" t="str">
        <f t="shared" si="180"/>
        <v>-1.41252290511645-1.90413231356186i</v>
      </c>
      <c r="AB459" s="227">
        <f t="shared" si="189"/>
        <v>7.4980901324194633</v>
      </c>
      <c r="AC459" s="227">
        <f t="shared" si="190"/>
        <v>-126.56875292555624</v>
      </c>
      <c r="AD459" s="229">
        <f t="shared" si="191"/>
        <v>-14.916734405453369</v>
      </c>
      <c r="AE459" s="229">
        <f t="shared" si="192"/>
        <v>98.005462577365378</v>
      </c>
      <c r="AF459" s="227">
        <f t="shared" si="181"/>
        <v>-7.4186442730339053</v>
      </c>
      <c r="AG459" s="227">
        <f t="shared" si="182"/>
        <v>-28.563290348190861</v>
      </c>
      <c r="AH459" s="229" t="str">
        <f t="shared" si="183"/>
        <v>0.0250042077228991-0.177791188841918i</v>
      </c>
    </row>
    <row r="460" spans="9:34" x14ac:dyDescent="0.2">
      <c r="I460" s="227">
        <v>456</v>
      </c>
      <c r="J460" s="227">
        <f t="shared" si="171"/>
        <v>5.44605587221323</v>
      </c>
      <c r="K460" s="227">
        <f t="shared" si="169"/>
        <v>279290.31265800545</v>
      </c>
      <c r="L460" s="227">
        <f t="shared" si="184"/>
        <v>1754832.7889303726</v>
      </c>
      <c r="M460" s="227">
        <f t="shared" si="172"/>
        <v>279047.58487469767</v>
      </c>
      <c r="N460" s="227">
        <f>SQRT((ABS(AC460)-171.5+'Small Signal'!C$59)^2)</f>
        <v>26.969725844553636</v>
      </c>
      <c r="O460" s="227">
        <f t="shared" si="185"/>
        <v>30.63963322474801</v>
      </c>
      <c r="P460" s="227">
        <f t="shared" si="186"/>
        <v>7.1668952662123866</v>
      </c>
      <c r="Q460" s="227">
        <f t="shared" si="170"/>
        <v>279290.31265800545</v>
      </c>
      <c r="R460" s="227" t="str">
        <f t="shared" si="173"/>
        <v>0.0355+2.28128262560948i</v>
      </c>
      <c r="S460" s="227" t="str">
        <f t="shared" si="174"/>
        <v>0.018-0.00259024938109639i</v>
      </c>
      <c r="T460" s="227" t="str">
        <f t="shared" si="175"/>
        <v>0.0179505565299256-0.00257574004691102i</v>
      </c>
      <c r="U460" s="227" t="str">
        <f t="shared" si="176"/>
        <v>-0.371615879960762+0.0178968636421737i</v>
      </c>
      <c r="V460" s="227">
        <f t="shared" si="187"/>
        <v>-8.5880535948517096</v>
      </c>
      <c r="W460" s="227">
        <f t="shared" si="188"/>
        <v>-182.75721019035467</v>
      </c>
      <c r="X460" s="227" t="str">
        <f t="shared" si="177"/>
        <v>0.445311440038355-0.201230458007305i</v>
      </c>
      <c r="Y460" s="227" t="str">
        <f t="shared" si="178"/>
        <v>0.162699407730641-10.5477302456507i</v>
      </c>
      <c r="Z460" s="227" t="str">
        <f t="shared" si="179"/>
        <v>-0.376138004342605-0.867795758072647i</v>
      </c>
      <c r="AA460" s="227" t="str">
        <f t="shared" si="180"/>
        <v>-1.55206972727141-1.95333669732157i</v>
      </c>
      <c r="AB460" s="227">
        <f t="shared" si="189"/>
        <v>7.9410061227998883</v>
      </c>
      <c r="AC460" s="227">
        <f t="shared" si="190"/>
        <v>-128.46972584455364</v>
      </c>
      <c r="AD460" s="229">
        <f t="shared" si="191"/>
        <v>-15.107901389012275</v>
      </c>
      <c r="AE460" s="229">
        <f t="shared" si="192"/>
        <v>97.830092619805626</v>
      </c>
      <c r="AF460" s="227">
        <f t="shared" si="181"/>
        <v>-7.1668952662123866</v>
      </c>
      <c r="AG460" s="227">
        <f t="shared" si="182"/>
        <v>-30.63963322474801</v>
      </c>
      <c r="AH460" s="229" t="str">
        <f t="shared" si="183"/>
        <v>0.0239274560016536-0.173994995981272i</v>
      </c>
    </row>
    <row r="461" spans="9:34" x14ac:dyDescent="0.2">
      <c r="I461" s="227">
        <v>457</v>
      </c>
      <c r="J461" s="227">
        <f t="shared" si="171"/>
        <v>5.4558059947400146</v>
      </c>
      <c r="K461" s="227">
        <f t="shared" si="169"/>
        <v>285631.43038379832</v>
      </c>
      <c r="L461" s="227">
        <f t="shared" si="184"/>
        <v>1794675.2066561705</v>
      </c>
      <c r="M461" s="227">
        <f t="shared" si="172"/>
        <v>285532.67384542705</v>
      </c>
      <c r="N461" s="227">
        <f>SQRT((ABS(AC461)-171.5+'Small Signal'!C$59)^2)</f>
        <v>29.075901884618929</v>
      </c>
      <c r="O461" s="227">
        <f t="shared" si="185"/>
        <v>32.917436992814217</v>
      </c>
      <c r="P461" s="227">
        <f t="shared" si="186"/>
        <v>6.905895329273104</v>
      </c>
      <c r="Q461" s="227">
        <f t="shared" si="170"/>
        <v>285631.43038379832</v>
      </c>
      <c r="R461" s="227" t="str">
        <f t="shared" si="173"/>
        <v>0.0355+2.33307776865302i</v>
      </c>
      <c r="S461" s="227" t="str">
        <f t="shared" si="174"/>
        <v>0.018-0.0025327449382463i</v>
      </c>
      <c r="T461" s="227" t="str">
        <f t="shared" si="175"/>
        <v>0.0179505108856892-0.00251855773437078i</v>
      </c>
      <c r="U461" s="227" t="str">
        <f t="shared" si="176"/>
        <v>-0.371419798684748+0.0175026247162336i</v>
      </c>
      <c r="V461" s="227">
        <f t="shared" si="187"/>
        <v>-8.5930656119543158</v>
      </c>
      <c r="W461" s="227">
        <f t="shared" si="188"/>
        <v>-182.69798544753925</v>
      </c>
      <c r="X461" s="227" t="str">
        <f t="shared" si="177"/>
        <v>0.419837766946882-0.205799273918232i</v>
      </c>
      <c r="Y461" s="227" t="str">
        <f t="shared" si="178"/>
        <v>0.155556804839435-10.3136602159127i</v>
      </c>
      <c r="Z461" s="227" t="str">
        <f t="shared" si="179"/>
        <v>-0.377452143861609-0.800334134722166i</v>
      </c>
      <c r="AA461" s="227" t="str">
        <f t="shared" si="180"/>
        <v>-1.7095588199285-1.99627512243515i</v>
      </c>
      <c r="AB461" s="227">
        <f t="shared" si="189"/>
        <v>8.3933382781096295</v>
      </c>
      <c r="AC461" s="227">
        <f t="shared" si="190"/>
        <v>-130.57590188461893</v>
      </c>
      <c r="AD461" s="229">
        <f t="shared" si="191"/>
        <v>-15.299233607382734</v>
      </c>
      <c r="AE461" s="229">
        <f t="shared" si="192"/>
        <v>97.658464891804712</v>
      </c>
      <c r="AF461" s="227">
        <f t="shared" si="181"/>
        <v>-6.905895329273104</v>
      </c>
      <c r="AG461" s="227">
        <f t="shared" si="182"/>
        <v>-32.917436992814217</v>
      </c>
      <c r="AH461" s="229" t="str">
        <f t="shared" si="183"/>
        <v>0.0228962008122222-0.170273499602601i</v>
      </c>
    </row>
    <row r="462" spans="9:34" x14ac:dyDescent="0.2">
      <c r="I462" s="227">
        <v>458</v>
      </c>
      <c r="J462" s="227">
        <f t="shared" si="171"/>
        <v>5.4655561172667975</v>
      </c>
      <c r="K462" s="227">
        <f t="shared" si="169"/>
        <v>292116.5193545277</v>
      </c>
      <c r="L462" s="227">
        <f t="shared" si="184"/>
        <v>1835422.2223928096</v>
      </c>
      <c r="M462" s="227">
        <f t="shared" si="172"/>
        <v>292165.00284118421</v>
      </c>
      <c r="N462" s="227">
        <f>SQRT((ABS(AC462)-171.5+'Small Signal'!C$59)^2)</f>
        <v>31.41400851256634</v>
      </c>
      <c r="O462" s="227">
        <f t="shared" si="185"/>
        <v>35.423502599023564</v>
      </c>
      <c r="P462" s="227">
        <f t="shared" si="186"/>
        <v>6.6371082384948785</v>
      </c>
      <c r="Q462" s="227">
        <f t="shared" si="170"/>
        <v>292116.5193545277</v>
      </c>
      <c r="R462" s="227" t="str">
        <f t="shared" si="173"/>
        <v>0.0355+2.38604888911065i</v>
      </c>
      <c r="S462" s="227" t="str">
        <f t="shared" si="174"/>
        <v>0.018-0.0024765171141541i</v>
      </c>
      <c r="T462" s="227" t="str">
        <f t="shared" si="175"/>
        <v>0.0179504672455923-0.00246264488800957i</v>
      </c>
      <c r="U462" s="227" t="str">
        <f t="shared" si="176"/>
        <v>-0.371232323434497+0.0171169376136352i</v>
      </c>
      <c r="V462" s="227">
        <f t="shared" si="187"/>
        <v>-8.597861087515259</v>
      </c>
      <c r="W462" s="227">
        <f t="shared" si="188"/>
        <v>-182.63994836022354</v>
      </c>
      <c r="X462" s="227" t="str">
        <f t="shared" si="177"/>
        <v>0.393194233743615-0.210471822032695i</v>
      </c>
      <c r="Y462" s="227" t="str">
        <f t="shared" si="178"/>
        <v>0.148727717136071-10.0847805487787i</v>
      </c>
      <c r="Z462" s="227" t="str">
        <f t="shared" si="179"/>
        <v>-0.378708600947475-0.733274409195017i</v>
      </c>
      <c r="AA462" s="227" t="str">
        <f t="shared" si="180"/>
        <v>-1.88696608674634-2.02962198799133i</v>
      </c>
      <c r="AB462" s="227">
        <f t="shared" si="189"/>
        <v>8.8536158345150859</v>
      </c>
      <c r="AC462" s="227">
        <f t="shared" si="190"/>
        <v>-132.91400851256634</v>
      </c>
      <c r="AD462" s="229">
        <f t="shared" si="191"/>
        <v>-15.490724073009964</v>
      </c>
      <c r="AE462" s="229">
        <f t="shared" si="192"/>
        <v>97.490505913542776</v>
      </c>
      <c r="AF462" s="227">
        <f t="shared" si="181"/>
        <v>-6.6371082384948785</v>
      </c>
      <c r="AG462" s="227">
        <f t="shared" si="182"/>
        <v>-35.423502599023564</v>
      </c>
      <c r="AH462" s="229" t="str">
        <f t="shared" si="183"/>
        <v>0.0219085933556679-0.166625640064277i</v>
      </c>
    </row>
    <row r="463" spans="9:34" x14ac:dyDescent="0.2">
      <c r="I463" s="227">
        <v>459</v>
      </c>
      <c r="J463" s="227">
        <f t="shared" si="171"/>
        <v>5.4753062397935812</v>
      </c>
      <c r="K463" s="227">
        <f t="shared" si="169"/>
        <v>298748.84835028485</v>
      </c>
      <c r="L463" s="227">
        <f t="shared" si="184"/>
        <v>1877094.3744913321</v>
      </c>
      <c r="M463" s="227">
        <f t="shared" si="172"/>
        <v>298947.91485773335</v>
      </c>
      <c r="N463" s="227">
        <f>SQRT((ABS(AC463)-171.5+'Small Signal'!C$59)^2)</f>
        <v>34.01364885652373</v>
      </c>
      <c r="O463" s="227">
        <f t="shared" si="185"/>
        <v>38.187505620405986</v>
      </c>
      <c r="P463" s="227">
        <f t="shared" si="186"/>
        <v>6.3627858434504709</v>
      </c>
      <c r="Q463" s="227">
        <f t="shared" si="170"/>
        <v>298748.84835028485</v>
      </c>
      <c r="R463" s="227" t="str">
        <f t="shared" si="173"/>
        <v>0.0355+2.44022268683873i</v>
      </c>
      <c r="S463" s="227" t="str">
        <f t="shared" si="174"/>
        <v>0.018-0.00242153756743654i</v>
      </c>
      <c r="T463" s="227" t="str">
        <f t="shared" si="175"/>
        <v>0.0179504255216374-0.00240797332531034i</v>
      </c>
      <c r="U463" s="227" t="str">
        <f t="shared" si="176"/>
        <v>-0.371053076636827+0.016739625530301i</v>
      </c>
      <c r="V463" s="227">
        <f t="shared" si="187"/>
        <v>-8.6024492318058954</v>
      </c>
      <c r="W463" s="227">
        <f t="shared" si="188"/>
        <v>-182.5830806121738</v>
      </c>
      <c r="X463" s="227" t="str">
        <f t="shared" si="177"/>
        <v>0.365327115444469-0.215250457527674i</v>
      </c>
      <c r="Y463" s="227" t="str">
        <f t="shared" si="178"/>
        <v>0.142198387526547-9.86097641186979i</v>
      </c>
      <c r="Z463" s="227" t="str">
        <f t="shared" si="179"/>
        <v>-0.379909906714294-0.666582878464338i</v>
      </c>
      <c r="AA463" s="227" t="str">
        <f t="shared" si="180"/>
        <v>-2.08604036609441-2.04896957229387i</v>
      </c>
      <c r="AB463" s="227">
        <f t="shared" si="189"/>
        <v>9.319580239325914</v>
      </c>
      <c r="AC463" s="227">
        <f t="shared" si="190"/>
        <v>-135.51364885652373</v>
      </c>
      <c r="AD463" s="229">
        <f t="shared" si="191"/>
        <v>-15.682366082776385</v>
      </c>
      <c r="AE463" s="229">
        <f t="shared" si="192"/>
        <v>97.326143236117744</v>
      </c>
      <c r="AF463" s="227">
        <f t="shared" si="181"/>
        <v>-6.3627858434504709</v>
      </c>
      <c r="AG463" s="227">
        <f t="shared" si="182"/>
        <v>-38.187505620405986</v>
      </c>
      <c r="AH463" s="229" t="str">
        <f t="shared" si="183"/>
        <v>0.0209628537343771-0.163050344870217i</v>
      </c>
    </row>
    <row r="464" spans="9:34" x14ac:dyDescent="0.2">
      <c r="I464" s="227">
        <v>460</v>
      </c>
      <c r="J464" s="227">
        <f t="shared" si="171"/>
        <v>5.4850563623203641</v>
      </c>
      <c r="K464" s="227">
        <f t="shared" si="169"/>
        <v>305531.760366834</v>
      </c>
      <c r="L464" s="227">
        <f t="shared" si="184"/>
        <v>1919712.6676136057</v>
      </c>
      <c r="M464" s="227">
        <f t="shared" si="172"/>
        <v>305884.82879154052</v>
      </c>
      <c r="N464" s="227">
        <f>SQRT((ABS(AC464)-171.5+'Small Signal'!C$59)^2)</f>
        <v>36.90684500451863</v>
      </c>
      <c r="O464" s="227">
        <f t="shared" si="185"/>
        <v>41.241539549319953</v>
      </c>
      <c r="P464" s="227">
        <f t="shared" si="186"/>
        <v>6.0862233975436268</v>
      </c>
      <c r="Q464" s="227">
        <f t="shared" si="170"/>
        <v>305531.760366834</v>
      </c>
      <c r="R464" s="227" t="str">
        <f t="shared" si="173"/>
        <v>0.0355+2.49562646789769i</v>
      </c>
      <c r="S464" s="227" t="str">
        <f t="shared" si="174"/>
        <v>0.018-0.002367778585899i</v>
      </c>
      <c r="T464" s="227" t="str">
        <f t="shared" si="175"/>
        <v>0.0179503856296909-0.00235451548941274i</v>
      </c>
      <c r="U464" s="227" t="str">
        <f t="shared" si="176"/>
        <v>-0.370881697271322+0.016370514737797i</v>
      </c>
      <c r="V464" s="227">
        <f t="shared" si="187"/>
        <v>-8.6068388756128389</v>
      </c>
      <c r="W464" s="227">
        <f t="shared" si="188"/>
        <v>-182.52736379353129</v>
      </c>
      <c r="X464" s="227" t="str">
        <f t="shared" si="177"/>
        <v>0.336180219784132-0.220137589053016i</v>
      </c>
      <c r="Y464" s="227" t="str">
        <f t="shared" si="178"/>
        <v>0.135955662215788-9.64213549638108i</v>
      </c>
      <c r="Z464" s="227" t="str">
        <f t="shared" si="179"/>
        <v>-0.381058481277545-0.600226018701993i</v>
      </c>
      <c r="AA464" s="227" t="str">
        <f t="shared" si="180"/>
        <v>-2.30795268824265-2.04860326394692i</v>
      </c>
      <c r="AB464" s="227">
        <f t="shared" si="189"/>
        <v>9.7879298098157683</v>
      </c>
      <c r="AC464" s="227">
        <f t="shared" si="190"/>
        <v>-138.40684500451863</v>
      </c>
      <c r="AD464" s="229">
        <f t="shared" si="191"/>
        <v>-15.874153207359395</v>
      </c>
      <c r="AE464" s="229">
        <f t="shared" si="192"/>
        <v>97.165305455198677</v>
      </c>
      <c r="AF464" s="227">
        <f t="shared" si="181"/>
        <v>-6.0862233975436268</v>
      </c>
      <c r="AG464" s="227">
        <f t="shared" si="182"/>
        <v>-41.241539549319953</v>
      </c>
      <c r="AH464" s="229" t="str">
        <f t="shared" si="183"/>
        <v>0.0200572689187915-0.159546531058486i</v>
      </c>
    </row>
    <row r="465" spans="9:34" x14ac:dyDescent="0.2">
      <c r="I465" s="227">
        <v>461</v>
      </c>
      <c r="J465" s="227">
        <f t="shared" si="171"/>
        <v>5.4948064848471478</v>
      </c>
      <c r="K465" s="227">
        <f t="shared" si="169"/>
        <v>312468.67430064117</v>
      </c>
      <c r="L465" s="227">
        <f t="shared" si="184"/>
        <v>1963298.5833196722</v>
      </c>
      <c r="M465" s="227">
        <f t="shared" si="172"/>
        <v>312979.24116304563</v>
      </c>
      <c r="N465" s="227">
        <f>SQRT((ABS(AC465)-171.5+'Small Signal'!C$59)^2)</f>
        <v>40.126982980969046</v>
      </c>
      <c r="O465" s="227">
        <f t="shared" si="185"/>
        <v>44.61906075871137</v>
      </c>
      <c r="P465" s="227">
        <f t="shared" si="186"/>
        <v>5.8120623060346901</v>
      </c>
      <c r="Q465" s="227">
        <f t="shared" si="170"/>
        <v>312468.67430064117</v>
      </c>
      <c r="R465" s="227" t="str">
        <f t="shared" si="173"/>
        <v>0.0355+2.55228815831557i</v>
      </c>
      <c r="S465" s="227" t="str">
        <f t="shared" si="174"/>
        <v>0.018-0.00231521307256729i</v>
      </c>
      <c r="T465" s="227" t="str">
        <f t="shared" si="175"/>
        <v>0.0179503474893133-0.0023022444352238i</v>
      </c>
      <c r="U465" s="227" t="str">
        <f t="shared" si="176"/>
        <v>-0.370717840145727+0.0160094345703332i</v>
      </c>
      <c r="V465" s="227">
        <f t="shared" si="187"/>
        <v>-8.6110384848394652</v>
      </c>
      <c r="W465" s="227">
        <f t="shared" si="188"/>
        <v>-182.47277943299457</v>
      </c>
      <c r="X465" s="227" t="str">
        <f t="shared" si="177"/>
        <v>0.30569477390791-0.225135679945508i</v>
      </c>
      <c r="Y465" s="227" t="str">
        <f t="shared" si="178"/>
        <v>0.129986964282032-9.42814796273204i</v>
      </c>
      <c r="Z465" s="227" t="str">
        <f t="shared" si="179"/>
        <v>-0.382156638616007-0.534170468796659i</v>
      </c>
      <c r="AA465" s="227" t="str">
        <f t="shared" si="180"/>
        <v>-2.55275477884434-2.02133181658715i</v>
      </c>
      <c r="AB465" s="227">
        <f t="shared" si="189"/>
        <v>10.254016974871739</v>
      </c>
      <c r="AC465" s="227">
        <f t="shared" si="190"/>
        <v>-141.62698298096905</v>
      </c>
      <c r="AD465" s="229">
        <f t="shared" si="191"/>
        <v>-16.066079280906429</v>
      </c>
      <c r="AE465" s="229">
        <f t="shared" si="192"/>
        <v>97.007922222257676</v>
      </c>
      <c r="AF465" s="227">
        <f t="shared" si="181"/>
        <v>-5.8120623060346901</v>
      </c>
      <c r="AG465" s="227">
        <f t="shared" si="182"/>
        <v>-44.61906075871137</v>
      </c>
      <c r="AH465" s="229" t="str">
        <f t="shared" si="183"/>
        <v>0.0191901907257526-0.156113107426583i</v>
      </c>
    </row>
    <row r="466" spans="9:34" x14ac:dyDescent="0.2">
      <c r="I466" s="227">
        <v>462</v>
      </c>
      <c r="J466" s="227">
        <f t="shared" si="171"/>
        <v>5.5045566073739307</v>
      </c>
      <c r="K466" s="227">
        <f t="shared" si="169"/>
        <v>319563.08667214628</v>
      </c>
      <c r="L466" s="227">
        <f t="shared" si="184"/>
        <v>2007874.0908953862</v>
      </c>
      <c r="M466" s="227">
        <f t="shared" si="172"/>
        <v>320234.7278790744</v>
      </c>
      <c r="N466" s="227">
        <f>SQRT((ABS(AC466)-171.5+'Small Signal'!C$59)^2)</f>
        <v>43.706855655794328</v>
      </c>
      <c r="O466" s="227">
        <f t="shared" si="185"/>
        <v>48.352931402249041</v>
      </c>
      <c r="P466" s="227">
        <f t="shared" si="186"/>
        <v>5.546620659998899</v>
      </c>
      <c r="Q466" s="227">
        <f t="shared" si="170"/>
        <v>319563.08667214628</v>
      </c>
      <c r="R466" s="227" t="str">
        <f t="shared" si="173"/>
        <v>0.0355+2.610236318164i</v>
      </c>
      <c r="S466" s="227" t="str">
        <f t="shared" si="174"/>
        <v>0.018-0.00226381453202952i</v>
      </c>
      <c r="T466" s="227" t="str">
        <f t="shared" si="175"/>
        <v>0.017950311023597-0.00225113381583659i</v>
      </c>
      <c r="U466" s="227" t="str">
        <f t="shared" si="176"/>
        <v>-0.370561175203007+0.015656217408452i</v>
      </c>
      <c r="V466" s="227">
        <f t="shared" si="187"/>
        <v>-8.6150561746328016</v>
      </c>
      <c r="W466" s="227">
        <f t="shared" si="188"/>
        <v>-182.4193090275777</v>
      </c>
      <c r="X466" s="227" t="str">
        <f t="shared" si="177"/>
        <v>0.273809305860056-0.230247249470509i</v>
      </c>
      <c r="Y466" s="227" t="str">
        <f t="shared" si="178"/>
        <v>0.124280268406123-9.21890638731566i</v>
      </c>
      <c r="Z466" s="227" t="str">
        <f t="shared" si="179"/>
        <v>-0.383206591221241-0.468383013927124i</v>
      </c>
      <c r="AA466" s="227" t="str">
        <f t="shared" si="180"/>
        <v>-2.81860408799749-1.95848074660242i</v>
      </c>
      <c r="AB466" s="227">
        <f t="shared" si="189"/>
        <v>10.711517731027362</v>
      </c>
      <c r="AC466" s="227">
        <f t="shared" si="190"/>
        <v>-145.20685565579433</v>
      </c>
      <c r="AD466" s="229">
        <f t="shared" si="191"/>
        <v>-16.258138391026261</v>
      </c>
      <c r="AE466" s="229">
        <f t="shared" si="192"/>
        <v>96.853924253545287</v>
      </c>
      <c r="AF466" s="227">
        <f t="shared" si="181"/>
        <v>-5.546620659998899</v>
      </c>
      <c r="AG466" s="227">
        <f t="shared" si="182"/>
        <v>-48.352931402249041</v>
      </c>
      <c r="AH466" s="229" t="str">
        <f t="shared" si="183"/>
        <v>0.0183600338137137-0.152748976601584i</v>
      </c>
    </row>
    <row r="467" spans="9:34" x14ac:dyDescent="0.2">
      <c r="I467" s="227">
        <v>463</v>
      </c>
      <c r="J467" s="227">
        <f t="shared" si="171"/>
        <v>5.5143067299007145</v>
      </c>
      <c r="K467" s="227">
        <f t="shared" si="169"/>
        <v>326818.57338817505</v>
      </c>
      <c r="L467" s="227">
        <f t="shared" si="184"/>
        <v>2053461.6584259749</v>
      </c>
      <c r="M467" s="227">
        <f t="shared" si="172"/>
        <v>327654.94603525253</v>
      </c>
      <c r="N467" s="227">
        <f>SQRT((ABS(AC467)-171.5+'Small Signal'!C$59)^2)</f>
        <v>47.675457343490791</v>
      </c>
      <c r="O467" s="227">
        <f t="shared" si="185"/>
        <v>52.472214006523487</v>
      </c>
      <c r="P467" s="227">
        <f t="shared" si="186"/>
        <v>5.2982025781908053</v>
      </c>
      <c r="Q467" s="227">
        <f t="shared" si="170"/>
        <v>326818.57338817505</v>
      </c>
      <c r="R467" s="227" t="str">
        <f t="shared" si="173"/>
        <v>0.0355+2.66950015595377i</v>
      </c>
      <c r="S467" s="227" t="str">
        <f t="shared" si="174"/>
        <v>0.018-0.00221355705708123i</v>
      </c>
      <c r="T467" s="227" t="str">
        <f t="shared" si="175"/>
        <v>0.0179502761590114-0.00220115786925079i</v>
      </c>
      <c r="U467" s="227" t="str">
        <f t="shared" si="176"/>
        <v>-0.37041138685861+0.015310698659722i</v>
      </c>
      <c r="V467" s="227">
        <f t="shared" si="187"/>
        <v>-8.6188997230454163</v>
      </c>
      <c r="W467" s="227">
        <f t="shared" si="188"/>
        <v>-182.36693407008659</v>
      </c>
      <c r="X467" s="227" t="str">
        <f t="shared" si="177"/>
        <v>0.240459520629462-0.235474874091776i</v>
      </c>
      <c r="Y467" s="227" t="str">
        <f t="shared" si="178"/>
        <v>0.118824076705233-9.01430571032755i</v>
      </c>
      <c r="Z467" s="227" t="str">
        <f t="shared" si="179"/>
        <v>-0.384210454543839-0.402830569183872i</v>
      </c>
      <c r="AA467" s="227" t="str">
        <f t="shared" si="180"/>
        <v>-3.10075928130704-1.85022416951349i</v>
      </c>
      <c r="AB467" s="227">
        <f t="shared" si="189"/>
        <v>11.152122290901188</v>
      </c>
      <c r="AC467" s="227">
        <f t="shared" si="190"/>
        <v>-149.17545734349079</v>
      </c>
      <c r="AD467" s="229">
        <f t="shared" si="191"/>
        <v>-16.450324869091993</v>
      </c>
      <c r="AE467" s="229">
        <f t="shared" si="192"/>
        <v>96.703243336967304</v>
      </c>
      <c r="AF467" s="227">
        <f t="shared" si="181"/>
        <v>-5.2982025781908053</v>
      </c>
      <c r="AG467" s="227">
        <f t="shared" si="182"/>
        <v>-52.472214006523487</v>
      </c>
      <c r="AH467" s="229" t="str">
        <f t="shared" si="183"/>
        <v>0.0175652736994654-0.149453036963135i</v>
      </c>
    </row>
    <row r="468" spans="9:34" x14ac:dyDescent="0.2">
      <c r="I468" s="227">
        <v>464</v>
      </c>
      <c r="J468" s="227">
        <f t="shared" si="171"/>
        <v>5.5240568524274973</v>
      </c>
      <c r="K468" s="227">
        <f t="shared" si="169"/>
        <v>334238.79154435318</v>
      </c>
      <c r="L468" s="227">
        <f t="shared" si="184"/>
        <v>2100084.2641209406</v>
      </c>
      <c r="M468" s="227">
        <f t="shared" si="172"/>
        <v>335243.63575935556</v>
      </c>
      <c r="N468" s="227">
        <f>SQRT((ABS(AC468)-171.5+'Small Signal'!C$59)^2)</f>
        <v>52.053244622560271</v>
      </c>
      <c r="O468" s="227">
        <f t="shared" si="185"/>
        <v>56.997432285549166</v>
      </c>
      <c r="P468" s="227">
        <f t="shared" si="186"/>
        <v>5.0772931151821972</v>
      </c>
      <c r="Q468" s="227">
        <f t="shared" si="170"/>
        <v>334238.79154435318</v>
      </c>
      <c r="R468" s="227" t="str">
        <f t="shared" si="173"/>
        <v>0.0355+2.73010954335722i</v>
      </c>
      <c r="S468" s="227" t="str">
        <f t="shared" si="174"/>
        <v>0.018-0.00216441531566696i</v>
      </c>
      <c r="T468" s="227" t="str">
        <f t="shared" si="175"/>
        <v>0.0179502428252542-0.00215229140538759i</v>
      </c>
      <c r="U468" s="227" t="str">
        <f t="shared" si="176"/>
        <v>-0.370268173366703+0.0149727167367107i</v>
      </c>
      <c r="V468" s="227">
        <f t="shared" si="187"/>
        <v>-8.6225765842386295</v>
      </c>
      <c r="W468" s="227">
        <f t="shared" si="188"/>
        <v>-182.31563607444485</v>
      </c>
      <c r="X468" s="227" t="str">
        <f t="shared" si="177"/>
        <v>0.205578170502901-0.240821188770117i</v>
      </c>
      <c r="Y468" s="227" t="str">
        <f t="shared" si="178"/>
        <v>0.11360739562324-8.81424318465795i</v>
      </c>
      <c r="Z468" s="227" t="str">
        <f t="shared" si="179"/>
        <v>-0.385170251245284-0.33748016323261i</v>
      </c>
      <c r="AA468" s="227" t="str">
        <f t="shared" si="180"/>
        <v>-3.39046432342294-1.68649101522913i</v>
      </c>
      <c r="AB468" s="227">
        <f t="shared" si="189"/>
        <v>11.565340165671838</v>
      </c>
      <c r="AC468" s="227">
        <f t="shared" si="190"/>
        <v>-153.55324462256027</v>
      </c>
      <c r="AD468" s="229">
        <f t="shared" si="191"/>
        <v>-16.642633280854035</v>
      </c>
      <c r="AE468" s="229">
        <f t="shared" si="192"/>
        <v>96.555812337011105</v>
      </c>
      <c r="AF468" s="227">
        <f t="shared" si="181"/>
        <v>-5.0772931151821972</v>
      </c>
      <c r="AG468" s="227">
        <f t="shared" si="182"/>
        <v>-56.997432285549166</v>
      </c>
      <c r="AH468" s="229" t="str">
        <f t="shared" si="183"/>
        <v>0.0168044448004335-0.146224184426976i</v>
      </c>
    </row>
    <row r="469" spans="9:34" x14ac:dyDescent="0.2">
      <c r="I469" s="227">
        <v>465</v>
      </c>
      <c r="J469" s="227">
        <f t="shared" si="171"/>
        <v>5.5338069749542811</v>
      </c>
      <c r="K469" s="227">
        <f t="shared" ref="K469:K504" si="193">10^(J469)</f>
        <v>341827.48126845621</v>
      </c>
      <c r="L469" s="227">
        <f t="shared" si="184"/>
        <v>2147765.4078961695</v>
      </c>
      <c r="M469" s="227">
        <f t="shared" si="172"/>
        <v>343004.62209649506</v>
      </c>
      <c r="N469" s="227">
        <f>SQRT((ABS(AC469)-171.5+'Small Signal'!C$59)^2)</f>
        <v>56.84585552140328</v>
      </c>
      <c r="O469" s="227">
        <f t="shared" si="185"/>
        <v>61.934290323539983</v>
      </c>
      <c r="P469" s="227">
        <f t="shared" si="186"/>
        <v>4.8964925108360795</v>
      </c>
      <c r="Q469" s="227">
        <f t="shared" ref="Q469:Q504" si="194">K469</f>
        <v>341827.48126845621</v>
      </c>
      <c r="R469" s="227" t="str">
        <f t="shared" si="173"/>
        <v>0.0355+2.79209503026502i</v>
      </c>
      <c r="S469" s="227" t="str">
        <f t="shared" si="174"/>
        <v>0.018-0.00211636453811174i</v>
      </c>
      <c r="T469" s="227" t="str">
        <f t="shared" si="175"/>
        <v>0.0179502109551101-0.00210450979339328i</v>
      </c>
      <c r="U469" s="227" t="str">
        <f t="shared" si="176"/>
        <v>-0.370131246214077+0.0146421130325166i</v>
      </c>
      <c r="V469" s="227">
        <f t="shared" si="187"/>
        <v>-8.6260939012369864</v>
      </c>
      <c r="W469" s="227">
        <f t="shared" si="188"/>
        <v>-182.26539659899899</v>
      </c>
      <c r="X469" s="227" t="str">
        <f t="shared" si="177"/>
        <v>0.169094919464271-0.246288888291534i</v>
      </c>
      <c r="Y469" s="227" t="str">
        <f t="shared" si="178"/>
        <v>0.108619713831461-8.61861832582902i</v>
      </c>
      <c r="Z469" s="227" t="str">
        <f t="shared" si="179"/>
        <v>-0.386087915263893-0.27229892201283i</v>
      </c>
      <c r="AA469" s="227" t="str">
        <f t="shared" si="180"/>
        <v>-3.67404217688183-1.45867393765777i</v>
      </c>
      <c r="AB469" s="227">
        <f t="shared" si="189"/>
        <v>11.938565906521216</v>
      </c>
      <c r="AC469" s="227">
        <f t="shared" si="190"/>
        <v>-158.34585552140328</v>
      </c>
      <c r="AD469" s="229">
        <f t="shared" si="191"/>
        <v>-16.835058417357295</v>
      </c>
      <c r="AE469" s="229">
        <f t="shared" si="192"/>
        <v>96.411565197863297</v>
      </c>
      <c r="AF469" s="227">
        <f t="shared" si="181"/>
        <v>-4.8964925108360795</v>
      </c>
      <c r="AG469" s="227">
        <f t="shared" si="182"/>
        <v>-61.934290323539983</v>
      </c>
      <c r="AH469" s="229" t="str">
        <f t="shared" si="183"/>
        <v>0.0160761385060966-0.143061314096485i</v>
      </c>
    </row>
    <row r="470" spans="9:34" x14ac:dyDescent="0.2">
      <c r="I470" s="227">
        <v>466</v>
      </c>
      <c r="J470" s="227">
        <f t="shared" si="171"/>
        <v>5.543557097481064</v>
      </c>
      <c r="K470" s="227">
        <f t="shared" si="193"/>
        <v>349588.46760559571</v>
      </c>
      <c r="L470" s="227">
        <f t="shared" si="184"/>
        <v>2196529.1232189056</v>
      </c>
      <c r="M470" s="227">
        <f t="shared" si="172"/>
        <v>350941.8169371222</v>
      </c>
      <c r="N470" s="227">
        <f>SQRT((ABS(AC470)-171.5+'Small Signal'!C$59)^2)</f>
        <v>62.03689083200149</v>
      </c>
      <c r="O470" s="227">
        <f t="shared" si="185"/>
        <v>67.266453887149325</v>
      </c>
      <c r="P470" s="227">
        <f t="shared" si="186"/>
        <v>4.770005924138383</v>
      </c>
      <c r="Q470" s="227">
        <f t="shared" si="194"/>
        <v>349588.46760559571</v>
      </c>
      <c r="R470" s="227" t="str">
        <f t="shared" si="173"/>
        <v>0.0355+2.85548786018458i</v>
      </c>
      <c r="S470" s="227" t="str">
        <f t="shared" si="174"/>
        <v>0.018-0.00206938050463606i</v>
      </c>
      <c r="T470" s="227" t="str">
        <f t="shared" si="175"/>
        <v>0.0179501804843151-0.00205778894922435i</v>
      </c>
      <c r="U470" s="227" t="str">
        <f t="shared" si="176"/>
        <v>-0.370000329540544+0.0143187318940875i</v>
      </c>
      <c r="V470" s="227">
        <f t="shared" si="187"/>
        <v>-8.6294585182426857</v>
      </c>
      <c r="W470" s="227">
        <f t="shared" si="188"/>
        <v>-182.21619726792161</v>
      </c>
      <c r="X470" s="227" t="str">
        <f t="shared" si="177"/>
        <v>0.130936201366552-0.251880728625514i</v>
      </c>
      <c r="Y470" s="227" t="str">
        <f t="shared" si="178"/>
        <v>0.103850981095993-8.42733286296121i</v>
      </c>
      <c r="Z470" s="227" t="str">
        <f t="shared" si="179"/>
        <v>-0.386965295702962-0.207254052464893i</v>
      </c>
      <c r="AA470" s="227" t="str">
        <f t="shared" si="180"/>
        <v>-3.93277557507241-1.16218736060904i</v>
      </c>
      <c r="AB470" s="227">
        <f t="shared" si="189"/>
        <v>12.257589362019326</v>
      </c>
      <c r="AC470" s="227">
        <f t="shared" si="190"/>
        <v>-163.53689083200149</v>
      </c>
      <c r="AD470" s="229">
        <f t="shared" si="191"/>
        <v>-17.027595286157709</v>
      </c>
      <c r="AE470" s="229">
        <f t="shared" si="192"/>
        <v>96.270436944852165</v>
      </c>
      <c r="AF470" s="227">
        <f t="shared" si="181"/>
        <v>-4.770005924138383</v>
      </c>
      <c r="AG470" s="227">
        <f t="shared" si="182"/>
        <v>-67.266453887149325</v>
      </c>
      <c r="AH470" s="229" t="str">
        <f t="shared" si="183"/>
        <v>0.0153790012815811-0.13996332178944i</v>
      </c>
    </row>
    <row r="471" spans="9:34" x14ac:dyDescent="0.2">
      <c r="I471" s="227">
        <v>467</v>
      </c>
      <c r="J471" s="227">
        <f t="shared" si="171"/>
        <v>5.5533072200078477</v>
      </c>
      <c r="K471" s="227">
        <f t="shared" si="193"/>
        <v>357525.66244622285</v>
      </c>
      <c r="L471" s="227">
        <f t="shared" si="184"/>
        <v>2246399.9892217559</v>
      </c>
      <c r="M471" s="227">
        <f t="shared" si="172"/>
        <v>359059.22098879627</v>
      </c>
      <c r="N471" s="227">
        <f>SQRT((ABS(AC471)-171.5+'Small Signal'!C$59)^2)</f>
        <v>67.581303138847346</v>
      </c>
      <c r="O471" s="227">
        <f t="shared" si="185"/>
        <v>72.94893945450697</v>
      </c>
      <c r="P471" s="227">
        <f t="shared" si="186"/>
        <v>4.7125305432647373</v>
      </c>
      <c r="Q471" s="227">
        <f t="shared" si="194"/>
        <v>357525.66244622285</v>
      </c>
      <c r="R471" s="227" t="str">
        <f t="shared" si="173"/>
        <v>0.0355+2.92031998598828i</v>
      </c>
      <c r="S471" s="227" t="str">
        <f t="shared" si="174"/>
        <v>0.018-0.002023439533148i</v>
      </c>
      <c r="T471" s="227" t="str">
        <f t="shared" si="175"/>
        <v>0.0179501513514267-0.00201210532350837i</v>
      </c>
      <c r="U471" s="227" t="str">
        <f t="shared" si="176"/>
        <v>-0.369875159584657+0.0140024205935692i</v>
      </c>
      <c r="V471" s="227">
        <f t="shared" si="187"/>
        <v>-8.6326769925200217</v>
      </c>
      <c r="W471" s="227">
        <f t="shared" si="188"/>
        <v>-182.16801979083078</v>
      </c>
      <c r="X471" s="227" t="str">
        <f t="shared" si="177"/>
        <v>0.091025071590325-0.257599528314168i</v>
      </c>
      <c r="Y471" s="227" t="str">
        <f t="shared" si="178"/>
        <v>0.0992915880693498-8.24029069074899i</v>
      </c>
      <c r="Z471" s="227" t="str">
        <f t="shared" si="179"/>
        <v>-0.387804160548795-0.142312826278422i</v>
      </c>
      <c r="AA471" s="227" t="str">
        <f t="shared" si="180"/>
        <v>-4.14430148026016-0.799469288756387i</v>
      </c>
      <c r="AB471" s="227">
        <f t="shared" si="189"/>
        <v>12.507708559569522</v>
      </c>
      <c r="AC471" s="227">
        <f t="shared" si="190"/>
        <v>-169.08130313884735</v>
      </c>
      <c r="AD471" s="229">
        <f t="shared" si="191"/>
        <v>-17.22023910283426</v>
      </c>
      <c r="AE471" s="229">
        <f t="shared" si="192"/>
        <v>96.132363684340376</v>
      </c>
      <c r="AF471" s="227">
        <f t="shared" si="181"/>
        <v>-4.7125305432647373</v>
      </c>
      <c r="AG471" s="227">
        <f t="shared" si="182"/>
        <v>-72.94893945450697</v>
      </c>
      <c r="AH471" s="229" t="str">
        <f t="shared" si="183"/>
        <v>0.0147117328060449-0.136929105446902i</v>
      </c>
    </row>
    <row r="472" spans="9:34" x14ac:dyDescent="0.2">
      <c r="I472" s="227">
        <v>468</v>
      </c>
      <c r="J472" s="227">
        <f t="shared" si="171"/>
        <v>5.5630573425346315</v>
      </c>
      <c r="K472" s="227">
        <f t="shared" si="193"/>
        <v>365643.06649789691</v>
      </c>
      <c r="L472" s="227">
        <f t="shared" si="184"/>
        <v>2297403.1430916744</v>
      </c>
      <c r="M472" s="227">
        <f t="shared" si="172"/>
        <v>367360.92579272139</v>
      </c>
      <c r="N472" s="227">
        <f>SQRT((ABS(AC472)-171.5+'Small Signal'!C$59)^2)</f>
        <v>73.401885198305479</v>
      </c>
      <c r="O472" s="227">
        <f t="shared" si="185"/>
        <v>78.904602596116959</v>
      </c>
      <c r="P472" s="227">
        <f t="shared" si="186"/>
        <v>4.7375275458361763</v>
      </c>
      <c r="Q472" s="227">
        <f t="shared" si="194"/>
        <v>365643.06649789691</v>
      </c>
      <c r="R472" s="227" t="str">
        <f t="shared" si="173"/>
        <v>0.0355+2.98662408601918i</v>
      </c>
      <c r="S472" s="227" t="str">
        <f t="shared" si="174"/>
        <v>0.018-0.00197851846730636i</v>
      </c>
      <c r="T472" s="227" t="str">
        <f t="shared" si="175"/>
        <v>0.0179501234977004-0.00196743588967436i</v>
      </c>
      <c r="U472" s="227" t="str">
        <f t="shared" si="176"/>
        <v>-0.369755484153651+0.0136930292978857i</v>
      </c>
      <c r="V472" s="227">
        <f t="shared" si="187"/>
        <v>-8.6357556058598774</v>
      </c>
      <c r="W472" s="227">
        <f t="shared" si="188"/>
        <v>-182.12084598073409</v>
      </c>
      <c r="X472" s="227" t="str">
        <f t="shared" si="177"/>
        <v>0.049281051889881-0.2634481698929i</v>
      </c>
      <c r="Y472" s="227" t="str">
        <f t="shared" si="178"/>
        <v>0.0949323469662377-8.05739782243103i</v>
      </c>
      <c r="Z472" s="227" t="str">
        <f t="shared" si="179"/>
        <v>-0.388606200226113-0.0774425636554175i</v>
      </c>
      <c r="AA472" s="227" t="str">
        <f t="shared" si="180"/>
        <v>-4.28599249348037-0.3823724950231i</v>
      </c>
      <c r="AB472" s="227">
        <f t="shared" si="189"/>
        <v>12.675457736953074</v>
      </c>
      <c r="AC472" s="227">
        <f t="shared" si="190"/>
        <v>-174.90188519830548</v>
      </c>
      <c r="AD472" s="229">
        <f t="shared" si="191"/>
        <v>-17.412985282789251</v>
      </c>
      <c r="AE472" s="229">
        <f t="shared" si="192"/>
        <v>95.99728260218852</v>
      </c>
      <c r="AF472" s="227">
        <f t="shared" si="181"/>
        <v>-4.7375275458361763</v>
      </c>
      <c r="AG472" s="227">
        <f t="shared" si="182"/>
        <v>-78.904602596116959</v>
      </c>
      <c r="AH472" s="229" t="str">
        <f t="shared" si="183"/>
        <v>0.0140730841480689-0.133957566430906i</v>
      </c>
    </row>
    <row r="473" spans="9:34" x14ac:dyDescent="0.2">
      <c r="I473" s="227">
        <v>469</v>
      </c>
      <c r="J473" s="227">
        <f t="shared" si="171"/>
        <v>5.5728074650614143</v>
      </c>
      <c r="K473" s="227">
        <f t="shared" si="193"/>
        <v>373944.77130182204</v>
      </c>
      <c r="L473" s="227">
        <f t="shared" si="184"/>
        <v>2349564.2927402388</v>
      </c>
      <c r="M473" s="227">
        <f t="shared" si="172"/>
        <v>375851.1157860735</v>
      </c>
      <c r="N473" s="227">
        <f>SQRT((ABS(AC473)-171.5+'Small Signal'!C$59)^2)</f>
        <v>79.391558303898421</v>
      </c>
      <c r="O473" s="227">
        <f t="shared" si="185"/>
        <v>85.026426342998178</v>
      </c>
      <c r="P473" s="227">
        <f t="shared" si="186"/>
        <v>4.8551414679061864</v>
      </c>
      <c r="Q473" s="227">
        <f t="shared" si="194"/>
        <v>373944.77130182204</v>
      </c>
      <c r="R473" s="227" t="str">
        <f t="shared" si="173"/>
        <v>0.0355+3.05443358056231i</v>
      </c>
      <c r="S473" s="227" t="str">
        <f t="shared" si="174"/>
        <v>0.018-0.00193459466484881i</v>
      </c>
      <c r="T473" s="227" t="str">
        <f t="shared" si="175"/>
        <v>0.0179500968669709-0.00192375813234653i</v>
      </c>
      <c r="U473" s="227" t="str">
        <f t="shared" si="176"/>
        <v>-0.369641062116553+0.013390411036746i</v>
      </c>
      <c r="V473" s="227">
        <f t="shared" si="187"/>
        <v>-8.6387003756344889</v>
      </c>
      <c r="W473" s="227">
        <f t="shared" si="188"/>
        <v>-182.07465777040139</v>
      </c>
      <c r="X473" s="227" t="str">
        <f t="shared" si="177"/>
        <v>0.00561996811397703-0.269429601343338i</v>
      </c>
      <c r="Y473" s="227" t="str">
        <f t="shared" si="178"/>
        <v>0.0907644730848938-7.87856234373576i</v>
      </c>
      <c r="Z473" s="227" t="str">
        <f t="shared" si="179"/>
        <v>-0.389373030997861-0.0126106170808674i</v>
      </c>
      <c r="AA473" s="227" t="str">
        <f t="shared" si="180"/>
        <v>-4.33992093530376+0.0675373457856539i</v>
      </c>
      <c r="AB473" s="227">
        <f t="shared" si="189"/>
        <v>12.750687965425797</v>
      </c>
      <c r="AC473" s="227">
        <f t="shared" si="190"/>
        <v>-180.89155830389842</v>
      </c>
      <c r="AD473" s="229">
        <f t="shared" si="191"/>
        <v>-17.605829433331984</v>
      </c>
      <c r="AE473" s="229">
        <f t="shared" si="192"/>
        <v>95.865131960900243</v>
      </c>
      <c r="AF473" s="227">
        <f t="shared" si="181"/>
        <v>-4.8551414679061864</v>
      </c>
      <c r="AG473" s="227">
        <f t="shared" si="182"/>
        <v>-85.026426342998178</v>
      </c>
      <c r="AH473" s="229" t="str">
        <f t="shared" si="183"/>
        <v>0.0134618559798956-0.131047610717325i</v>
      </c>
    </row>
    <row r="474" spans="9:34" x14ac:dyDescent="0.2">
      <c r="I474" s="227">
        <v>470</v>
      </c>
      <c r="J474" s="227">
        <f t="shared" si="171"/>
        <v>5.5825575875881981</v>
      </c>
      <c r="K474" s="227">
        <f t="shared" si="193"/>
        <v>382434.96129517414</v>
      </c>
      <c r="L474" s="227">
        <f t="shared" si="184"/>
        <v>2402909.7297616317</v>
      </c>
      <c r="M474" s="227">
        <f t="shared" si="172"/>
        <v>384534.07041114452</v>
      </c>
      <c r="N474" s="227">
        <f>SQRT((ABS(AC474)-171.5+'Small Signal'!C$59)^2)</f>
        <v>85.422843960036033</v>
      </c>
      <c r="O474" s="227">
        <f t="shared" si="185"/>
        <v>91.186992864479805</v>
      </c>
      <c r="P474" s="227">
        <f t="shared" si="186"/>
        <v>5.0703258299998097</v>
      </c>
      <c r="Q474" s="227">
        <f t="shared" si="194"/>
        <v>382434.96129517414</v>
      </c>
      <c r="R474" s="227" t="str">
        <f t="shared" si="173"/>
        <v>0.0355+3.12378264869012i</v>
      </c>
      <c r="S474" s="227" t="str">
        <f t="shared" si="174"/>
        <v>0.018-0.0018916459861792i</v>
      </c>
      <c r="T474" s="227" t="str">
        <f t="shared" si="175"/>
        <v>0.0179500714055392-0.00188105003599579i</v>
      </c>
      <c r="U474" s="227" t="str">
        <f t="shared" si="176"/>
        <v>-0.369531662919486+0.0130944216692658i</v>
      </c>
      <c r="V474" s="227">
        <f t="shared" si="187"/>
        <v>-8.6415170654520583</v>
      </c>
      <c r="W474" s="227">
        <f t="shared" si="188"/>
        <v>-182.02943722726653</v>
      </c>
      <c r="X474" s="227" t="str">
        <f t="shared" si="177"/>
        <v>-0.0400462195259901-0.275546837579252i</v>
      </c>
      <c r="Y474" s="227" t="str">
        <f t="shared" si="178"/>
        <v>0.0867795671370976-7.70369436778609i</v>
      </c>
      <c r="Z474" s="227" t="str">
        <f t="shared" si="179"/>
        <v>-0.390106198216257+0.0522156449061922i</v>
      </c>
      <c r="AA474" s="227" t="str">
        <f t="shared" si="180"/>
        <v>-4.29778013710363+0.521827255420957i</v>
      </c>
      <c r="AB474" s="227">
        <f t="shared" si="189"/>
        <v>12.72844151603918</v>
      </c>
      <c r="AC474" s="227">
        <f t="shared" si="190"/>
        <v>-186.92284396003603</v>
      </c>
      <c r="AD474" s="229">
        <f t="shared" si="191"/>
        <v>-17.798767346038989</v>
      </c>
      <c r="AE474" s="229">
        <f t="shared" si="192"/>
        <v>95.735851095556228</v>
      </c>
      <c r="AF474" s="227">
        <f t="shared" si="181"/>
        <v>-5.0703258299998097</v>
      </c>
      <c r="AG474" s="227">
        <f t="shared" si="182"/>
        <v>-91.186992864479805</v>
      </c>
      <c r="AH474" s="229" t="str">
        <f t="shared" si="183"/>
        <v>0.0128768968320291-0.128198149990033i</v>
      </c>
    </row>
    <row r="475" spans="9:34" x14ac:dyDescent="0.2">
      <c r="I475" s="227">
        <v>471</v>
      </c>
      <c r="J475" s="227">
        <f t="shared" si="171"/>
        <v>5.592307710114981</v>
      </c>
      <c r="K475" s="227">
        <f t="shared" si="193"/>
        <v>391117.91592024517</v>
      </c>
      <c r="L475" s="227">
        <f t="shared" si="184"/>
        <v>2457466.3426847854</v>
      </c>
      <c r="M475" s="227">
        <f t="shared" si="172"/>
        <v>393414.16627237829</v>
      </c>
      <c r="N475" s="227">
        <f>SQRT((ABS(AC475)-171.5+'Small Signal'!C$59)^2)</f>
        <v>91.363110049196536</v>
      </c>
      <c r="O475" s="227">
        <f t="shared" si="185"/>
        <v>97.253729640560493</v>
      </c>
      <c r="P475" s="227">
        <f t="shared" si="186"/>
        <v>5.3818340780568619</v>
      </c>
      <c r="Q475" s="227">
        <f t="shared" si="194"/>
        <v>391117.91592024517</v>
      </c>
      <c r="R475" s="227" t="str">
        <f t="shared" si="173"/>
        <v>0.0355+3.19470624549022i</v>
      </c>
      <c r="S475" s="227" t="str">
        <f t="shared" si="174"/>
        <v>0.018-0.00184965078320813i</v>
      </c>
      <c r="T475" s="227" t="str">
        <f t="shared" si="175"/>
        <v>0.0179500470620638-0.0018392900738431i</v>
      </c>
      <c r="U475" s="227" t="str">
        <f t="shared" si="176"/>
        <v>-0.369427066122134+0.012804919849365i</v>
      </c>
      <c r="V475" s="227">
        <f t="shared" si="187"/>
        <v>-8.6442111954234608</v>
      </c>
      <c r="W475" s="227">
        <f t="shared" si="188"/>
        <v>-181.98516656695114</v>
      </c>
      <c r="X475" s="227" t="str">
        <f t="shared" si="177"/>
        <v>-0.0878095939825401-0.281802961966206i</v>
      </c>
      <c r="Y475" s="227" t="str">
        <f t="shared" si="178"/>
        <v>0.0829695983515513-7.53270599094518i</v>
      </c>
      <c r="Z475" s="227" t="str">
        <f t="shared" si="179"/>
        <v>-0.390807179431509+0.117068853948175i</v>
      </c>
      <c r="AA475" s="227" t="str">
        <f t="shared" si="180"/>
        <v>-4.16351586560868+0.950751545378129i</v>
      </c>
      <c r="AB475" s="227">
        <f t="shared" si="189"/>
        <v>12.609960911327928</v>
      </c>
      <c r="AC475" s="227">
        <f t="shared" si="190"/>
        <v>-192.86311004919654</v>
      </c>
      <c r="AD475" s="229">
        <f t="shared" si="191"/>
        <v>-17.99179498938479</v>
      </c>
      <c r="AE475" s="229">
        <f t="shared" si="192"/>
        <v>95.609380408636042</v>
      </c>
      <c r="AF475" s="227">
        <f t="shared" si="181"/>
        <v>-5.3818340780568619</v>
      </c>
      <c r="AG475" s="227">
        <f t="shared" si="182"/>
        <v>-97.253729640560493</v>
      </c>
      <c r="AH475" s="229" t="str">
        <f t="shared" si="183"/>
        <v>0.0123171013894009-0.125408102642207i</v>
      </c>
    </row>
    <row r="476" spans="9:34" x14ac:dyDescent="0.2">
      <c r="I476" s="227">
        <v>472</v>
      </c>
      <c r="J476" s="227">
        <f t="shared" si="171"/>
        <v>5.6020578326417656</v>
      </c>
      <c r="K476" s="227">
        <f t="shared" si="193"/>
        <v>399998.01178147894</v>
      </c>
      <c r="L476" s="227">
        <f t="shared" si="184"/>
        <v>2513261.6305264356</v>
      </c>
      <c r="M476" s="227">
        <f t="shared" si="172"/>
        <v>402495.87934237276</v>
      </c>
      <c r="N476" s="227">
        <f>SQRT((ABS(AC476)-171.5+'Small Signal'!C$59)^2)</f>
        <v>97.091379419271306</v>
      </c>
      <c r="O476" s="227">
        <f t="shared" si="185"/>
        <v>103.10571805544927</v>
      </c>
      <c r="P476" s="227">
        <f t="shared" si="186"/>
        <v>5.7824796710658752</v>
      </c>
      <c r="Q476" s="227">
        <f t="shared" si="194"/>
        <v>399998.01178147894</v>
      </c>
      <c r="R476" s="227" t="str">
        <f t="shared" si="173"/>
        <v>0.0355+3.26724011968437i</v>
      </c>
      <c r="S476" s="227" t="str">
        <f t="shared" si="174"/>
        <v>0.018-0.00180858788844138i</v>
      </c>
      <c r="T476" s="227" t="str">
        <f t="shared" si="175"/>
        <v>0.0179500237874578-0.00179845719700928i</v>
      </c>
      <c r="U476" s="227" t="str">
        <f t="shared" si="176"/>
        <v>-0.369327060954498+0.012521766990096i</v>
      </c>
      <c r="V476" s="227">
        <f t="shared" si="187"/>
        <v>-8.6467880520503666</v>
      </c>
      <c r="W476" s="227">
        <f t="shared" si="188"/>
        <v>-181.94182816549932</v>
      </c>
      <c r="X476" s="227" t="str">
        <f t="shared" si="177"/>
        <v>-0.13776646705163-0.288201127875716i</v>
      </c>
      <c r="Y476" s="227" t="str">
        <f t="shared" si="178"/>
        <v>0.0793268883169474-7.36551124958778i</v>
      </c>
      <c r="Z476" s="227" t="str">
        <f t="shared" si="179"/>
        <v>-0.391477387364496+0.181981658118606i</v>
      </c>
      <c r="AA476" s="227" t="str">
        <f t="shared" si="180"/>
        <v>-3.95226135188027+1.3294209333432i</v>
      </c>
      <c r="AB476" s="227">
        <f t="shared" si="189"/>
        <v>12.40242883057066</v>
      </c>
      <c r="AC476" s="227">
        <f t="shared" si="190"/>
        <v>-198.59137941927131</v>
      </c>
      <c r="AD476" s="229">
        <f t="shared" si="191"/>
        <v>-18.184908501636535</v>
      </c>
      <c r="AE476" s="229">
        <f t="shared" si="192"/>
        <v>95.485661363822032</v>
      </c>
      <c r="AF476" s="227">
        <f t="shared" si="181"/>
        <v>-5.7824796710658752</v>
      </c>
      <c r="AG476" s="227">
        <f t="shared" si="182"/>
        <v>-103.10571805544927</v>
      </c>
      <c r="AH476" s="229" t="str">
        <f t="shared" si="183"/>
        <v>0.0117814088300361-0.12267639469035i</v>
      </c>
    </row>
    <row r="477" spans="9:34" x14ac:dyDescent="0.2">
      <c r="I477" s="227">
        <v>473</v>
      </c>
      <c r="J477" s="227">
        <f t="shared" si="171"/>
        <v>5.6118079551685485</v>
      </c>
      <c r="K477" s="227">
        <f t="shared" si="193"/>
        <v>409079.72485147341</v>
      </c>
      <c r="L477" s="227">
        <f t="shared" si="184"/>
        <v>2570323.7166518457</v>
      </c>
      <c r="M477" s="227">
        <f t="shared" si="172"/>
        <v>411783.78721798229</v>
      </c>
      <c r="N477" s="227">
        <f>SQRT((ABS(AC477)-171.5+'Small Signal'!C$59)^2)</f>
        <v>102.51166389278555</v>
      </c>
      <c r="O477" s="227">
        <f t="shared" si="185"/>
        <v>108.64702741391295</v>
      </c>
      <c r="P477" s="227">
        <f t="shared" si="186"/>
        <v>6.2605582387795025</v>
      </c>
      <c r="Q477" s="227">
        <f t="shared" si="194"/>
        <v>409079.72485147341</v>
      </c>
      <c r="R477" s="227" t="str">
        <f t="shared" si="173"/>
        <v>0.0355+3.3414208316474i</v>
      </c>
      <c r="S477" s="227" t="str">
        <f t="shared" si="174"/>
        <v>0.018-0.0017684366043105i</v>
      </c>
      <c r="T477" s="227" t="str">
        <f t="shared" si="175"/>
        <v>0.0179500015347895-0.00175853082390552i</v>
      </c>
      <c r="U477" s="227" t="str">
        <f t="shared" si="176"/>
        <v>-0.369231445893053+0.01224482722705i</v>
      </c>
      <c r="V477" s="227">
        <f t="shared" si="187"/>
        <v>-8.6492526977456823</v>
      </c>
      <c r="W477" s="227">
        <f t="shared" si="188"/>
        <v>-181.89940457040734</v>
      </c>
      <c r="X477" s="227" t="str">
        <f t="shared" si="177"/>
        <v>-0.19001757357908-0.29474456027469i</v>
      </c>
      <c r="Y477" s="227" t="str">
        <f t="shared" si="178"/>
        <v>0.0758440955324296-7.20202607777812i</v>
      </c>
      <c r="Z477" s="227" t="str">
        <f t="shared" si="179"/>
        <v>-0.39211817274925+0.246986738192556i</v>
      </c>
      <c r="AA477" s="227" t="str">
        <f t="shared" si="180"/>
        <v>-3.68610825849226+1.64206035809995i</v>
      </c>
      <c r="AB477" s="227">
        <f t="shared" si="189"/>
        <v>12.117545945225721</v>
      </c>
      <c r="AC477" s="227">
        <f t="shared" si="190"/>
        <v>-204.01166389278555</v>
      </c>
      <c r="AD477" s="229">
        <f t="shared" si="191"/>
        <v>-18.378104184005224</v>
      </c>
      <c r="AE477" s="229">
        <f t="shared" si="192"/>
        <v>95.364636478872598</v>
      </c>
      <c r="AF477" s="227">
        <f t="shared" si="181"/>
        <v>-6.2605582387795025</v>
      </c>
      <c r="AG477" s="227">
        <f t="shared" si="182"/>
        <v>-108.64702741391295</v>
      </c>
      <c r="AH477" s="229" t="str">
        <f t="shared" si="183"/>
        <v>0.011268801206905-0.120001960606367i</v>
      </c>
    </row>
    <row r="478" spans="9:34" x14ac:dyDescent="0.2">
      <c r="I478" s="227">
        <v>474</v>
      </c>
      <c r="J478" s="227">
        <f t="shared" si="171"/>
        <v>5.6215580776953322</v>
      </c>
      <c r="K478" s="227">
        <f t="shared" si="193"/>
        <v>418367.63272708294</v>
      </c>
      <c r="L478" s="227">
        <f t="shared" si="184"/>
        <v>2628681.3629503129</v>
      </c>
      <c r="M478" s="227">
        <f t="shared" si="172"/>
        <v>421282.5714276295</v>
      </c>
      <c r="N478" s="227">
        <f>SQRT((ABS(AC478)-171.5+'Small Signal'!C$59)^2)</f>
        <v>107.55958479520004</v>
      </c>
      <c r="O478" s="227">
        <f t="shared" si="185"/>
        <v>113.81333547755089</v>
      </c>
      <c r="P478" s="227">
        <f t="shared" si="186"/>
        <v>6.8018838733815379</v>
      </c>
      <c r="Q478" s="227">
        <f t="shared" si="194"/>
        <v>418367.63272708294</v>
      </c>
      <c r="R478" s="227" t="str">
        <f t="shared" si="173"/>
        <v>0.0355+3.41728577183541i</v>
      </c>
      <c r="S478" s="227" t="str">
        <f t="shared" si="174"/>
        <v>0.018-0.00172917669274032i</v>
      </c>
      <c r="T478" s="227" t="str">
        <f t="shared" si="175"/>
        <v>0.0179499802591877-0.00171949082985956i</v>
      </c>
      <c r="U478" s="227" t="str">
        <f t="shared" si="176"/>
        <v>-0.369140028255431+0.0119739673809707i</v>
      </c>
      <c r="V478" s="227">
        <f t="shared" si="187"/>
        <v>-8.6516099799976676</v>
      </c>
      <c r="W478" s="227">
        <f t="shared" si="188"/>
        <v>-181.85787851052899</v>
      </c>
      <c r="X478" s="227" t="str">
        <f t="shared" si="177"/>
        <v>-0.24466827458604-0.301436557350962i</v>
      </c>
      <c r="Y478" s="227" t="str">
        <f t="shared" si="178"/>
        <v>0.0725142006344554-7.04216826583954i</v>
      </c>
      <c r="Z478" s="227" t="str">
        <f t="shared" si="179"/>
        <v>-0.392730827051009+0.31211682394599i</v>
      </c>
      <c r="AA478" s="227" t="str">
        <f t="shared" si="180"/>
        <v>-3.38877966048039+1.88304089195241i</v>
      </c>
      <c r="AB478" s="227">
        <f t="shared" si="189"/>
        <v>11.769494620666357</v>
      </c>
      <c r="AC478" s="227">
        <f t="shared" si="190"/>
        <v>-209.05958479520004</v>
      </c>
      <c r="AD478" s="229">
        <f t="shared" si="191"/>
        <v>-18.571378494047895</v>
      </c>
      <c r="AE478" s="229">
        <f t="shared" si="192"/>
        <v>95.246249317649145</v>
      </c>
      <c r="AF478" s="227">
        <f t="shared" si="181"/>
        <v>-6.8018838733815379</v>
      </c>
      <c r="AG478" s="227">
        <f t="shared" si="182"/>
        <v>-113.81333547755089</v>
      </c>
      <c r="AH478" s="229" t="str">
        <f t="shared" si="183"/>
        <v>0.0107783018734241-0.117383744072743i</v>
      </c>
    </row>
    <row r="479" spans="9:34" x14ac:dyDescent="0.2">
      <c r="I479" s="227">
        <v>475</v>
      </c>
      <c r="J479" s="227">
        <f t="shared" si="171"/>
        <v>5.6313082002221151</v>
      </c>
      <c r="K479" s="227">
        <f t="shared" si="193"/>
        <v>427866.41693673015</v>
      </c>
      <c r="L479" s="227">
        <f t="shared" si="184"/>
        <v>2688363.9843324376</v>
      </c>
      <c r="M479" s="227">
        <f t="shared" si="172"/>
        <v>430997.01979101065</v>
      </c>
      <c r="N479" s="227">
        <f>SQRT((ABS(AC479)-171.5+'Small Signal'!C$59)^2)</f>
        <v>112.20208808874366</v>
      </c>
      <c r="O479" s="227">
        <f t="shared" si="185"/>
        <v>118.57164360737123</v>
      </c>
      <c r="P479" s="227">
        <f t="shared" si="186"/>
        <v>7.3917823807087153</v>
      </c>
      <c r="Q479" s="227">
        <f t="shared" si="194"/>
        <v>427866.41693673015</v>
      </c>
      <c r="R479" s="227" t="str">
        <f t="shared" si="173"/>
        <v>0.0355+3.49487317963217i</v>
      </c>
      <c r="S479" s="227" t="str">
        <f t="shared" si="174"/>
        <v>0.018-0.00169078836494801i</v>
      </c>
      <c r="T479" s="227" t="str">
        <f t="shared" si="175"/>
        <v>0.0179499599177515-0.00168131753697212i</v>
      </c>
      <c r="U479" s="227" t="str">
        <f t="shared" si="176"/>
        <v>-0.369052623812855+0.0117090569196955i</v>
      </c>
      <c r="V479" s="227">
        <f t="shared" si="187"/>
        <v>-8.6538645401875787</v>
      </c>
      <c r="W479" s="227">
        <f t="shared" si="188"/>
        <v>-181.8172329049296</v>
      </c>
      <c r="X479" s="227" t="str">
        <f t="shared" si="177"/>
        <v>-0.30182876972285-0.308280492175728i</v>
      </c>
      <c r="Y479" s="227" t="str">
        <f t="shared" si="178"/>
        <v>0.069330492270697-6.88585741979804i</v>
      </c>
      <c r="Z479" s="227" t="str">
        <f t="shared" si="179"/>
        <v>-0.393316585065236+0.377404710491077i</v>
      </c>
      <c r="AA479" s="227" t="str">
        <f t="shared" si="180"/>
        <v>-3.08131504767521+2.05514393069489i</v>
      </c>
      <c r="AB479" s="227">
        <f t="shared" si="189"/>
        <v>11.37294565860434</v>
      </c>
      <c r="AC479" s="227">
        <f t="shared" si="190"/>
        <v>-213.70208808874366</v>
      </c>
      <c r="AD479" s="229">
        <f t="shared" si="191"/>
        <v>-18.764728039313056</v>
      </c>
      <c r="AE479" s="229">
        <f t="shared" si="192"/>
        <v>95.130444481372436</v>
      </c>
      <c r="AF479" s="227">
        <f t="shared" si="181"/>
        <v>-7.3917823807087153</v>
      </c>
      <c r="AG479" s="227">
        <f t="shared" si="182"/>
        <v>-118.57164360737123</v>
      </c>
      <c r="AH479" s="229" t="str">
        <f t="shared" si="183"/>
        <v>0.0103089739528695-0.114820698665658i</v>
      </c>
    </row>
    <row r="480" spans="9:34" x14ac:dyDescent="0.2">
      <c r="I480" s="227">
        <v>476</v>
      </c>
      <c r="J480" s="227">
        <f t="shared" si="171"/>
        <v>5.6410583227488988</v>
      </c>
      <c r="K480" s="227">
        <f t="shared" si="193"/>
        <v>437580.8653001113</v>
      </c>
      <c r="L480" s="227">
        <f t="shared" si="184"/>
        <v>2749401.6635565888</v>
      </c>
      <c r="M480" s="227">
        <f t="shared" si="172"/>
        <v>440932.02883237111</v>
      </c>
      <c r="N480" s="227">
        <f>SQRT((ABS(AC480)-171.5+'Small Signal'!C$59)^2)</f>
        <v>116.43236803146044</v>
      </c>
      <c r="O480" s="227">
        <f t="shared" si="185"/>
        <v>122.91520043227767</v>
      </c>
      <c r="P480" s="227">
        <f t="shared" si="186"/>
        <v>8.0165897233584058</v>
      </c>
      <c r="Q480" s="227">
        <f t="shared" si="194"/>
        <v>437580.8653001113</v>
      </c>
      <c r="R480" s="227" t="str">
        <f t="shared" si="173"/>
        <v>0.0355+3.57422216262357i</v>
      </c>
      <c r="S480" s="227" t="str">
        <f t="shared" si="174"/>
        <v>0.018-0.00165325227146862i</v>
      </c>
      <c r="T480" s="227" t="str">
        <f t="shared" si="175"/>
        <v>0.0179499404694639-0.0016439917041984i</v>
      </c>
      <c r="U480" s="227" t="str">
        <f t="shared" si="176"/>
        <v>-0.368969056419541+0.0114499679195406i</v>
      </c>
      <c r="V480" s="227">
        <f t="shared" si="187"/>
        <v>-8.6560208220716799</v>
      </c>
      <c r="W480" s="227">
        <f t="shared" si="188"/>
        <v>-181.77745087076156</v>
      </c>
      <c r="X480" s="227" t="str">
        <f t="shared" si="177"/>
        <v>-0.36161431947942-0.315279814403725i</v>
      </c>
      <c r="Y480" s="227" t="str">
        <f t="shared" si="178"/>
        <v>0.0662865535925779-6.73301492168387i</v>
      </c>
      <c r="Z480" s="227" t="str">
        <f t="shared" si="179"/>
        <v>-0.393876627402795+0.44288327465465i</v>
      </c>
      <c r="AA480" s="227" t="str">
        <f t="shared" si="180"/>
        <v>-2.7797783552914+2.16652158843073i</v>
      </c>
      <c r="AB480" s="227">
        <f t="shared" si="189"/>
        <v>10.941559847863084</v>
      </c>
      <c r="AC480" s="227">
        <f t="shared" si="190"/>
        <v>-217.93236803146044</v>
      </c>
      <c r="AD480" s="229">
        <f t="shared" si="191"/>
        <v>-18.95814957122149</v>
      </c>
      <c r="AE480" s="229">
        <f t="shared" si="192"/>
        <v>95.01716759918277</v>
      </c>
      <c r="AF480" s="227">
        <f t="shared" si="181"/>
        <v>-8.0165897233584058</v>
      </c>
      <c r="AG480" s="227">
        <f t="shared" si="182"/>
        <v>-122.91520043227767</v>
      </c>
      <c r="AH480" s="229" t="str">
        <f t="shared" si="183"/>
        <v>0.00985991885179183-0.112311788470629i</v>
      </c>
    </row>
    <row r="481" spans="9:34" x14ac:dyDescent="0.2">
      <c r="I481" s="227">
        <v>477</v>
      </c>
      <c r="J481" s="227">
        <f t="shared" si="171"/>
        <v>5.6508084452756817</v>
      </c>
      <c r="K481" s="227">
        <f t="shared" si="193"/>
        <v>447515.87434147176</v>
      </c>
      <c r="L481" s="227">
        <f t="shared" si="184"/>
        <v>2811825.1663919613</v>
      </c>
      <c r="M481" s="227">
        <f t="shared" si="172"/>
        <v>451092.60624858475</v>
      </c>
      <c r="N481" s="227">
        <f>SQRT((ABS(AC481)-171.5+'Small Signal'!C$59)^2)</f>
        <v>120.26276366006937</v>
      </c>
      <c r="O481" s="227">
        <f t="shared" si="185"/>
        <v>126.85639834199843</v>
      </c>
      <c r="P481" s="227">
        <f t="shared" si="186"/>
        <v>8.6645136984559574</v>
      </c>
      <c r="Q481" s="227">
        <f t="shared" si="194"/>
        <v>447515.87434147176</v>
      </c>
      <c r="R481" s="227" t="str">
        <f t="shared" si="173"/>
        <v>0.0355+3.65537271630955i</v>
      </c>
      <c r="S481" s="227" t="str">
        <f t="shared" si="174"/>
        <v>0.018-0.00161654949240216i</v>
      </c>
      <c r="T481" s="227" t="str">
        <f t="shared" si="175"/>
        <v>0.0179499218751085-0.00160749451765004i</v>
      </c>
      <c r="U481" s="227" t="str">
        <f t="shared" si="176"/>
        <v>-0.368889157658302+0.0111965750262335i</v>
      </c>
      <c r="V481" s="227">
        <f t="shared" si="187"/>
        <v>-8.6580830799386952</v>
      </c>
      <c r="W481" s="227">
        <f t="shared" si="188"/>
        <v>-181.73851573022782</v>
      </c>
      <c r="X481" s="227" t="str">
        <f t="shared" si="177"/>
        <v>-0.42414547760079-0.322438052012016i</v>
      </c>
      <c r="Y481" s="227" t="str">
        <f t="shared" si="178"/>
        <v>0.0633762493394519-6.58356389067453i</v>
      </c>
      <c r="Z481" s="227" t="str">
        <f t="shared" si="179"/>
        <v>-0.394412082866284+0.508585491408128i</v>
      </c>
      <c r="AA481" s="227" t="str">
        <f t="shared" si="180"/>
        <v>-2.4948369793237+2.22772584260187i</v>
      </c>
      <c r="AB481" s="227">
        <f t="shared" si="189"/>
        <v>10.487126280722967</v>
      </c>
      <c r="AC481" s="227">
        <f t="shared" si="190"/>
        <v>-221.76276366006937</v>
      </c>
      <c r="AD481" s="229">
        <f t="shared" si="191"/>
        <v>-19.151639979178924</v>
      </c>
      <c r="AE481" s="229">
        <f t="shared" si="192"/>
        <v>94.906365318070939</v>
      </c>
      <c r="AF481" s="227">
        <f t="shared" si="181"/>
        <v>-8.6645136984559574</v>
      </c>
      <c r="AG481" s="227">
        <f t="shared" si="182"/>
        <v>-126.85639834199843</v>
      </c>
      <c r="AH481" s="229" t="str">
        <f t="shared" si="183"/>
        <v>0.00943027481735552-0.109855988634982i</v>
      </c>
    </row>
    <row r="482" spans="9:34" x14ac:dyDescent="0.2">
      <c r="I482" s="227">
        <v>478</v>
      </c>
      <c r="J482" s="227">
        <f t="shared" si="171"/>
        <v>5.6605585678024655</v>
      </c>
      <c r="K482" s="227">
        <f t="shared" si="193"/>
        <v>457676.4517576854</v>
      </c>
      <c r="L482" s="227">
        <f t="shared" si="184"/>
        <v>2875665.9571259758</v>
      </c>
      <c r="M482" s="227">
        <f t="shared" si="172"/>
        <v>461483.87343325058</v>
      </c>
      <c r="N482" s="227">
        <f>SQRT((ABS(AC482)-171.5+'Small Signal'!C$59)^2)</f>
        <v>123.71778433665398</v>
      </c>
      <c r="O482" s="227">
        <f t="shared" si="185"/>
        <v>130.41979904440964</v>
      </c>
      <c r="P482" s="227">
        <f t="shared" si="186"/>
        <v>9.3259458805370912</v>
      </c>
      <c r="Q482" s="227">
        <f t="shared" si="194"/>
        <v>457676.4517576854</v>
      </c>
      <c r="R482" s="227" t="str">
        <f t="shared" si="173"/>
        <v>0.0355+3.73836574426377i</v>
      </c>
      <c r="S482" s="227" t="str">
        <f t="shared" si="174"/>
        <v>0.018-0.00158066152787697i</v>
      </c>
      <c r="T482" s="227" t="str">
        <f t="shared" si="175"/>
        <v>0.0179499040971911-0.00157180758111204i</v>
      </c>
      <c r="U482" s="227" t="str">
        <f t="shared" si="176"/>
        <v>-0.368812766501689+0.0109487554154827i</v>
      </c>
      <c r="V482" s="227">
        <f t="shared" si="187"/>
        <v>-8.6600553864520542</v>
      </c>
      <c r="W482" s="227">
        <f t="shared" si="188"/>
        <v>-181.70041101669557</v>
      </c>
      <c r="X482" s="227" t="str">
        <f t="shared" si="177"/>
        <v>-0.48954833417602-0.329758813078251i</v>
      </c>
      <c r="Y482" s="227" t="str">
        <f t="shared" si="178"/>
        <v>0.0605937134886163-6.4374291450633i</v>
      </c>
      <c r="Z482" s="227" t="str">
        <f t="shared" si="179"/>
        <v>-0.394924030722262+0.574544450355889i</v>
      </c>
      <c r="AA482" s="227" t="str">
        <f t="shared" si="180"/>
        <v>-2.2324947952912+2.24953129936158i</v>
      </c>
      <c r="AB482" s="227">
        <f t="shared" si="189"/>
        <v>10.019250404372055</v>
      </c>
      <c r="AC482" s="227">
        <f t="shared" si="190"/>
        <v>-225.21778433665398</v>
      </c>
      <c r="AD482" s="229">
        <f t="shared" si="191"/>
        <v>-19.345196284909147</v>
      </c>
      <c r="AE482" s="229">
        <f t="shared" si="192"/>
        <v>94.797985292244334</v>
      </c>
      <c r="AF482" s="227">
        <f t="shared" si="181"/>
        <v>-9.3259458805370912</v>
      </c>
      <c r="AG482" s="227">
        <f t="shared" si="182"/>
        <v>-130.41979904440964</v>
      </c>
      <c r="AH482" s="229" t="str">
        <f t="shared" si="183"/>
        <v>0.00901921553839592-0.107452285861333i</v>
      </c>
    </row>
    <row r="483" spans="9:34" x14ac:dyDescent="0.2">
      <c r="I483" s="227">
        <v>479</v>
      </c>
      <c r="J483" s="227">
        <f t="shared" si="171"/>
        <v>5.6703086903292483</v>
      </c>
      <c r="K483" s="227">
        <f t="shared" si="193"/>
        <v>468067.71894235123</v>
      </c>
      <c r="L483" s="227">
        <f t="shared" si="184"/>
        <v>2940956.2144236453</v>
      </c>
      <c r="M483" s="227">
        <f t="shared" si="172"/>
        <v>472111.06805811665</v>
      </c>
      <c r="N483" s="227">
        <f>SQRT((ABS(AC483)-171.5+'Small Signal'!C$59)^2)</f>
        <v>126.82840912153844</v>
      </c>
      <c r="O483" s="227">
        <f t="shared" si="185"/>
        <v>133.63643294955082</v>
      </c>
      <c r="P483" s="227">
        <f t="shared" si="186"/>
        <v>9.9934035664579426</v>
      </c>
      <c r="Q483" s="227">
        <f t="shared" si="194"/>
        <v>468067.71894235123</v>
      </c>
      <c r="R483" s="227" t="str">
        <f t="shared" si="173"/>
        <v>0.0355+3.82324307875074i</v>
      </c>
      <c r="S483" s="227" t="str">
        <f t="shared" si="174"/>
        <v>0.018-0.00154557028872507i</v>
      </c>
      <c r="T483" s="227" t="str">
        <f t="shared" si="175"/>
        <v>0.0179498870998637-0.00153691290677048i</v>
      </c>
      <c r="U483" s="227" t="str">
        <f t="shared" si="176"/>
        <v>-0.368739728987967+0.0107063887532798i</v>
      </c>
      <c r="V483" s="227">
        <f t="shared" si="187"/>
        <v>-8.6619416401877558</v>
      </c>
      <c r="W483" s="227">
        <f t="shared" si="188"/>
        <v>-181.66312048002038</v>
      </c>
      <c r="X483" s="227" t="str">
        <f t="shared" si="177"/>
        <v>-0.55795476989082-0.337245787599301i</v>
      </c>
      <c r="Y483" s="227" t="str">
        <f t="shared" si="178"/>
        <v>0.0579333374463612-6.2945371650374i</v>
      </c>
      <c r="Z483" s="227" t="str">
        <f t="shared" si="179"/>
        <v>-0.395413502873931+0.640793372290125i</v>
      </c>
      <c r="AA483" s="227" t="str">
        <f t="shared" si="180"/>
        <v>-1.9952662266129+2.2416745535824i</v>
      </c>
      <c r="AB483" s="227">
        <f t="shared" si="189"/>
        <v>9.5454120705465897</v>
      </c>
      <c r="AC483" s="227">
        <f t="shared" si="190"/>
        <v>-228.32840912153844</v>
      </c>
      <c r="AD483" s="229">
        <f t="shared" si="191"/>
        <v>-19.538815637004532</v>
      </c>
      <c r="AE483" s="229">
        <f t="shared" si="192"/>
        <v>94.691976171987619</v>
      </c>
      <c r="AF483" s="227">
        <f t="shared" si="181"/>
        <v>-9.9934035664579426</v>
      </c>
      <c r="AG483" s="227">
        <f t="shared" si="182"/>
        <v>-133.63643294955082</v>
      </c>
      <c r="AH483" s="229" t="str">
        <f t="shared" si="183"/>
        <v>0.00862594878985328-0.105099678845932i</v>
      </c>
    </row>
    <row r="484" spans="9:34" x14ac:dyDescent="0.2">
      <c r="I484" s="227">
        <v>480</v>
      </c>
      <c r="J484" s="227">
        <f t="shared" si="171"/>
        <v>5.6800588128560321</v>
      </c>
      <c r="K484" s="227">
        <f t="shared" si="193"/>
        <v>478694.9135672173</v>
      </c>
      <c r="L484" s="227">
        <f t="shared" si="184"/>
        <v>3007728.8475471418</v>
      </c>
      <c r="M484" s="227">
        <f t="shared" si="172"/>
        <v>482979.54671310209</v>
      </c>
      <c r="N484" s="227">
        <f>SQRT((ABS(AC484)-171.5+'Small Signal'!C$59)^2)</f>
        <v>129.62797717506234</v>
      </c>
      <c r="O484" s="227">
        <f t="shared" si="185"/>
        <v>136.53968958298896</v>
      </c>
      <c r="P484" s="227">
        <f t="shared" si="186"/>
        <v>10.661275084180165</v>
      </c>
      <c r="Q484" s="227">
        <f t="shared" si="194"/>
        <v>478694.9135672173</v>
      </c>
      <c r="R484" s="227" t="str">
        <f t="shared" si="173"/>
        <v>0.0355+3.91004750181128i</v>
      </c>
      <c r="S484" s="227" t="str">
        <f t="shared" si="174"/>
        <v>0.018-0.00151125808736431i</v>
      </c>
      <c r="T484" s="227" t="str">
        <f t="shared" si="175"/>
        <v>0.0179498708488521-0.00150279290614586i</v>
      </c>
      <c r="U484" s="227" t="str">
        <f t="shared" si="176"/>
        <v>-0.368669897911254+0.0104693571560082i</v>
      </c>
      <c r="V484" s="227">
        <f t="shared" si="187"/>
        <v>-8.6637455728784989</v>
      </c>
      <c r="W484" s="227">
        <f t="shared" si="188"/>
        <v>-181.62662809113658</v>
      </c>
      <c r="X484" s="227" t="str">
        <f t="shared" si="177"/>
        <v>-0.62950272195645-0.344902749351187i</v>
      </c>
      <c r="Y484" s="227" t="str">
        <f t="shared" si="178"/>
        <v>0.0553897587564498-6.15481605624986i</v>
      </c>
      <c r="Z484" s="227" t="str">
        <f t="shared" si="179"/>
        <v>-0.395881485938615+0.707365625819758i</v>
      </c>
      <c r="AA484" s="227" t="str">
        <f t="shared" si="180"/>
        <v>-1.78333183422229+2.21231694141512i</v>
      </c>
      <c r="AB484" s="227">
        <f t="shared" si="189"/>
        <v>9.0712202215047881</v>
      </c>
      <c r="AC484" s="227">
        <f t="shared" si="190"/>
        <v>-231.12797717506234</v>
      </c>
      <c r="AD484" s="229">
        <f t="shared" si="191"/>
        <v>-19.732495305684953</v>
      </c>
      <c r="AE484" s="229">
        <f t="shared" si="192"/>
        <v>94.588287592073399</v>
      </c>
      <c r="AF484" s="227">
        <f t="shared" si="181"/>
        <v>-10.661275084180165</v>
      </c>
      <c r="AG484" s="227">
        <f t="shared" si="182"/>
        <v>-136.53968958298896</v>
      </c>
      <c r="AH484" s="229" t="str">
        <f t="shared" si="183"/>
        <v>0.00824971512014078-0.102797178665591i</v>
      </c>
    </row>
    <row r="485" spans="9:34" x14ac:dyDescent="0.2">
      <c r="I485" s="227">
        <v>481</v>
      </c>
      <c r="J485" s="227">
        <f t="shared" si="171"/>
        <v>5.6898089353828158</v>
      </c>
      <c r="K485" s="227">
        <f t="shared" si="193"/>
        <v>489563.39222220273</v>
      </c>
      <c r="L485" s="227">
        <f t="shared" si="184"/>
        <v>3076017.5129435412</v>
      </c>
      <c r="M485" s="227">
        <f t="shared" si="172"/>
        <v>494094.78760625958</v>
      </c>
      <c r="N485" s="227">
        <f>SQRT((ABS(AC485)-171.5+'Small Signal'!C$59)^2)</f>
        <v>132.14951720036515</v>
      </c>
      <c r="O485" s="227">
        <f t="shared" si="185"/>
        <v>139.16264704059012</v>
      </c>
      <c r="P485" s="227">
        <f t="shared" si="186"/>
        <v>11.325493706451487</v>
      </c>
      <c r="Q485" s="227">
        <f t="shared" si="194"/>
        <v>489563.39222220273</v>
      </c>
      <c r="R485" s="227" t="str">
        <f t="shared" si="173"/>
        <v>0.0355+3.9988227668266i</v>
      </c>
      <c r="S485" s="227" t="str">
        <f t="shared" si="174"/>
        <v>0.018-0.00147770762888305i</v>
      </c>
      <c r="T485" s="227" t="str">
        <f t="shared" si="175"/>
        <v>0.0179498553113874-0.00146943038122788i</v>
      </c>
      <c r="U485" s="227" t="str">
        <f t="shared" si="176"/>
        <v>-0.368603132525282+0.0102375451504373i</v>
      </c>
      <c r="V485" s="227">
        <f t="shared" si="187"/>
        <v>-8.6654707563720752</v>
      </c>
      <c r="W485" s="227">
        <f t="shared" si="188"/>
        <v>-181.59091804596625</v>
      </c>
      <c r="X485" s="227" t="str">
        <f t="shared" si="177"/>
        <v>-0.70433646225146-0.352733557791232i</v>
      </c>
      <c r="Y485" s="227" t="str">
        <f t="shared" si="178"/>
        <v>0.0529578503034087-6.01819551417013i</v>
      </c>
      <c r="Z485" s="227" t="str">
        <f t="shared" si="179"/>
        <v>-0.396328923234233+0.774294744081718i</v>
      </c>
      <c r="AA485" s="227" t="str">
        <f t="shared" si="180"/>
        <v>-1.59547043744714+2.16796366407541i</v>
      </c>
      <c r="AB485" s="227">
        <f t="shared" si="189"/>
        <v>8.6007389713082052</v>
      </c>
      <c r="AC485" s="227">
        <f t="shared" si="190"/>
        <v>-233.64951720036515</v>
      </c>
      <c r="AD485" s="229">
        <f t="shared" si="191"/>
        <v>-19.926232677759693</v>
      </c>
      <c r="AE485" s="229">
        <f t="shared" si="192"/>
        <v>94.486870159775037</v>
      </c>
      <c r="AF485" s="227">
        <f t="shared" si="181"/>
        <v>-11.325493706451487</v>
      </c>
      <c r="AG485" s="227">
        <f t="shared" si="182"/>
        <v>-139.16264704059012</v>
      </c>
      <c r="AH485" s="229" t="str">
        <f t="shared" si="183"/>
        <v>0.00788978658090625-0.100543809116671i</v>
      </c>
    </row>
    <row r="486" spans="9:34" x14ac:dyDescent="0.2">
      <c r="I486" s="227">
        <v>482</v>
      </c>
      <c r="J486" s="227">
        <f t="shared" si="171"/>
        <v>5.6995590579095987</v>
      </c>
      <c r="K486" s="227">
        <f t="shared" si="193"/>
        <v>500678.63311536022</v>
      </c>
      <c r="L486" s="227">
        <f t="shared" si="184"/>
        <v>3145856.63120919</v>
      </c>
      <c r="M486" s="227">
        <f t="shared" si="172"/>
        <v>505462.39332504786</v>
      </c>
      <c r="N486" s="227">
        <f>SQRT((ABS(AC486)-171.5+'Small Signal'!C$59)^2)</f>
        <v>134.4241875983306</v>
      </c>
      <c r="O486" s="227">
        <f t="shared" si="185"/>
        <v>141.53651215580089</v>
      </c>
      <c r="P486" s="227">
        <f t="shared" si="186"/>
        <v>11.983214224002667</v>
      </c>
      <c r="Q486" s="227">
        <f t="shared" si="194"/>
        <v>500678.63311536022</v>
      </c>
      <c r="R486" s="227" t="str">
        <f t="shared" si="173"/>
        <v>0.0355+4.08961362057195i</v>
      </c>
      <c r="S486" s="227" t="str">
        <f t="shared" si="174"/>
        <v>0.018-0.00144490200232278i</v>
      </c>
      <c r="T486" s="227" t="str">
        <f t="shared" si="175"/>
        <v>0.0179498404561392-0.001436808515807i</v>
      </c>
      <c r="U486" s="227" t="str">
        <f t="shared" si="176"/>
        <v>-0.368539298260072+0.0100108396336694i</v>
      </c>
      <c r="V486" s="227">
        <f t="shared" si="187"/>
        <v>-8.6671206093164876</v>
      </c>
      <c r="W486" s="227">
        <f t="shared" si="188"/>
        <v>-181.55597476869679</v>
      </c>
      <c r="X486" s="227" t="str">
        <f t="shared" si="177"/>
        <v>-0.78260688823655-0.360742160003406i</v>
      </c>
      <c r="Y486" s="227" t="str">
        <f t="shared" si="178"/>
        <v>0.0506327099888783-5.88460678919689i</v>
      </c>
      <c r="Z486" s="227" t="str">
        <f t="shared" si="179"/>
        <v>-0.396756716678652+0.841614441541724i</v>
      </c>
      <c r="AA486" s="227" t="str">
        <f t="shared" si="180"/>
        <v>-1.42972640884258+2.11361852369977i</v>
      </c>
      <c r="AB486" s="227">
        <f t="shared" si="189"/>
        <v>8.1368110277821142</v>
      </c>
      <c r="AC486" s="227">
        <f t="shared" si="190"/>
        <v>-235.9241875983306</v>
      </c>
      <c r="AD486" s="229">
        <f t="shared" si="191"/>
        <v>-20.120025251784782</v>
      </c>
      <c r="AE486" s="229">
        <f t="shared" si="192"/>
        <v>94.387675442529726</v>
      </c>
      <c r="AF486" s="227">
        <f t="shared" si="181"/>
        <v>-11.983214224002667</v>
      </c>
      <c r="AG486" s="227">
        <f t="shared" si="182"/>
        <v>-141.53651215580089</v>
      </c>
      <c r="AH486" s="229" t="str">
        <f t="shared" si="183"/>
        <v>0.00754546549856566-0.098338607009438i</v>
      </c>
    </row>
    <row r="487" spans="9:34" x14ac:dyDescent="0.2">
      <c r="I487" s="227">
        <v>483</v>
      </c>
      <c r="J487" s="227">
        <f t="shared" si="171"/>
        <v>5.7093091804363825</v>
      </c>
      <c r="K487" s="227">
        <f t="shared" si="193"/>
        <v>512046.23883414851</v>
      </c>
      <c r="L487" s="227">
        <f t="shared" si="184"/>
        <v>3217281.404439291</v>
      </c>
      <c r="M487" s="227">
        <f t="shared" si="172"/>
        <v>517088.09366028273</v>
      </c>
      <c r="N487" s="227">
        <f>SQRT((ABS(AC487)-171.5+'Small Signal'!C$59)^2)</f>
        <v>136.48049053951985</v>
      </c>
      <c r="O487" s="227">
        <f t="shared" si="185"/>
        <v>143.68983458422247</v>
      </c>
      <c r="P487" s="227">
        <f t="shared" si="186"/>
        <v>12.632527778827971</v>
      </c>
      <c r="Q487" s="227">
        <f t="shared" si="194"/>
        <v>512046.23883414851</v>
      </c>
      <c r="R487" s="227" t="str">
        <f t="shared" si="173"/>
        <v>0.0355+4.18246582577108i</v>
      </c>
      <c r="S487" s="227" t="str">
        <f t="shared" si="174"/>
        <v>0.018-0.00141282467215414i</v>
      </c>
      <c r="T487" s="227" t="str">
        <f t="shared" si="175"/>
        <v>0.0179498262531529-0.00140491086699831i</v>
      </c>
      <c r="U487" s="227" t="str">
        <f t="shared" si="176"/>
        <v>-0.368478266451081+0.00978912983309453i</v>
      </c>
      <c r="V487" s="227">
        <f t="shared" si="187"/>
        <v>-8.668698403578345</v>
      </c>
      <c r="W487" s="227">
        <f t="shared" si="188"/>
        <v>-181.52178291447251</v>
      </c>
      <c r="X487" s="227" t="str">
        <f t="shared" si="177"/>
        <v>-0.86447182722984-0.368932592687834i</v>
      </c>
      <c r="Y487" s="227" t="str">
        <f t="shared" si="178"/>
        <v>0.0484096508605407-5.75398265251988i</v>
      </c>
      <c r="Z487" s="227" t="str">
        <f t="shared" si="179"/>
        <v>-0.397165728605883+0.909358630893563i</v>
      </c>
      <c r="AA487" s="227" t="str">
        <f t="shared" si="180"/>
        <v>-1.28384743271832+2.05302948242935i</v>
      </c>
      <c r="AB487" s="227">
        <f t="shared" si="189"/>
        <v>7.681342854581934</v>
      </c>
      <c r="AC487" s="227">
        <f t="shared" si="190"/>
        <v>-237.98049053951985</v>
      </c>
      <c r="AD487" s="229">
        <f t="shared" si="191"/>
        <v>-20.313870633409906</v>
      </c>
      <c r="AE487" s="229">
        <f t="shared" si="192"/>
        <v>94.290655955297368</v>
      </c>
      <c r="AF487" s="227">
        <f t="shared" si="181"/>
        <v>-12.632527778827971</v>
      </c>
      <c r="AG487" s="227">
        <f t="shared" si="182"/>
        <v>-143.68983458422247</v>
      </c>
      <c r="AH487" s="229" t="str">
        <f t="shared" si="183"/>
        <v>0.00721608328691654-0.0961806224208924i</v>
      </c>
    </row>
    <row r="488" spans="9:34" x14ac:dyDescent="0.2">
      <c r="I488" s="227">
        <v>484</v>
      </c>
      <c r="J488" s="227">
        <f t="shared" si="171"/>
        <v>5.7190593029631653</v>
      </c>
      <c r="K488" s="227">
        <f t="shared" si="193"/>
        <v>523671.93916938337</v>
      </c>
      <c r="L488" s="227">
        <f t="shared" si="184"/>
        <v>3290327.8339713118</v>
      </c>
      <c r="M488" s="227">
        <f t="shared" si="172"/>
        <v>528977.74849422346</v>
      </c>
      <c r="N488" s="227">
        <f>SQRT((ABS(AC488)-171.5+'Small Signal'!C$59)^2)</f>
        <v>138.34398430381384</v>
      </c>
      <c r="O488" s="227">
        <f t="shared" si="185"/>
        <v>145.64821915615744</v>
      </c>
      <c r="P488" s="227">
        <f t="shared" si="186"/>
        <v>13.272226748132756</v>
      </c>
      <c r="Q488" s="227">
        <f t="shared" si="194"/>
        <v>523671.93916938337</v>
      </c>
      <c r="R488" s="227" t="str">
        <f t="shared" si="173"/>
        <v>0.0355+4.27742618416271i</v>
      </c>
      <c r="S488" s="227" t="str">
        <f t="shared" si="174"/>
        <v>0.018-0.00138145946994234i</v>
      </c>
      <c r="T488" s="227" t="str">
        <f t="shared" si="175"/>
        <v>0.017949812673789-0.00137372135695374i</v>
      </c>
      <c r="U488" s="227" t="str">
        <f t="shared" si="176"/>
        <v>-0.368419914080165+0.00957230726642124i</v>
      </c>
      <c r="V488" s="227">
        <f t="shared" si="187"/>
        <v>-8.670207270406495</v>
      </c>
      <c r="W488" s="227">
        <f t="shared" si="188"/>
        <v>-181.48832737154547</v>
      </c>
      <c r="X488" s="227" t="str">
        <f t="shared" si="177"/>
        <v>-0.95009635465545-0.377308984195475i</v>
      </c>
      <c r="Y488" s="227" t="str">
        <f t="shared" si="178"/>
        <v>0.0462841916736084-5.62625736271383i</v>
      </c>
      <c r="Z488" s="227" t="str">
        <f t="shared" si="179"/>
        <v>-0.397556783502595+0.977561440063988i</v>
      </c>
      <c r="AA488" s="227" t="str">
        <f t="shared" si="180"/>
        <v>-1.15555031254882+1.98894470690018i</v>
      </c>
      <c r="AB488" s="227">
        <f t="shared" si="189"/>
        <v>7.2355397827755672</v>
      </c>
      <c r="AC488" s="227">
        <f t="shared" si="190"/>
        <v>-239.84398430381384</v>
      </c>
      <c r="AD488" s="229">
        <f t="shared" si="191"/>
        <v>-20.507766530908324</v>
      </c>
      <c r="AE488" s="229">
        <f t="shared" si="192"/>
        <v>94.195765147656417</v>
      </c>
      <c r="AF488" s="227">
        <f t="shared" si="181"/>
        <v>-13.272226748132756</v>
      </c>
      <c r="AG488" s="227">
        <f t="shared" si="182"/>
        <v>-145.64821915615744</v>
      </c>
      <c r="AH488" s="229" t="str">
        <f t="shared" si="183"/>
        <v>0.0069009993000772-0.0940689189090088i</v>
      </c>
    </row>
    <row r="489" spans="9:34" x14ac:dyDescent="0.2">
      <c r="I489" s="227">
        <v>485</v>
      </c>
      <c r="J489" s="227">
        <f t="shared" si="171"/>
        <v>5.7288094254899491</v>
      </c>
      <c r="K489" s="227">
        <f t="shared" si="193"/>
        <v>535561.59400332405</v>
      </c>
      <c r="L489" s="227">
        <f t="shared" si="184"/>
        <v>3365032.7385313646</v>
      </c>
      <c r="M489" s="227">
        <f t="shared" si="172"/>
        <v>541137.35075420712</v>
      </c>
      <c r="N489" s="227">
        <f>SQRT((ABS(AC489)-171.5+'Small Signal'!C$59)^2)</f>
        <v>140.03729350677946</v>
      </c>
      <c r="O489" s="227">
        <f t="shared" si="185"/>
        <v>147.43433611610311</v>
      </c>
      <c r="P489" s="227">
        <f t="shared" si="186"/>
        <v>13.901618883123595</v>
      </c>
      <c r="Q489" s="227">
        <f t="shared" si="194"/>
        <v>535561.59400332405</v>
      </c>
      <c r="R489" s="227" t="str">
        <f t="shared" si="173"/>
        <v>0.0355+4.37454256009077i</v>
      </c>
      <c r="S489" s="227" t="str">
        <f t="shared" si="174"/>
        <v>0.018-0.0013507905861975i</v>
      </c>
      <c r="T489" s="227" t="str">
        <f t="shared" si="175"/>
        <v>0.0179497996906656-0.00134322426475814i</v>
      </c>
      <c r="U489" s="227" t="str">
        <f t="shared" si="176"/>
        <v>-0.368364123527925+0.00936026570182516i</v>
      </c>
      <c r="V489" s="227">
        <f t="shared" si="187"/>
        <v>-8.6716502063479712</v>
      </c>
      <c r="W489" s="227">
        <f t="shared" si="188"/>
        <v>-181.45559326292476</v>
      </c>
      <c r="X489" s="227" t="str">
        <f t="shared" si="177"/>
        <v>-1.0396531269076-0.385875556609007i</v>
      </c>
      <c r="Y489" s="227" t="str">
        <f t="shared" si="178"/>
        <v>0.0442520478660773-5.50136663305162i</v>
      </c>
      <c r="Z489" s="227" t="str">
        <f t="shared" si="179"/>
        <v>-0.397930669668576+1.04625722933216i</v>
      </c>
      <c r="AA489" s="227" t="str">
        <f t="shared" si="180"/>
        <v>-1.04266899378599+1.92334176367952i</v>
      </c>
      <c r="AB489" s="227">
        <f t="shared" si="189"/>
        <v>6.8000918677597983</v>
      </c>
      <c r="AC489" s="227">
        <f t="shared" si="190"/>
        <v>-241.53729350677946</v>
      </c>
      <c r="AD489" s="229">
        <f t="shared" si="191"/>
        <v>-20.701710750883393</v>
      </c>
      <c r="AE489" s="229">
        <f t="shared" si="192"/>
        <v>94.102957390676337</v>
      </c>
      <c r="AF489" s="227">
        <f t="shared" si="181"/>
        <v>-13.901618883123595</v>
      </c>
      <c r="AG489" s="227">
        <f t="shared" si="182"/>
        <v>-147.43433611610311</v>
      </c>
      <c r="AH489" s="229" t="str">
        <f t="shared" si="183"/>
        <v>0.00659959972494958-0.092002573691155i</v>
      </c>
    </row>
    <row r="490" spans="9:34" x14ac:dyDescent="0.2">
      <c r="I490" s="227">
        <v>486</v>
      </c>
      <c r="J490" s="227">
        <f t="shared" si="171"/>
        <v>5.738559548016732</v>
      </c>
      <c r="K490" s="227">
        <f t="shared" si="193"/>
        <v>547721.19626330771</v>
      </c>
      <c r="L490" s="227">
        <f t="shared" si="184"/>
        <v>3441433.7727924413</v>
      </c>
      <c r="M490" s="227">
        <f t="shared" si="172"/>
        <v>553573.02943336754</v>
      </c>
      <c r="N490" s="227">
        <f>SQRT((ABS(AC490)-171.5+'Small Signal'!C$59)^2)</f>
        <v>141.58028235450087</v>
      </c>
      <c r="O490" s="227">
        <f t="shared" si="185"/>
        <v>149.06809439089835</v>
      </c>
      <c r="P490" s="227">
        <f t="shared" si="186"/>
        <v>14.52038441941642</v>
      </c>
      <c r="Q490" s="227">
        <f t="shared" si="194"/>
        <v>547721.19626330771</v>
      </c>
      <c r="R490" s="227" t="str">
        <f t="shared" si="173"/>
        <v>0.0355+4.47386390463017i</v>
      </c>
      <c r="S490" s="227" t="str">
        <f t="shared" si="174"/>
        <v>0.018-0.00132080256240592i</v>
      </c>
      <c r="T490" s="227" t="str">
        <f t="shared" si="175"/>
        <v>0.0179497872776032-0.0013134042185053i</v>
      </c>
      <c r="U490" s="227" t="str">
        <f t="shared" si="176"/>
        <v>-0.368310782336894+0.00915290111826827i</v>
      </c>
      <c r="V490" s="227">
        <f t="shared" si="187"/>
        <v>-8.6730300789261801</v>
      </c>
      <c r="W490" s="227">
        <f t="shared" si="188"/>
        <v>-181.42356594756438</v>
      </c>
      <c r="X490" s="227" t="str">
        <f t="shared" si="177"/>
        <v>-1.13332272950121-0.394636627870936i</v>
      </c>
      <c r="Y490" s="227" t="str">
        <f t="shared" si="178"/>
        <v>0.0423091229295999-5.37924759952077i</v>
      </c>
      <c r="Z490" s="227" t="str">
        <f t="shared" si="179"/>
        <v>-0.398288140804347+1.11548060857147i</v>
      </c>
      <c r="AA490" s="227" t="str">
        <f t="shared" si="180"/>
        <v>-0.943227001088939+1.85761730176864i</v>
      </c>
      <c r="AB490" s="227">
        <f t="shared" si="189"/>
        <v>6.3753167747295079</v>
      </c>
      <c r="AC490" s="227">
        <f t="shared" si="190"/>
        <v>-243.08028235450087</v>
      </c>
      <c r="AD490" s="229">
        <f t="shared" si="191"/>
        <v>-20.895701194145929</v>
      </c>
      <c r="AE490" s="229">
        <f t="shared" si="192"/>
        <v>94.0121879636025</v>
      </c>
      <c r="AF490" s="227">
        <f t="shared" si="181"/>
        <v>-14.52038441941642</v>
      </c>
      <c r="AG490" s="227">
        <f t="shared" si="182"/>
        <v>-149.06809439089835</v>
      </c>
      <c r="AH490" s="229" t="str">
        <f t="shared" si="183"/>
        <v>0.00631129651236005-0.0899806777892895i</v>
      </c>
    </row>
    <row r="491" spans="9:34" x14ac:dyDescent="0.2">
      <c r="I491" s="227">
        <v>487</v>
      </c>
      <c r="J491" s="227">
        <f t="shared" si="171"/>
        <v>5.7483096705435157</v>
      </c>
      <c r="K491" s="227">
        <f t="shared" si="193"/>
        <v>560156.87494246813</v>
      </c>
      <c r="L491" s="227">
        <f t="shared" si="184"/>
        <v>3519569.4463541489</v>
      </c>
      <c r="M491" s="227">
        <f t="shared" si="172"/>
        <v>566291.05267992162</v>
      </c>
      <c r="N491" s="227">
        <f>SQRT((ABS(AC491)-171.5+'Small Signal'!C$59)^2)</f>
        <v>142.99030534985687</v>
      </c>
      <c r="O491" s="227">
        <f t="shared" si="185"/>
        <v>150.56689230946989</v>
      </c>
      <c r="P491" s="227">
        <f t="shared" si="186"/>
        <v>15.128468308560322</v>
      </c>
      <c r="Q491" s="227">
        <f t="shared" si="194"/>
        <v>560156.87494246813</v>
      </c>
      <c r="R491" s="227" t="str">
        <f t="shared" si="173"/>
        <v>0.0355+4.57544028026039i</v>
      </c>
      <c r="S491" s="227" t="str">
        <f t="shared" si="174"/>
        <v>0.018-0.00129148028323836i</v>
      </c>
      <c r="T491" s="227" t="str">
        <f t="shared" si="175"/>
        <v>0.0179497754095715-0.00128424618754994i</v>
      </c>
      <c r="U491" s="227" t="str">
        <f t="shared" si="176"/>
        <v>-0.368259782985084+0.00895011166602985i</v>
      </c>
      <c r="V491" s="227">
        <f t="shared" si="187"/>
        <v>-8.6743496320901219</v>
      </c>
      <c r="W491" s="227">
        <f t="shared" si="188"/>
        <v>-181.39223102112422</v>
      </c>
      <c r="X491" s="227" t="str">
        <f t="shared" si="177"/>
        <v>-1.23129404121111-0.403596613960046i</v>
      </c>
      <c r="Y491" s="227" t="str">
        <f t="shared" si="178"/>
        <v>0.0404515001586549-5.25983878953i</v>
      </c>
      <c r="Z491" s="227" t="str">
        <f t="shared" si="179"/>
        <v>-0.398629917529212+1.18526645462225i</v>
      </c>
      <c r="AA491" s="227" t="str">
        <f t="shared" si="180"/>
        <v>-0.85546403657109+1.79273694229617i</v>
      </c>
      <c r="AB491" s="227">
        <f t="shared" si="189"/>
        <v>5.9612675431954365</v>
      </c>
      <c r="AC491" s="227">
        <f t="shared" si="190"/>
        <v>-244.49030534985687</v>
      </c>
      <c r="AD491" s="229">
        <f t="shared" si="191"/>
        <v>-21.089735851755758</v>
      </c>
      <c r="AE491" s="229">
        <f t="shared" si="192"/>
        <v>93.92341304038699</v>
      </c>
      <c r="AF491" s="227">
        <f t="shared" si="181"/>
        <v>-15.128468308560322</v>
      </c>
      <c r="AG491" s="227">
        <f t="shared" si="182"/>
        <v>-150.56689230946989</v>
      </c>
      <c r="AH491" s="229" t="str">
        <f t="shared" si="183"/>
        <v>0.00603552634599823-0.0880023361443963i</v>
      </c>
    </row>
    <row r="492" spans="9:34" x14ac:dyDescent="0.2">
      <c r="I492" s="227">
        <v>488</v>
      </c>
      <c r="J492" s="227">
        <f t="shared" si="171"/>
        <v>5.7580597930702986</v>
      </c>
      <c r="K492" s="227">
        <f t="shared" si="193"/>
        <v>572874.89818902221</v>
      </c>
      <c r="L492" s="227">
        <f t="shared" si="184"/>
        <v>3599479.1431532656</v>
      </c>
      <c r="M492" s="227">
        <f t="shared" si="172"/>
        <v>579297.8309566048</v>
      </c>
      <c r="N492" s="227">
        <f>SQRT((ABS(AC492)-171.5+'Small Signal'!C$59)^2)</f>
        <v>144.28248397156364</v>
      </c>
      <c r="O492" s="227">
        <f t="shared" si="185"/>
        <v>151.94589429546701</v>
      </c>
      <c r="P492" s="227">
        <f t="shared" si="186"/>
        <v>15.726000045976104</v>
      </c>
      <c r="Q492" s="227">
        <f t="shared" si="194"/>
        <v>572874.89818902221</v>
      </c>
      <c r="R492" s="227" t="str">
        <f t="shared" si="173"/>
        <v>0.0355+4.67932288609925i</v>
      </c>
      <c r="S492" s="227" t="str">
        <f t="shared" si="174"/>
        <v>0.018-0.00126280896893115i</v>
      </c>
      <c r="T492" s="227" t="str">
        <f t="shared" si="175"/>
        <v>0.0179497640626395-0.00125573547493158i</v>
      </c>
      <c r="U492" s="227" t="str">
        <f t="shared" si="176"/>
        <v>-0.368211022669504+0.00875179762748688i</v>
      </c>
      <c r="V492" s="227">
        <f t="shared" si="187"/>
        <v>-8.6756114914415328</v>
      </c>
      <c r="W492" s="227">
        <f t="shared" si="188"/>
        <v>-181.36157431633893</v>
      </c>
      <c r="X492" s="227" t="str">
        <f t="shared" si="177"/>
        <v>-1.33376461493393-0.412760031117252i</v>
      </c>
      <c r="Y492" s="227" t="str">
        <f t="shared" si="178"/>
        <v>0.0386754347614594-5.14308009129157i</v>
      </c>
      <c r="Z492" s="227" t="str">
        <f t="shared" si="179"/>
        <v>-0.398956688832742+1.25564992880367i</v>
      </c>
      <c r="AA492" s="227" t="str">
        <f t="shared" si="180"/>
        <v>-0.777836402601344+1.72935031927037i</v>
      </c>
      <c r="AB492" s="227">
        <f t="shared" si="189"/>
        <v>5.5578127552464913</v>
      </c>
      <c r="AC492" s="227">
        <f t="shared" si="190"/>
        <v>-245.78248397156364</v>
      </c>
      <c r="AD492" s="229">
        <f t="shared" si="191"/>
        <v>-21.283812801222595</v>
      </c>
      <c r="AE492" s="229">
        <f t="shared" si="192"/>
        <v>93.836589676096622</v>
      </c>
      <c r="AF492" s="227">
        <f t="shared" si="181"/>
        <v>-15.726000045976104</v>
      </c>
      <c r="AG492" s="227">
        <f t="shared" si="182"/>
        <v>-151.94589429546701</v>
      </c>
      <c r="AH492" s="229" t="str">
        <f t="shared" si="183"/>
        <v>0.00577174964824708-0.0860666677024507i</v>
      </c>
    </row>
    <row r="493" spans="9:34" x14ac:dyDescent="0.2">
      <c r="I493" s="227">
        <v>489</v>
      </c>
      <c r="J493" s="227">
        <f t="shared" si="171"/>
        <v>5.7678099155970832</v>
      </c>
      <c r="K493" s="227">
        <f t="shared" si="193"/>
        <v>585881.67646570539</v>
      </c>
      <c r="L493" s="227">
        <f t="shared" si="184"/>
        <v>3681203.1413150639</v>
      </c>
      <c r="M493" s="227">
        <f t="shared" si="172"/>
        <v>592599.92027182668</v>
      </c>
      <c r="N493" s="227">
        <f>SQRT((ABS(AC493)-171.5+'Small Signal'!C$59)^2)</f>
        <v>145.46998015600343</v>
      </c>
      <c r="O493" s="227">
        <f t="shared" si="185"/>
        <v>153.21830436277659</v>
      </c>
      <c r="P493" s="227">
        <f t="shared" si="186"/>
        <v>16.31323464531183</v>
      </c>
      <c r="Q493" s="227">
        <f t="shared" si="194"/>
        <v>585881.67646570539</v>
      </c>
      <c r="R493" s="227" t="str">
        <f t="shared" si="173"/>
        <v>0.0355+4.78556408370958i</v>
      </c>
      <c r="S493" s="227" t="str">
        <f t="shared" si="174"/>
        <v>0.018-0.00123477416783653i</v>
      </c>
      <c r="T493" s="227" t="str">
        <f t="shared" si="175"/>
        <v>0.0179497532139268-0.00122785770996669i</v>
      </c>
      <c r="U493" s="227" t="str">
        <f t="shared" si="176"/>
        <v>-0.368164403099114+0.0085578613781806i</v>
      </c>
      <c r="V493" s="227">
        <f t="shared" si="187"/>
        <v>-8.676818169250474</v>
      </c>
      <c r="W493" s="227">
        <f t="shared" si="188"/>
        <v>-181.33158190302558</v>
      </c>
      <c r="X493" s="227" t="str">
        <f t="shared" si="177"/>
        <v>-1.440941076041-0.422131498121986i</v>
      </c>
      <c r="Y493" s="227" t="str">
        <f t="shared" si="178"/>
        <v>0.0369773463167966-5.02891272386546i</v>
      </c>
      <c r="Z493" s="227" t="str">
        <f t="shared" si="179"/>
        <v>-0.399269113462607+1.32666649457351i</v>
      </c>
      <c r="AA493" s="227" t="str">
        <f t="shared" si="180"/>
        <v>-0.709003640764264+1.6678777015152i</v>
      </c>
      <c r="AB493" s="227">
        <f t="shared" si="189"/>
        <v>5.1646955575474802</v>
      </c>
      <c r="AC493" s="227">
        <f t="shared" si="190"/>
        <v>-246.96998015600343</v>
      </c>
      <c r="AD493" s="229">
        <f t="shared" si="191"/>
        <v>-21.477930202859312</v>
      </c>
      <c r="AE493" s="229">
        <f t="shared" si="192"/>
        <v>93.751675793226838</v>
      </c>
      <c r="AF493" s="227">
        <f t="shared" si="181"/>
        <v>-16.31323464531183</v>
      </c>
      <c r="AG493" s="227">
        <f t="shared" si="182"/>
        <v>-153.21830436277659</v>
      </c>
      <c r="AH493" s="229" t="str">
        <f t="shared" si="183"/>
        <v>0.00551944962197697-0.0841728054740947i</v>
      </c>
    </row>
    <row r="494" spans="9:34" x14ac:dyDescent="0.2">
      <c r="I494" s="227">
        <v>490</v>
      </c>
      <c r="J494" s="227">
        <f t="shared" si="171"/>
        <v>5.7775600381238661</v>
      </c>
      <c r="K494" s="227">
        <f t="shared" si="193"/>
        <v>599183.76578092726</v>
      </c>
      <c r="L494" s="227">
        <f t="shared" si="184"/>
        <v>3764782.6334552569</v>
      </c>
      <c r="M494" s="227">
        <f t="shared" si="172"/>
        <v>606204.02548421558</v>
      </c>
      <c r="N494" s="227">
        <f>SQRT((ABS(AC494)-171.5+'Small Signal'!C$59)^2)</f>
        <v>146.56425138984392</v>
      </c>
      <c r="O494" s="227">
        <f t="shared" si="185"/>
        <v>154.39562122189602</v>
      </c>
      <c r="P494" s="227">
        <f t="shared" si="186"/>
        <v>16.890509551636061</v>
      </c>
      <c r="Q494" s="227">
        <f t="shared" si="194"/>
        <v>599183.76578092726</v>
      </c>
      <c r="R494" s="227" t="str">
        <f t="shared" si="173"/>
        <v>0.0355+4.89421742349183i</v>
      </c>
      <c r="S494" s="227" t="str">
        <f t="shared" si="174"/>
        <v>0.018-0.00120736174913843i</v>
      </c>
      <c r="T494" s="227" t="str">
        <f t="shared" si="175"/>
        <v>0.0179497428415576-0.00120059884100533i</v>
      </c>
      <c r="U494" s="227" t="str">
        <f t="shared" si="176"/>
        <v>-0.36811983029688+0.00836820734820201i</v>
      </c>
      <c r="V494" s="227">
        <f t="shared" si="187"/>
        <v>-8.6779720692654276</v>
      </c>
      <c r="W494" s="227">
        <f t="shared" si="188"/>
        <v>-181.30224008776065</v>
      </c>
      <c r="X494" s="227" t="str">
        <f t="shared" si="177"/>
        <v>-1.55303953902517-0.431715738620274i</v>
      </c>
      <c r="Y494" s="227" t="str">
        <f t="shared" si="178"/>
        <v>0.0353538115615882-4.91727920785213i</v>
      </c>
      <c r="Z494" s="227" t="str">
        <f t="shared" si="179"/>
        <v>-0.399567821251562+1.39835193534431i</v>
      </c>
      <c r="AA494" s="227" t="str">
        <f t="shared" si="180"/>
        <v>-0.647808877424311+1.60857438179656i</v>
      </c>
      <c r="AB494" s="227">
        <f t="shared" si="189"/>
        <v>4.7815767446472472</v>
      </c>
      <c r="AC494" s="227">
        <f t="shared" si="190"/>
        <v>-248.06425138984392</v>
      </c>
      <c r="AD494" s="229">
        <f t="shared" si="191"/>
        <v>-21.672086296283307</v>
      </c>
      <c r="AE494" s="229">
        <f t="shared" si="192"/>
        <v>93.66863016794791</v>
      </c>
      <c r="AF494" s="227">
        <f t="shared" si="181"/>
        <v>-16.890509551636061</v>
      </c>
      <c r="AG494" s="227">
        <f t="shared" si="182"/>
        <v>-154.39562122189602</v>
      </c>
      <c r="AH494" s="229" t="str">
        <f t="shared" si="183"/>
        <v>0.00527813132735963-0.0823198965700415i</v>
      </c>
    </row>
    <row r="495" spans="9:34" x14ac:dyDescent="0.2">
      <c r="I495" s="227">
        <v>491</v>
      </c>
      <c r="J495" s="227">
        <f t="shared" si="171"/>
        <v>5.7873101606506498</v>
      </c>
      <c r="K495" s="227">
        <f t="shared" si="193"/>
        <v>612787.87099331617</v>
      </c>
      <c r="L495" s="227">
        <f t="shared" si="184"/>
        <v>3850259.7474430641</v>
      </c>
      <c r="M495" s="227">
        <f t="shared" si="172"/>
        <v>620117.00368215307</v>
      </c>
      <c r="N495" s="227">
        <f>SQRT((ABS(AC495)-171.5+'Small Signal'!C$59)^2)</f>
        <v>147.57528064331694</v>
      </c>
      <c r="O495" s="227">
        <f t="shared" si="185"/>
        <v>155.4878682270089</v>
      </c>
      <c r="P495" s="227">
        <f t="shared" si="186"/>
        <v>17.458213436116658</v>
      </c>
      <c r="Q495" s="227">
        <f t="shared" si="194"/>
        <v>612787.87099331617</v>
      </c>
      <c r="R495" s="227" t="str">
        <f t="shared" si="173"/>
        <v>0.0355+5.00533767167598i</v>
      </c>
      <c r="S495" s="227" t="str">
        <f t="shared" si="174"/>
        <v>0.018-0.0011805578957298i</v>
      </c>
      <c r="T495" s="227" t="str">
        <f t="shared" si="175"/>
        <v>0.0179497329246168-0.00117394512834845i</v>
      </c>
      <c r="U495" s="227" t="str">
        <f t="shared" si="176"/>
        <v>-0.368077214410525+0.00818274198392067i</v>
      </c>
      <c r="V495" s="227">
        <f t="shared" si="187"/>
        <v>-8.6790754913258024</v>
      </c>
      <c r="W495" s="227">
        <f t="shared" si="188"/>
        <v>-181.27353541325243</v>
      </c>
      <c r="X495" s="227" t="str">
        <f t="shared" si="177"/>
        <v>-1.67028604328193-0.441517583505673i</v>
      </c>
      <c r="Y495" s="227" t="str">
        <f t="shared" si="178"/>
        <v>0.0338015574947624-4.80812333672038i</v>
      </c>
      <c r="Z495" s="227" t="str">
        <f t="shared" si="179"/>
        <v>-0.399853414386251+1.47074237246465i</v>
      </c>
      <c r="AA495" s="227" t="str">
        <f t="shared" si="180"/>
        <v>-0.593257210244779+1.55157811507171i</v>
      </c>
      <c r="AB495" s="227">
        <f t="shared" si="189"/>
        <v>4.4080659609427633</v>
      </c>
      <c r="AC495" s="227">
        <f t="shared" si="190"/>
        <v>-249.07528064331694</v>
      </c>
      <c r="AD495" s="229">
        <f t="shared" si="191"/>
        <v>-21.866279397059422</v>
      </c>
      <c r="AE495" s="229">
        <f t="shared" si="192"/>
        <v>93.587412416308055</v>
      </c>
      <c r="AF495" s="227">
        <f t="shared" si="181"/>
        <v>-17.458213436116658</v>
      </c>
      <c r="AG495" s="227">
        <f t="shared" si="182"/>
        <v>-155.4878682270089</v>
      </c>
      <c r="AH495" s="229" t="str">
        <f t="shared" si="183"/>
        <v>0.00504732079274966-0.0805071022141302i</v>
      </c>
    </row>
    <row r="496" spans="9:34" x14ac:dyDescent="0.2">
      <c r="I496" s="227">
        <v>492</v>
      </c>
      <c r="J496" s="227">
        <f t="shared" si="171"/>
        <v>5.7970602831774327</v>
      </c>
      <c r="K496" s="227">
        <f t="shared" si="193"/>
        <v>626700.84919125366</v>
      </c>
      <c r="L496" s="227">
        <f t="shared" si="184"/>
        <v>3937677.5676354547</v>
      </c>
      <c r="M496" s="227">
        <f t="shared" si="172"/>
        <v>634345.86764007341</v>
      </c>
      <c r="N496" s="227">
        <f>SQRT((ABS(AC496)-171.5+'Small Signal'!C$59)^2)</f>
        <v>148.5117792361882</v>
      </c>
      <c r="O496" s="227">
        <f t="shared" si="185"/>
        <v>156.50379625577193</v>
      </c>
      <c r="P496" s="227">
        <f t="shared" si="186"/>
        <v>18.016763780769082</v>
      </c>
      <c r="Q496" s="227">
        <f t="shared" si="194"/>
        <v>626700.84919125366</v>
      </c>
      <c r="R496" s="227" t="str">
        <f t="shared" si="173"/>
        <v>0.0355+5.11898083792609i</v>
      </c>
      <c r="S496" s="227" t="str">
        <f t="shared" si="174"/>
        <v>0.018-0.00115434909724822i</v>
      </c>
      <c r="T496" s="227" t="str">
        <f t="shared" si="175"/>
        <v>0.0179497234431074-0.00114788313732256i</v>
      </c>
      <c r="U496" s="227" t="str">
        <f t="shared" si="176"/>
        <v>-0.368036469531524+0.00800137371008697i</v>
      </c>
      <c r="V496" s="227">
        <f t="shared" si="187"/>
        <v>-8.6801306357860213</v>
      </c>
      <c r="W496" s="227">
        <f t="shared" si="188"/>
        <v>-181.24545465743623</v>
      </c>
      <c r="X496" s="227" t="str">
        <f t="shared" si="177"/>
        <v>-1.79291700890339-0.451541973354257i</v>
      </c>
      <c r="Y496" s="227" t="str">
        <f t="shared" si="178"/>
        <v>0.0323174547835176-4.70139014875722i</v>
      </c>
      <c r="Z496" s="227" t="str">
        <f t="shared" si="179"/>
        <v>-0.400126468620351+1.54387428337428i</v>
      </c>
      <c r="AA496" s="227" t="str">
        <f t="shared" si="180"/>
        <v>-0.544494507324525+1.49694384456233i</v>
      </c>
      <c r="AB496" s="227">
        <f t="shared" si="189"/>
        <v>4.0437441127108293</v>
      </c>
      <c r="AC496" s="227">
        <f t="shared" si="190"/>
        <v>-250.0117792361882</v>
      </c>
      <c r="AD496" s="229">
        <f t="shared" si="191"/>
        <v>-22.060507893479912</v>
      </c>
      <c r="AE496" s="229">
        <f t="shared" si="192"/>
        <v>93.507982980416287</v>
      </c>
      <c r="AF496" s="227">
        <f t="shared" si="181"/>
        <v>-18.016763780769082</v>
      </c>
      <c r="AG496" s="227">
        <f t="shared" si="182"/>
        <v>-156.50379625577193</v>
      </c>
      <c r="AH496" s="229" t="str">
        <f t="shared" si="183"/>
        <v>0.00482656415867422-0.0787335977358106i</v>
      </c>
    </row>
    <row r="497" spans="9:34" x14ac:dyDescent="0.2">
      <c r="I497" s="227">
        <v>493</v>
      </c>
      <c r="J497" s="227">
        <f t="shared" si="171"/>
        <v>5.8068104057042165</v>
      </c>
      <c r="K497" s="227">
        <f t="shared" si="193"/>
        <v>640929.713149174</v>
      </c>
      <c r="L497" s="227">
        <f t="shared" si="184"/>
        <v>4027080.1565937167</v>
      </c>
      <c r="M497" s="227">
        <f t="shared" si="172"/>
        <v>648897.78935321071</v>
      </c>
      <c r="N497" s="227">
        <f>SQRT((ABS(AC497)-171.5+'Small Signal'!C$59)^2)</f>
        <v>149.38136338114211</v>
      </c>
      <c r="O497" s="227">
        <f t="shared" si="185"/>
        <v>157.45106026651683</v>
      </c>
      <c r="P497" s="227">
        <f t="shared" si="186"/>
        <v>18.566590931301629</v>
      </c>
      <c r="Q497" s="227">
        <f t="shared" si="194"/>
        <v>640929.713149174</v>
      </c>
      <c r="R497" s="227" t="str">
        <f t="shared" si="173"/>
        <v>0.0355+5.23520420357183i</v>
      </c>
      <c r="S497" s="227" t="str">
        <f t="shared" si="174"/>
        <v>0.018-0.00112872214326603i</v>
      </c>
      <c r="T497" s="227" t="str">
        <f t="shared" si="175"/>
        <v>0.0179497143779106-0.00112239973150809i</v>
      </c>
      <c r="U497" s="227" t="str">
        <f t="shared" si="176"/>
        <v>-0.367997513522098+0.00782401289232868i</v>
      </c>
      <c r="V497" s="227">
        <f t="shared" si="187"/>
        <v>-8.6811396077556466</v>
      </c>
      <c r="W497" s="227">
        <f t="shared" si="188"/>
        <v>-181.21798483231578</v>
      </c>
      <c r="X497" s="227" t="str">
        <f t="shared" si="177"/>
        <v>-1.92117971340432-0.461793960914893i</v>
      </c>
      <c r="Y497" s="227" t="str">
        <f t="shared" si="178"/>
        <v>0.0308985114587883-4.59702589962693i</v>
      </c>
      <c r="Z497" s="227" t="str">
        <f t="shared" si="179"/>
        <v>-0.400387534434518+1.61778451994222i</v>
      </c>
      <c r="AA497" s="227" t="str">
        <f t="shared" si="180"/>
        <v>-0.50078780724739+1.44466899606505i</v>
      </c>
      <c r="AB497" s="227">
        <f t="shared" si="189"/>
        <v>3.6881793121745239</v>
      </c>
      <c r="AC497" s="227">
        <f t="shared" si="190"/>
        <v>-250.88136338114211</v>
      </c>
      <c r="AD497" s="229">
        <f t="shared" si="191"/>
        <v>-22.254770243476152</v>
      </c>
      <c r="AE497" s="229">
        <f t="shared" si="192"/>
        <v>93.430303114625275</v>
      </c>
      <c r="AF497" s="227">
        <f t="shared" si="181"/>
        <v>-18.566590931301629</v>
      </c>
      <c r="AG497" s="227">
        <f t="shared" si="182"/>
        <v>-157.45106026651683</v>
      </c>
      <c r="AH497" s="229" t="str">
        <f t="shared" si="183"/>
        <v>0.00461542685396993-0.0769985725437395i</v>
      </c>
    </row>
    <row r="498" spans="9:34" x14ac:dyDescent="0.2">
      <c r="I498" s="227">
        <v>494</v>
      </c>
      <c r="J498" s="227">
        <f t="shared" si="171"/>
        <v>5.8165605282310002</v>
      </c>
      <c r="K498" s="227">
        <f t="shared" si="193"/>
        <v>655481.6348623113</v>
      </c>
      <c r="L498" s="227">
        <f t="shared" si="184"/>
        <v>4118512.5772929289</v>
      </c>
      <c r="M498" s="227">
        <f t="shared" si="172"/>
        <v>663780.10365261894</v>
      </c>
      <c r="N498" s="227">
        <f>SQRT((ABS(AC498)-171.5+'Small Signal'!C$59)^2)</f>
        <v>150.19070646981811</v>
      </c>
      <c r="O498" s="227">
        <f t="shared" si="185"/>
        <v>158.33637159808416</v>
      </c>
      <c r="P498" s="227">
        <f t="shared" si="186"/>
        <v>19.108126890040616</v>
      </c>
      <c r="Q498" s="227">
        <f t="shared" si="194"/>
        <v>655481.6348623113</v>
      </c>
      <c r="R498" s="227" t="str">
        <f t="shared" si="173"/>
        <v>0.0355+5.35406635048081i</v>
      </c>
      <c r="S498" s="227" t="str">
        <f t="shared" si="174"/>
        <v>0.018-0.0011036641166317i</v>
      </c>
      <c r="T498" s="227" t="str">
        <f t="shared" si="175"/>
        <v>0.0179497057107471-0.00109748206611808i</v>
      </c>
      <c r="U498" s="227" t="str">
        <f t="shared" si="176"/>
        <v>-0.367960267849741+0.00765057180006143i</v>
      </c>
      <c r="V498" s="227">
        <f t="shared" si="187"/>
        <v>-8.6821044211653611</v>
      </c>
      <c r="W498" s="227">
        <f t="shared" si="188"/>
        <v>-181.19111318257345</v>
      </c>
      <c r="X498" s="227" t="str">
        <f t="shared" si="177"/>
        <v>-2.05533279034148-0.472278713656055i</v>
      </c>
      <c r="Y498" s="227" t="str">
        <f t="shared" si="178"/>
        <v>0.0295418668872101-4.49497803552684i</v>
      </c>
      <c r="Z498" s="227" t="str">
        <f t="shared" si="179"/>
        <v>-0.400637138145481+1.69251032699668i</v>
      </c>
      <c r="AA498" s="227" t="str">
        <f t="shared" si="180"/>
        <v>-0.461507817662151+1.39471182302008i</v>
      </c>
      <c r="AB498" s="227">
        <f t="shared" si="189"/>
        <v>3.3409380816162102</v>
      </c>
      <c r="AC498" s="227">
        <f t="shared" si="190"/>
        <v>-251.69070646981811</v>
      </c>
      <c r="AD498" s="229">
        <f t="shared" si="191"/>
        <v>-22.449064971656824</v>
      </c>
      <c r="AE498" s="229">
        <f t="shared" si="192"/>
        <v>93.354334871733968</v>
      </c>
      <c r="AF498" s="227">
        <f t="shared" si="181"/>
        <v>-19.108126890040616</v>
      </c>
      <c r="AG498" s="227">
        <f t="shared" si="182"/>
        <v>-158.33637159808416</v>
      </c>
      <c r="AH498" s="229" t="str">
        <f t="shared" si="183"/>
        <v>0.00441349280310894-0.0753012300820596i</v>
      </c>
    </row>
    <row r="499" spans="9:34" x14ac:dyDescent="0.2">
      <c r="I499" s="227">
        <v>495</v>
      </c>
      <c r="J499" s="227">
        <f t="shared" si="171"/>
        <v>5.8263106507577831</v>
      </c>
      <c r="K499" s="227">
        <f t="shared" si="193"/>
        <v>670363.94916171953</v>
      </c>
      <c r="L499" s="227">
        <f t="shared" si="184"/>
        <v>4212020.9158357996</v>
      </c>
      <c r="M499" s="227">
        <f t="shared" si="172"/>
        <v>679000.31190225773</v>
      </c>
      <c r="N499" s="227">
        <f>SQRT((ABS(AC499)-171.5+'Small Signal'!C$59)^2)</f>
        <v>150.94566970889315</v>
      </c>
      <c r="O499" s="227">
        <f t="shared" si="185"/>
        <v>159.16562861966622</v>
      </c>
      <c r="P499" s="227">
        <f t="shared" si="186"/>
        <v>19.641797570512715</v>
      </c>
      <c r="Q499" s="227">
        <f t="shared" si="194"/>
        <v>670363.94916171953</v>
      </c>
      <c r="R499" s="227" t="str">
        <f t="shared" si="173"/>
        <v>0.0355+5.47562719058654i</v>
      </c>
      <c r="S499" s="227" t="str">
        <f t="shared" si="174"/>
        <v>0.018-0.00107916238695899i</v>
      </c>
      <c r="T499" s="227" t="str">
        <f t="shared" si="175"/>
        <v>0.01794969742414-0.00107311758152386i</v>
      </c>
      <c r="U499" s="227" t="str">
        <f t="shared" si="176"/>
        <v>-0.367924657429033+0.00748096456983308i</v>
      </c>
      <c r="V499" s="227">
        <f t="shared" si="187"/>
        <v>-8.6830270026636072</v>
      </c>
      <c r="W499" s="227">
        <f t="shared" si="188"/>
        <v>-181.16482718397046</v>
      </c>
      <c r="X499" s="227" t="str">
        <f t="shared" si="177"/>
        <v>-2.19564675083164-0.483001516370468i</v>
      </c>
      <c r="Y499" s="227" t="str">
        <f t="shared" si="178"/>
        <v>0.0282447860074616-4.39519516692675i</v>
      </c>
      <c r="Z499" s="227" t="str">
        <f t="shared" si="179"/>
        <v>-0.400875782966443+1.76808936105586i</v>
      </c>
      <c r="AA499" s="227" t="str">
        <f t="shared" si="180"/>
        <v>-0.426113622959354+1.34700465457935i</v>
      </c>
      <c r="AB499" s="227">
        <f t="shared" si="189"/>
        <v>3.0015930959554868</v>
      </c>
      <c r="AC499" s="227">
        <f t="shared" si="190"/>
        <v>-252.44566970889315</v>
      </c>
      <c r="AD499" s="229">
        <f t="shared" si="191"/>
        <v>-22.6433906664682</v>
      </c>
      <c r="AE499" s="229">
        <f t="shared" si="192"/>
        <v>93.280041089226913</v>
      </c>
      <c r="AF499" s="227">
        <f t="shared" si="181"/>
        <v>-19.641797570512715</v>
      </c>
      <c r="AG499" s="227">
        <f t="shared" si="182"/>
        <v>-159.16562861966622</v>
      </c>
      <c r="AH499" s="229" t="str">
        <f t="shared" si="183"/>
        <v>0.0042203636637595-0.0736407877708286i</v>
      </c>
    </row>
    <row r="500" spans="9:34" x14ac:dyDescent="0.2">
      <c r="I500" s="227">
        <v>496</v>
      </c>
      <c r="J500" s="227">
        <f t="shared" si="171"/>
        <v>5.8360607732845668</v>
      </c>
      <c r="K500" s="227">
        <f t="shared" si="193"/>
        <v>685584.15741135832</v>
      </c>
      <c r="L500" s="227">
        <f t="shared" si="184"/>
        <v>4307652.304682143</v>
      </c>
      <c r="M500" s="227">
        <f t="shared" si="172"/>
        <v>694566.08578001591</v>
      </c>
      <c r="N500" s="227">
        <f>SQRT((ABS(AC500)-171.5+'Small Signal'!C$59)^2)</f>
        <v>151.65141381898837</v>
      </c>
      <c r="O500" s="227">
        <f t="shared" si="185"/>
        <v>159.9440284434217</v>
      </c>
      <c r="P500" s="227">
        <f t="shared" si="186"/>
        <v>20.168017571397716</v>
      </c>
      <c r="Q500" s="227">
        <f t="shared" si="194"/>
        <v>685584.15741135832</v>
      </c>
      <c r="R500" s="227" t="str">
        <f t="shared" si="173"/>
        <v>0.0355+5.59994799608679i</v>
      </c>
      <c r="S500" s="227" t="str">
        <f t="shared" si="174"/>
        <v>0.018-0.00105520460426064i</v>
      </c>
      <c r="T500" s="227" t="str">
        <f t="shared" si="175"/>
        <v>0.01794968950138-0.00104929399692446i</v>
      </c>
      <c r="U500" s="227" t="str">
        <f t="shared" si="176"/>
        <v>-0.367890610470381+0.00731510716911549i</v>
      </c>
      <c r="V500" s="227">
        <f t="shared" si="187"/>
        <v>-8.6839091953513634</v>
      </c>
      <c r="W500" s="227">
        <f t="shared" si="188"/>
        <v>-181.13911454155638</v>
      </c>
      <c r="X500" s="227" t="str">
        <f t="shared" si="177"/>
        <v>-2.34240452902002-0.493967773838881i</v>
      </c>
      <c r="Y500" s="227" t="str">
        <f t="shared" si="178"/>
        <v>0.0270046538194535-4.29762704288085i</v>
      </c>
      <c r="Z500" s="227" t="str">
        <f t="shared" si="179"/>
        <v>-0.401103950021026+1.84455970926927i</v>
      </c>
      <c r="AA500" s="227" t="str">
        <f t="shared" si="180"/>
        <v>-0.394139507383169+1.30146341629293i</v>
      </c>
      <c r="AB500" s="227">
        <f t="shared" si="189"/>
        <v>2.6697284060738897</v>
      </c>
      <c r="AC500" s="227">
        <f t="shared" si="190"/>
        <v>-253.15141381898837</v>
      </c>
      <c r="AD500" s="229">
        <f t="shared" si="191"/>
        <v>-22.837745977471606</v>
      </c>
      <c r="AE500" s="229">
        <f t="shared" si="192"/>
        <v>93.207385375566673</v>
      </c>
      <c r="AF500" s="227">
        <f t="shared" si="181"/>
        <v>-20.168017571397716</v>
      </c>
      <c r="AG500" s="227">
        <f t="shared" si="182"/>
        <v>-159.9440284434217</v>
      </c>
      <c r="AH500" s="229" t="str">
        <f t="shared" si="183"/>
        <v>0.00403565809363557-0.0720164769319757i</v>
      </c>
    </row>
    <row r="501" spans="9:34" x14ac:dyDescent="0.2">
      <c r="I501" s="227">
        <v>497</v>
      </c>
      <c r="J501" s="227">
        <f t="shared" si="171"/>
        <v>5.8458108958113497</v>
      </c>
      <c r="K501" s="227">
        <f t="shared" si="193"/>
        <v>701149.9312891165</v>
      </c>
      <c r="L501" s="227">
        <f t="shared" si="184"/>
        <v>4405454.9464057535</v>
      </c>
      <c r="M501" s="227">
        <f t="shared" si="172"/>
        <v>710485.27114460035</v>
      </c>
      <c r="N501" s="227">
        <f>SQRT((ABS(AC501)-171.5+'Small Signal'!C$59)^2)</f>
        <v>152.31249438386095</v>
      </c>
      <c r="O501" s="227">
        <f t="shared" si="185"/>
        <v>160.67616228730697</v>
      </c>
      <c r="P501" s="227">
        <f t="shared" si="186"/>
        <v>20.68718677691907</v>
      </c>
      <c r="Q501" s="227">
        <f t="shared" si="194"/>
        <v>701149.9312891165</v>
      </c>
      <c r="R501" s="227" t="str">
        <f t="shared" si="173"/>
        <v>0.0355+5.72709143032748i</v>
      </c>
      <c r="S501" s="227" t="str">
        <f t="shared" si="174"/>
        <v>0.018-0.00103177869272344i</v>
      </c>
      <c r="T501" s="227" t="str">
        <f t="shared" si="175"/>
        <v>0.0179496819264912-0.00102599930415661i</v>
      </c>
      <c r="U501" s="227" t="str">
        <f t="shared" si="176"/>
        <v>-0.367858058335393+0.00715291736056024i</v>
      </c>
      <c r="V501" s="227">
        <f t="shared" si="187"/>
        <v>-8.6847527623612493</v>
      </c>
      <c r="W501" s="227">
        <f t="shared" si="188"/>
        <v>-181.11396318770701</v>
      </c>
      <c r="X501" s="227" t="str">
        <f t="shared" si="177"/>
        <v>-2.49590205259899-0.50518301355432i</v>
      </c>
      <c r="Y501" s="227" t="str">
        <f t="shared" si="178"/>
        <v>0.0258189701151997-4.20222452589917i</v>
      </c>
      <c r="Z501" s="227" t="str">
        <f t="shared" si="179"/>
        <v>-0.401322099312688+1.92195990857847i</v>
      </c>
      <c r="AA501" s="227" t="str">
        <f t="shared" si="180"/>
        <v>-0.365183703096361+1.25799443052916i</v>
      </c>
      <c r="AB501" s="227">
        <f t="shared" si="189"/>
        <v>2.3449428358143161</v>
      </c>
      <c r="AC501" s="227">
        <f t="shared" si="190"/>
        <v>-253.81249438386095</v>
      </c>
      <c r="AD501" s="229">
        <f t="shared" si="191"/>
        <v>-23.032129612733385</v>
      </c>
      <c r="AE501" s="229">
        <f t="shared" si="192"/>
        <v>93.136332096553986</v>
      </c>
      <c r="AF501" s="227">
        <f t="shared" si="181"/>
        <v>-20.68718677691907</v>
      </c>
      <c r="AG501" s="227">
        <f t="shared" si="182"/>
        <v>-160.67616228730697</v>
      </c>
      <c r="AH501" s="229" t="str">
        <f t="shared" si="183"/>
        <v>0.00385901104569944-0.0704275427020714i</v>
      </c>
    </row>
    <row r="502" spans="9:34" x14ac:dyDescent="0.2">
      <c r="I502" s="227">
        <v>498</v>
      </c>
      <c r="J502" s="227">
        <f t="shared" si="171"/>
        <v>5.8555610183381335</v>
      </c>
      <c r="K502" s="227">
        <f t="shared" si="193"/>
        <v>717069.11665370094</v>
      </c>
      <c r="L502" s="227">
        <f t="shared" si="184"/>
        <v>4505478.1379907783</v>
      </c>
      <c r="M502" s="227">
        <f t="shared" si="172"/>
        <v>726765.89199018839</v>
      </c>
      <c r="N502" s="227">
        <f>SQRT((ABS(AC502)-171.5+'Small Signal'!C$59)^2)</f>
        <v>152.93294320287561</v>
      </c>
      <c r="O502" s="227">
        <f t="shared" si="185"/>
        <v>161.36609684110687</v>
      </c>
      <c r="P502" s="227">
        <f t="shared" si="186"/>
        <v>21.19968827485453</v>
      </c>
      <c r="Q502" s="227">
        <f t="shared" si="194"/>
        <v>717069.11665370094</v>
      </c>
      <c r="R502" s="227" t="str">
        <f t="shared" si="173"/>
        <v>0.0355+5.85712157938801i</v>
      </c>
      <c r="S502" s="227" t="str">
        <f t="shared" si="174"/>
        <v>0.018-0.00100887284462146i</v>
      </c>
      <c r="T502" s="227" t="str">
        <f t="shared" si="175"/>
        <v>0.0179496746841995-0.00100322176164205i</v>
      </c>
      <c r="U502" s="227" t="str">
        <f t="shared" si="176"/>
        <v>-0.367826935398593+0.00699431466672676i</v>
      </c>
      <c r="V502" s="227">
        <f t="shared" si="187"/>
        <v>-8.6855593902870716</v>
      </c>
      <c r="W502" s="227">
        <f t="shared" si="188"/>
        <v>-181.08936128000641</v>
      </c>
      <c r="X502" s="227" t="str">
        <f t="shared" si="177"/>
        <v>-2.65644883952726-0.516652888508205i</v>
      </c>
      <c r="Y502" s="227" t="str">
        <f t="shared" si="178"/>
        <v>0.0246853444408813-4.10893956736738i</v>
      </c>
      <c r="Z502" s="227" t="str">
        <f t="shared" si="179"/>
        <v>-0.40153067065166+2.00032896510696i</v>
      </c>
      <c r="AA502" s="227" t="str">
        <f t="shared" si="180"/>
        <v>-0.338898837096757+1.21649923474093i</v>
      </c>
      <c r="AB502" s="227">
        <f t="shared" si="189"/>
        <v>2.0268520614692638</v>
      </c>
      <c r="AC502" s="227">
        <f t="shared" si="190"/>
        <v>-254.43294320287561</v>
      </c>
      <c r="AD502" s="229">
        <f t="shared" si="191"/>
        <v>-23.226540336323794</v>
      </c>
      <c r="AE502" s="229">
        <f t="shared" si="192"/>
        <v>93.066846361768739</v>
      </c>
      <c r="AF502" s="227">
        <f t="shared" si="181"/>
        <v>-21.19968827485453</v>
      </c>
      <c r="AG502" s="227">
        <f t="shared" si="182"/>
        <v>-161.36609684110687</v>
      </c>
      <c r="AH502" s="229" t="str">
        <f t="shared" si="183"/>
        <v>0.00369007309079296-0.0688732439331062i</v>
      </c>
    </row>
    <row r="503" spans="9:34" x14ac:dyDescent="0.2">
      <c r="I503" s="227">
        <v>499</v>
      </c>
      <c r="J503" s="227">
        <f t="shared" si="171"/>
        <v>5.8653111408649163</v>
      </c>
      <c r="K503" s="227">
        <f t="shared" si="193"/>
        <v>733349.73749928898</v>
      </c>
      <c r="L503" s="227">
        <f t="shared" si="184"/>
        <v>4607772.2956795385</v>
      </c>
      <c r="M503" s="227">
        <f t="shared" si="172"/>
        <v>743416.15449089988</v>
      </c>
      <c r="N503" s="227">
        <f>SQRT((ABS(AC503)-171.5+'Small Signal'!C$59)^2)</f>
        <v>153.51633772557994</v>
      </c>
      <c r="O503" s="227">
        <f t="shared" si="185"/>
        <v>162.01744371447552</v>
      </c>
      <c r="P503" s="227">
        <f t="shared" si="186"/>
        <v>21.705887218922665</v>
      </c>
      <c r="Q503" s="227">
        <f t="shared" si="194"/>
        <v>733349.73749928898</v>
      </c>
      <c r="R503" s="227" t="str">
        <f t="shared" si="173"/>
        <v>0.0355+5.9901039843834i</v>
      </c>
      <c r="S503" s="227" t="str">
        <f t="shared" si="174"/>
        <v>0.018-0.000986475514364407i</v>
      </c>
      <c r="T503" s="227" t="str">
        <f t="shared" si="175"/>
        <v>0.0179496677599012-0.000980949888469319i</v>
      </c>
      <c r="U503" s="227" t="str">
        <f t="shared" si="176"/>
        <v>-0.367797178915206+0.00683922033529664i</v>
      </c>
      <c r="V503" s="227">
        <f t="shared" si="187"/>
        <v>-8.6863306924696797</v>
      </c>
      <c r="W503" s="227">
        <f t="shared" si="188"/>
        <v>-181.06529719899027</v>
      </c>
      <c r="X503" s="227" t="str">
        <f t="shared" si="177"/>
        <v>-2.82436862215306-0.5283831800397i</v>
      </c>
      <c r="Y503" s="227" t="str">
        <f t="shared" si="178"/>
        <v>0.0236014912798631-4.0177251835033i</v>
      </c>
      <c r="Z503" s="227" t="str">
        <f t="shared" si="179"/>
        <v>-0.401730084541182+2.07970637378881i</v>
      </c>
      <c r="AA503" s="227" t="str">
        <f t="shared" si="180"/>
        <v>-0.314983848649272+1.17687795756982i</v>
      </c>
      <c r="AB503" s="227">
        <f t="shared" si="189"/>
        <v>1.7150897469965813</v>
      </c>
      <c r="AC503" s="227">
        <f t="shared" si="190"/>
        <v>-255.01633772557994</v>
      </c>
      <c r="AD503" s="229">
        <f t="shared" si="191"/>
        <v>-23.420976965919248</v>
      </c>
      <c r="AE503" s="229">
        <f t="shared" si="192"/>
        <v>92.99889401110444</v>
      </c>
      <c r="AF503" s="227">
        <f t="shared" si="181"/>
        <v>-21.705887218922665</v>
      </c>
      <c r="AG503" s="227">
        <f t="shared" si="182"/>
        <v>-162.01744371447552</v>
      </c>
      <c r="AH503" s="229" t="str">
        <f t="shared" si="183"/>
        <v>0.0035285097667892-0.0673528530824089i</v>
      </c>
    </row>
    <row r="504" spans="9:34" x14ac:dyDescent="0.2">
      <c r="I504" s="227">
        <v>500</v>
      </c>
      <c r="J504" s="227">
        <f t="shared" si="171"/>
        <v>5.8750612633917001</v>
      </c>
      <c r="K504" s="227">
        <f t="shared" si="193"/>
        <v>750000.00000000047</v>
      </c>
      <c r="L504" s="227">
        <f>2*PI()*K504</f>
        <v>4712388.9803846925</v>
      </c>
      <c r="M504" s="227">
        <f t="shared" si="172"/>
        <v>6583.8455091006299</v>
      </c>
      <c r="N504" s="227">
        <f>SQRT((ABS(AC504)-171.5+'Small Signal'!C$59)^2)</f>
        <v>153.87148578801398</v>
      </c>
      <c r="O504" s="227">
        <f t="shared" si="185"/>
        <v>162.43904418660736</v>
      </c>
      <c r="P504" s="227">
        <f t="shared" si="186"/>
        <v>22.219483376645016</v>
      </c>
      <c r="Q504" s="227">
        <f t="shared" si="194"/>
        <v>750000.00000000047</v>
      </c>
      <c r="R504" s="227" t="str">
        <f>IMSUM(COMPLEX(DCRss,Lss*L504),COMPLEX(Rdsonss,0),COMPLEX(Risense,0))</f>
        <v>0.01182+6.1261056745001i</v>
      </c>
      <c r="S504" s="227" t="str">
        <f t="shared" si="174"/>
        <v>0.018-0.000964575412678155i</v>
      </c>
      <c r="T504" s="227" t="str">
        <f t="shared" si="175"/>
        <v>0.0179496611396339-0.000959172458606886i</v>
      </c>
      <c r="U504" s="227" t="str">
        <f t="shared" si="176"/>
        <v>-0.36781872099087+0.00668983923823734i</v>
      </c>
      <c r="V504" s="227">
        <f t="shared" si="187"/>
        <v>-8.6858869994831132</v>
      </c>
      <c r="W504" s="227">
        <f t="shared" si="188"/>
        <v>-181.04197332951702</v>
      </c>
      <c r="X504" s="227" t="str">
        <f t="shared" si="177"/>
        <v>-3-0.540379800749788i</v>
      </c>
      <c r="Y504" s="227" t="str">
        <f t="shared" si="178"/>
        <v>0.00737992709725944-3.92865345134737i</v>
      </c>
      <c r="Z504" s="227" t="str">
        <f t="shared" si="179"/>
        <v>-0.393574055966069+2.16170266735573i</v>
      </c>
      <c r="AA504" s="227" t="str">
        <f t="shared" si="180"/>
        <v>-0.29658331230519+1.13628232237524i</v>
      </c>
      <c r="AB504" s="227">
        <f t="shared" si="189"/>
        <v>1.395954993860079</v>
      </c>
      <c r="AC504" s="227">
        <f t="shared" si="190"/>
        <v>-255.37148578801398</v>
      </c>
      <c r="AD504" s="229">
        <f t="shared" si="191"/>
        <v>-23.615438370505096</v>
      </c>
      <c r="AE504" s="229">
        <f t="shared" si="192"/>
        <v>92.932441601406609</v>
      </c>
      <c r="AF504" s="227">
        <f t="shared" si="181"/>
        <v>-22.219483376645016</v>
      </c>
      <c r="AG504" s="227">
        <f t="shared" si="182"/>
        <v>-162.43904418660736</v>
      </c>
      <c r="AH504" s="229" t="str">
        <f t="shared" si="183"/>
        <v>0.0033740009533687-0.0658656560927411i</v>
      </c>
    </row>
    <row r="505" spans="9:34" x14ac:dyDescent="0.2">
      <c r="AF505" s="231" t="s">
        <v>121</v>
      </c>
    </row>
    <row r="507" spans="9:34" x14ac:dyDescent="0.2">
      <c r="I507" s="227" t="s">
        <v>175</v>
      </c>
      <c r="M507" s="227" t="s">
        <v>173</v>
      </c>
      <c r="Q507" s="227" t="s">
        <v>174</v>
      </c>
    </row>
    <row r="508" spans="9:34" ht="15" x14ac:dyDescent="0.25">
      <c r="I508" s="227" t="s">
        <v>329</v>
      </c>
      <c r="M508" s="227" t="s">
        <v>329</v>
      </c>
      <c r="N508" s="232"/>
      <c r="O508" s="232"/>
      <c r="P508" s="232"/>
      <c r="Q508" s="232" t="s">
        <v>169</v>
      </c>
    </row>
    <row r="509" spans="9:34" ht="15" x14ac:dyDescent="0.25">
      <c r="I509" s="227" t="s">
        <v>331</v>
      </c>
      <c r="M509" s="227" t="s">
        <v>330</v>
      </c>
      <c r="N509" s="232"/>
      <c r="O509" s="232"/>
      <c r="P509" s="232"/>
      <c r="Q509" s="232" t="s">
        <v>327</v>
      </c>
    </row>
    <row r="510" spans="9:34" ht="15" x14ac:dyDescent="0.25">
      <c r="I510" s="227" t="s">
        <v>170</v>
      </c>
      <c r="J510" s="227" t="s">
        <v>171</v>
      </c>
      <c r="K510" s="227" t="s">
        <v>172</v>
      </c>
      <c r="M510" s="227" t="s">
        <v>170</v>
      </c>
      <c r="N510" s="232" t="s">
        <v>171</v>
      </c>
      <c r="O510" s="232" t="s">
        <v>172</v>
      </c>
      <c r="P510" s="232"/>
      <c r="Q510" s="232" t="s">
        <v>170</v>
      </c>
      <c r="R510" s="227" t="s">
        <v>171</v>
      </c>
      <c r="S510" s="227" t="s">
        <v>172</v>
      </c>
    </row>
    <row r="511" spans="9:34" ht="15" x14ac:dyDescent="0.25">
      <c r="I511" s="227">
        <v>10</v>
      </c>
      <c r="J511" s="227">
        <v>37.660600000000002</v>
      </c>
      <c r="K511" s="227">
        <v>174.03</v>
      </c>
      <c r="M511" s="227">
        <v>10</v>
      </c>
      <c r="N511" s="232">
        <v>18.21</v>
      </c>
      <c r="O511" s="232">
        <v>0.85629999999999995</v>
      </c>
      <c r="P511" s="232"/>
      <c r="Q511" s="232"/>
    </row>
    <row r="512" spans="9:34" ht="15" x14ac:dyDescent="0.25">
      <c r="I512" s="227">
        <v>12.59</v>
      </c>
      <c r="J512" s="227">
        <v>40.938000000000002</v>
      </c>
      <c r="K512" s="227">
        <v>10.471</v>
      </c>
      <c r="M512" s="227">
        <v>12.59</v>
      </c>
      <c r="N512" s="232">
        <v>18.2605</v>
      </c>
      <c r="O512" s="232">
        <v>0.83806000000000003</v>
      </c>
      <c r="P512" s="232"/>
      <c r="Q512" s="232"/>
    </row>
    <row r="513" spans="9:17" ht="15" x14ac:dyDescent="0.25">
      <c r="I513" s="227">
        <v>15.85</v>
      </c>
      <c r="J513" s="227">
        <v>45.019300000000001</v>
      </c>
      <c r="K513" s="227">
        <v>156.11000000000001</v>
      </c>
      <c r="M513" s="227">
        <v>15.85</v>
      </c>
      <c r="N513" s="232">
        <v>18.195399999999999</v>
      </c>
      <c r="O513" s="232">
        <v>-1.2109000000000001</v>
      </c>
      <c r="P513" s="232"/>
      <c r="Q513" s="232"/>
    </row>
    <row r="514" spans="9:17" ht="15" x14ac:dyDescent="0.25">
      <c r="I514" s="227">
        <v>19.95</v>
      </c>
      <c r="J514" s="227">
        <v>41.562100000000001</v>
      </c>
      <c r="K514" s="227">
        <v>-168.2</v>
      </c>
      <c r="M514" s="227">
        <v>19.95</v>
      </c>
      <c r="N514" s="232">
        <v>18.6417</v>
      </c>
      <c r="O514" s="232">
        <v>-0.48448999999999998</v>
      </c>
      <c r="P514" s="232"/>
      <c r="Q514" s="232"/>
    </row>
    <row r="515" spans="9:17" ht="15" x14ac:dyDescent="0.25">
      <c r="I515" s="227">
        <v>25.12</v>
      </c>
      <c r="J515" s="227">
        <v>43.169699999999999</v>
      </c>
      <c r="K515" s="227">
        <v>173.51</v>
      </c>
      <c r="M515" s="227">
        <v>25.12</v>
      </c>
      <c r="N515" s="232">
        <v>18.401</v>
      </c>
      <c r="O515" s="232">
        <v>-0.98385999999999996</v>
      </c>
      <c r="P515" s="232"/>
      <c r="Q515" s="232"/>
    </row>
    <row r="516" spans="9:17" ht="15" x14ac:dyDescent="0.25">
      <c r="I516" s="227">
        <v>31.62</v>
      </c>
      <c r="J516" s="227">
        <v>42.245800000000003</v>
      </c>
      <c r="K516" s="227">
        <v>139.72999999999999</v>
      </c>
      <c r="M516" s="227">
        <v>31.62</v>
      </c>
      <c r="N516" s="232">
        <v>18.456</v>
      </c>
      <c r="O516" s="232">
        <v>0.32150000000000001</v>
      </c>
      <c r="P516" s="232"/>
      <c r="Q516" s="232"/>
    </row>
    <row r="517" spans="9:17" ht="15" x14ac:dyDescent="0.25">
      <c r="I517" s="227">
        <v>39.81</v>
      </c>
      <c r="J517" s="227">
        <v>41.420299999999997</v>
      </c>
      <c r="K517" s="227">
        <v>136.25</v>
      </c>
      <c r="M517" s="227">
        <v>39.81</v>
      </c>
      <c r="N517" s="232">
        <v>18.449200000000001</v>
      </c>
      <c r="O517" s="232">
        <v>-0.60572000000000004</v>
      </c>
      <c r="P517" s="232"/>
      <c r="Q517" s="232"/>
    </row>
    <row r="518" spans="9:17" ht="15" x14ac:dyDescent="0.25">
      <c r="I518" s="227">
        <v>50.12</v>
      </c>
      <c r="J518" s="227">
        <v>41.924500000000002</v>
      </c>
      <c r="K518" s="227">
        <v>127.18</v>
      </c>
      <c r="M518" s="227">
        <v>50.12</v>
      </c>
      <c r="N518" s="232">
        <v>18.566299999999998</v>
      </c>
      <c r="O518" s="232">
        <v>-1.2511000000000001</v>
      </c>
      <c r="P518" s="232"/>
      <c r="Q518" s="232"/>
    </row>
    <row r="519" spans="9:17" ht="15" x14ac:dyDescent="0.25">
      <c r="I519" s="227">
        <v>63.1</v>
      </c>
      <c r="J519" s="227">
        <v>40.187199999999997</v>
      </c>
      <c r="K519" s="227">
        <v>123.47</v>
      </c>
      <c r="M519" s="227">
        <v>63.1</v>
      </c>
      <c r="N519" s="232">
        <v>18.429400000000001</v>
      </c>
      <c r="O519" s="232">
        <v>-0.94950999999999997</v>
      </c>
      <c r="P519" s="232"/>
      <c r="Q519" s="232"/>
    </row>
    <row r="520" spans="9:17" ht="15" x14ac:dyDescent="0.25">
      <c r="I520" s="227">
        <v>79.44</v>
      </c>
      <c r="J520" s="227">
        <v>38.4514</v>
      </c>
      <c r="K520" s="227">
        <v>118.43</v>
      </c>
      <c r="M520" s="227">
        <v>79.44</v>
      </c>
      <c r="N520" s="232">
        <v>18.380700000000001</v>
      </c>
      <c r="O520" s="232">
        <v>-1.4977</v>
      </c>
      <c r="P520" s="232"/>
      <c r="Q520" s="232"/>
    </row>
    <row r="521" spans="9:17" ht="15" x14ac:dyDescent="0.25">
      <c r="I521" s="227">
        <v>100</v>
      </c>
      <c r="J521" s="227">
        <v>36.996499999999997</v>
      </c>
      <c r="K521" s="227">
        <v>113.19</v>
      </c>
      <c r="M521" s="227">
        <v>100</v>
      </c>
      <c r="N521" s="232">
        <v>18.421800000000001</v>
      </c>
      <c r="O521" s="232">
        <v>-2.1703000000000001</v>
      </c>
      <c r="P521" s="232"/>
      <c r="Q521" s="232"/>
    </row>
    <row r="522" spans="9:17" ht="15" x14ac:dyDescent="0.25">
      <c r="I522" s="227">
        <v>125.9</v>
      </c>
      <c r="J522" s="227">
        <v>35.101599999999998</v>
      </c>
      <c r="K522" s="227">
        <v>107.02</v>
      </c>
      <c r="M522" s="227">
        <v>125.9</v>
      </c>
      <c r="N522" s="232">
        <v>18.415299999999998</v>
      </c>
      <c r="O522" s="232">
        <v>-2.3035999999999999</v>
      </c>
      <c r="P522" s="232"/>
      <c r="Q522" s="232"/>
    </row>
    <row r="523" spans="9:17" ht="15" x14ac:dyDescent="0.25">
      <c r="I523" s="227">
        <v>158.5</v>
      </c>
      <c r="J523" s="227">
        <v>33.128500000000003</v>
      </c>
      <c r="K523" s="227">
        <v>106.26</v>
      </c>
      <c r="M523" s="227">
        <v>158.5</v>
      </c>
      <c r="N523" s="232">
        <v>18.372299999999999</v>
      </c>
      <c r="O523" s="232">
        <v>-3.1655000000000002</v>
      </c>
      <c r="P523" s="232"/>
      <c r="Q523" s="232"/>
    </row>
    <row r="524" spans="9:17" ht="15" x14ac:dyDescent="0.25">
      <c r="I524" s="227">
        <v>199.5</v>
      </c>
      <c r="J524" s="227">
        <v>31.1892</v>
      </c>
      <c r="K524" s="227">
        <v>104.03</v>
      </c>
      <c r="M524" s="227">
        <v>199.5</v>
      </c>
      <c r="N524" s="232">
        <v>18.3811</v>
      </c>
      <c r="O524" s="232">
        <v>-3.6356999999999999</v>
      </c>
      <c r="P524" s="232"/>
      <c r="Q524" s="232"/>
    </row>
    <row r="525" spans="9:17" ht="15" x14ac:dyDescent="0.25">
      <c r="I525" s="227">
        <v>251.2</v>
      </c>
      <c r="J525" s="227">
        <v>29.313400000000001</v>
      </c>
      <c r="K525" s="227">
        <v>103.26</v>
      </c>
      <c r="M525" s="227">
        <v>251.2</v>
      </c>
      <c r="N525" s="232">
        <v>18.360399999999998</v>
      </c>
      <c r="O525" s="232">
        <v>-4.6921999999999997</v>
      </c>
      <c r="P525" s="232"/>
      <c r="Q525" s="232"/>
    </row>
    <row r="526" spans="9:17" ht="15" x14ac:dyDescent="0.25">
      <c r="I526" s="227">
        <v>316.2</v>
      </c>
      <c r="J526" s="227">
        <v>27.4208</v>
      </c>
      <c r="K526" s="227">
        <v>103.39</v>
      </c>
      <c r="M526" s="227">
        <v>316.2</v>
      </c>
      <c r="N526" s="232">
        <v>18.352900000000002</v>
      </c>
      <c r="O526" s="232">
        <v>-5.5035999999999996</v>
      </c>
      <c r="P526" s="232"/>
      <c r="Q526" s="232"/>
    </row>
    <row r="527" spans="9:17" ht="15" x14ac:dyDescent="0.25">
      <c r="I527" s="227">
        <v>398.1</v>
      </c>
      <c r="J527" s="227">
        <v>25.543299999999999</v>
      </c>
      <c r="K527" s="227">
        <v>103.34</v>
      </c>
      <c r="M527" s="227">
        <v>398.1</v>
      </c>
      <c r="N527" s="232">
        <v>18.329999999999998</v>
      </c>
      <c r="O527" s="232">
        <v>-6.8949999999999996</v>
      </c>
      <c r="P527" s="232"/>
      <c r="Q527" s="232"/>
    </row>
    <row r="528" spans="9:17" ht="15" x14ac:dyDescent="0.25">
      <c r="I528" s="227">
        <v>501.2</v>
      </c>
      <c r="J528" s="227">
        <v>23.7925</v>
      </c>
      <c r="K528" s="227">
        <v>104.35</v>
      </c>
      <c r="M528" s="227">
        <v>501.2</v>
      </c>
      <c r="N528" s="232">
        <v>18.350000000000001</v>
      </c>
      <c r="O528" s="232">
        <v>-8.4138999999999999</v>
      </c>
      <c r="P528" s="232"/>
      <c r="Q528" s="232"/>
    </row>
    <row r="529" spans="9:17" ht="15" x14ac:dyDescent="0.25">
      <c r="I529" s="227">
        <v>631</v>
      </c>
      <c r="J529" s="227">
        <v>22.151800000000001</v>
      </c>
      <c r="K529" s="227">
        <v>105.57</v>
      </c>
      <c r="M529" s="227">
        <v>631</v>
      </c>
      <c r="N529" s="232">
        <v>18.415500000000002</v>
      </c>
      <c r="O529" s="232">
        <v>-10.231999999999999</v>
      </c>
      <c r="P529" s="232"/>
      <c r="Q529" s="232"/>
    </row>
    <row r="530" spans="9:17" ht="15" x14ac:dyDescent="0.25">
      <c r="I530" s="227">
        <v>794.4</v>
      </c>
      <c r="J530" s="227">
        <v>20.708300000000001</v>
      </c>
      <c r="K530" s="227">
        <v>106.78</v>
      </c>
      <c r="M530" s="227">
        <v>794.4</v>
      </c>
      <c r="N530" s="232">
        <v>18.587599999999998</v>
      </c>
      <c r="O530" s="232">
        <v>-13.294</v>
      </c>
      <c r="P530" s="232"/>
      <c r="Q530" s="232"/>
    </row>
    <row r="531" spans="9:17" ht="15" x14ac:dyDescent="0.25">
      <c r="I531" s="227">
        <v>1000</v>
      </c>
      <c r="J531" s="227">
        <v>19.408200000000001</v>
      </c>
      <c r="K531" s="227">
        <v>106.81</v>
      </c>
      <c r="M531" s="227">
        <v>1000</v>
      </c>
      <c r="N531" s="232">
        <v>18.744800000000001</v>
      </c>
      <c r="O531" s="232">
        <v>-18.077000000000002</v>
      </c>
      <c r="P531" s="232"/>
      <c r="Q531" s="232"/>
    </row>
    <row r="532" spans="9:17" ht="15" x14ac:dyDescent="0.25">
      <c r="I532" s="227">
        <v>1259</v>
      </c>
      <c r="J532" s="227">
        <v>18.206299999999999</v>
      </c>
      <c r="K532" s="227">
        <v>105.07</v>
      </c>
      <c r="M532" s="227">
        <v>1259</v>
      </c>
      <c r="N532" s="232">
        <v>18.844999999999999</v>
      </c>
      <c r="O532" s="232">
        <v>-25.614000000000001</v>
      </c>
      <c r="P532" s="232"/>
      <c r="Q532" s="232"/>
    </row>
    <row r="533" spans="9:17" ht="15" x14ac:dyDescent="0.25">
      <c r="I533" s="227">
        <v>1585</v>
      </c>
      <c r="J533" s="227">
        <v>16.799600000000002</v>
      </c>
      <c r="K533" s="227">
        <v>101.35</v>
      </c>
      <c r="M533" s="227">
        <v>1585</v>
      </c>
      <c r="N533" s="232">
        <v>18.576599999999999</v>
      </c>
      <c r="O533" s="232">
        <v>-35.216999999999999</v>
      </c>
      <c r="P533" s="232"/>
      <c r="Q533" s="232"/>
    </row>
    <row r="534" spans="9:17" ht="15" x14ac:dyDescent="0.25">
      <c r="I534" s="227">
        <v>1995</v>
      </c>
      <c r="J534" s="227">
        <v>15.136699999999999</v>
      </c>
      <c r="K534" s="227">
        <v>96.534999999999997</v>
      </c>
      <c r="M534" s="227">
        <v>1995</v>
      </c>
      <c r="N534" s="232">
        <v>17.8185</v>
      </c>
      <c r="O534" s="232">
        <v>-46.118000000000002</v>
      </c>
      <c r="P534" s="232"/>
      <c r="Q534" s="232"/>
    </row>
    <row r="535" spans="9:17" ht="15" x14ac:dyDescent="0.25">
      <c r="I535" s="227">
        <v>2512</v>
      </c>
      <c r="J535" s="227">
        <v>13.201000000000001</v>
      </c>
      <c r="K535" s="227">
        <v>92.039000000000001</v>
      </c>
      <c r="M535" s="227">
        <v>2512</v>
      </c>
      <c r="N535" s="232">
        <v>16.533100000000001</v>
      </c>
      <c r="O535" s="232">
        <v>-56.924999999999997</v>
      </c>
      <c r="P535" s="232"/>
      <c r="Q535" s="232"/>
    </row>
    <row r="536" spans="9:17" ht="15" x14ac:dyDescent="0.25">
      <c r="I536" s="227">
        <v>3162</v>
      </c>
      <c r="J536" s="227">
        <v>11.1213</v>
      </c>
      <c r="K536" s="227">
        <v>88.516999999999996</v>
      </c>
      <c r="M536" s="227">
        <v>3162</v>
      </c>
      <c r="N536" s="232">
        <v>14.869</v>
      </c>
      <c r="O536" s="232">
        <v>-65.897000000000006</v>
      </c>
      <c r="P536" s="232"/>
      <c r="Q536" s="232"/>
    </row>
    <row r="537" spans="9:17" ht="15" x14ac:dyDescent="0.25">
      <c r="I537" s="227">
        <v>3981</v>
      </c>
      <c r="J537" s="227">
        <v>9.0173299999999994</v>
      </c>
      <c r="K537" s="227">
        <v>85.623999999999995</v>
      </c>
      <c r="M537" s="227">
        <v>3981</v>
      </c>
      <c r="N537" s="232">
        <v>13.0419</v>
      </c>
      <c r="O537" s="232">
        <v>-73.241</v>
      </c>
      <c r="P537" s="232"/>
      <c r="Q537" s="232"/>
    </row>
    <row r="538" spans="9:17" ht="15" x14ac:dyDescent="0.25">
      <c r="I538" s="227">
        <v>5012</v>
      </c>
      <c r="J538" s="227">
        <v>6.94102</v>
      </c>
      <c r="K538" s="227">
        <v>83.033000000000001</v>
      </c>
      <c r="M538" s="227">
        <v>5012</v>
      </c>
      <c r="N538" s="232">
        <v>11.1648</v>
      </c>
      <c r="O538" s="232">
        <v>-79.396000000000001</v>
      </c>
      <c r="P538" s="232"/>
      <c r="Q538" s="232"/>
    </row>
    <row r="539" spans="9:17" ht="15" x14ac:dyDescent="0.25">
      <c r="I539" s="227">
        <v>6310</v>
      </c>
      <c r="J539" s="227">
        <v>4.9103399999999997</v>
      </c>
      <c r="K539" s="227">
        <v>80.275000000000006</v>
      </c>
      <c r="M539" s="227">
        <v>6310</v>
      </c>
      <c r="N539" s="232">
        <v>9.2243700000000004</v>
      </c>
      <c r="O539" s="232">
        <v>-84.641000000000005</v>
      </c>
      <c r="P539" s="232"/>
      <c r="Q539" s="232"/>
    </row>
    <row r="540" spans="9:17" ht="15" x14ac:dyDescent="0.25">
      <c r="I540" s="227">
        <v>7944</v>
      </c>
      <c r="J540" s="227">
        <v>2.9131499999999999</v>
      </c>
      <c r="K540" s="227">
        <v>77.093000000000004</v>
      </c>
      <c r="M540" s="227">
        <v>7944</v>
      </c>
      <c r="N540" s="232">
        <v>7.2900400000000003</v>
      </c>
      <c r="O540" s="232">
        <v>-89.700999999999993</v>
      </c>
      <c r="P540" s="232"/>
      <c r="Q540" s="232"/>
    </row>
    <row r="541" spans="9:17" ht="15" x14ac:dyDescent="0.25">
      <c r="I541" s="227">
        <v>10000</v>
      </c>
      <c r="J541" s="227">
        <v>0.95159800000000005</v>
      </c>
      <c r="K541" s="227">
        <v>73.228999999999999</v>
      </c>
      <c r="M541" s="227">
        <v>10000</v>
      </c>
      <c r="N541" s="232">
        <v>5.4023700000000003</v>
      </c>
      <c r="O541" s="232">
        <v>-94.709000000000003</v>
      </c>
      <c r="P541" s="232"/>
      <c r="Q541" s="232"/>
    </row>
    <row r="542" spans="9:17" ht="15" x14ac:dyDescent="0.25">
      <c r="I542" s="227">
        <v>12590</v>
      </c>
      <c r="J542" s="227">
        <v>-0.97999400000000003</v>
      </c>
      <c r="K542" s="227">
        <v>68.453999999999994</v>
      </c>
      <c r="M542" s="227">
        <v>12590</v>
      </c>
      <c r="N542" s="232">
        <v>3.5295200000000002</v>
      </c>
      <c r="O542" s="232">
        <v>-99.733000000000004</v>
      </c>
      <c r="P542" s="232"/>
      <c r="Q542" s="232"/>
    </row>
    <row r="543" spans="9:17" ht="15" x14ac:dyDescent="0.25">
      <c r="I543" s="227">
        <v>15850</v>
      </c>
      <c r="J543" s="227">
        <v>-3.0378500000000002</v>
      </c>
      <c r="K543" s="227">
        <v>63.189</v>
      </c>
      <c r="M543" s="227">
        <v>15850</v>
      </c>
      <c r="N543" s="232">
        <v>1.69167</v>
      </c>
      <c r="O543" s="232">
        <v>-105.45</v>
      </c>
      <c r="P543" s="232"/>
      <c r="Q543" s="232"/>
    </row>
    <row r="544" spans="9:17" ht="15" x14ac:dyDescent="0.25">
      <c r="I544" s="227">
        <v>19950</v>
      </c>
      <c r="J544" s="227">
        <v>-5.0957600000000003</v>
      </c>
      <c r="K544" s="227">
        <v>56.701000000000001</v>
      </c>
      <c r="M544" s="227">
        <v>19950</v>
      </c>
      <c r="N544" s="232">
        <v>-7.7088799999999999E-2</v>
      </c>
      <c r="O544" s="232">
        <v>-111.88</v>
      </c>
      <c r="P544" s="232"/>
      <c r="Q544" s="232"/>
    </row>
    <row r="545" spans="9:17" ht="15" x14ac:dyDescent="0.25">
      <c r="I545" s="227">
        <v>25120</v>
      </c>
      <c r="J545" s="227">
        <v>-6.9738800000000003</v>
      </c>
      <c r="K545" s="227">
        <v>48.667000000000002</v>
      </c>
      <c r="M545" s="227">
        <v>25120</v>
      </c>
      <c r="N545" s="232">
        <v>-1.73281</v>
      </c>
      <c r="O545" s="232">
        <v>-118.42</v>
      </c>
      <c r="P545" s="232"/>
      <c r="Q545" s="232"/>
    </row>
    <row r="546" spans="9:17" ht="15" x14ac:dyDescent="0.25">
      <c r="I546" s="227">
        <v>31620</v>
      </c>
      <c r="J546" s="227">
        <v>-8.6015200000000007</v>
      </c>
      <c r="K546" s="227">
        <v>39.034999999999997</v>
      </c>
      <c r="M546" s="227">
        <v>31620</v>
      </c>
      <c r="N546" s="232">
        <v>-3.2250700000000001</v>
      </c>
      <c r="O546" s="232">
        <v>-126.06</v>
      </c>
      <c r="P546" s="232"/>
      <c r="Q546" s="232"/>
    </row>
    <row r="547" spans="9:17" ht="15" x14ac:dyDescent="0.25">
      <c r="I547" s="227">
        <v>39810</v>
      </c>
      <c r="J547" s="227">
        <v>-9.9493500000000008</v>
      </c>
      <c r="K547" s="227">
        <v>27.765000000000001</v>
      </c>
      <c r="M547" s="227">
        <v>39810</v>
      </c>
      <c r="N547" s="232">
        <v>-4.5564999999999998</v>
      </c>
      <c r="O547" s="232">
        <v>-133.94999999999999</v>
      </c>
      <c r="P547" s="232"/>
      <c r="Q547" s="232"/>
    </row>
    <row r="548" spans="9:17" ht="15" x14ac:dyDescent="0.25">
      <c r="I548" s="227">
        <v>50120</v>
      </c>
      <c r="J548" s="227">
        <v>-10.9834</v>
      </c>
      <c r="K548" s="227">
        <v>15.042999999999999</v>
      </c>
      <c r="M548" s="227">
        <v>50120</v>
      </c>
      <c r="N548" s="232">
        <v>-5.5935600000000001</v>
      </c>
      <c r="O548" s="232">
        <v>-142.86000000000001</v>
      </c>
      <c r="P548" s="232"/>
      <c r="Q548" s="232"/>
    </row>
    <row r="549" spans="9:17" ht="15" x14ac:dyDescent="0.25">
      <c r="I549" s="227">
        <v>63100</v>
      </c>
      <c r="J549" s="227">
        <v>-11.75</v>
      </c>
      <c r="K549" s="227">
        <v>-1.2692000000000001</v>
      </c>
      <c r="M549" s="227">
        <v>63100</v>
      </c>
      <c r="N549" s="232">
        <v>-6.4191700000000003</v>
      </c>
      <c r="O549" s="232">
        <v>-151.83000000000001</v>
      </c>
      <c r="P549" s="232"/>
      <c r="Q549" s="232"/>
    </row>
    <row r="550" spans="9:17" ht="15" x14ac:dyDescent="0.25">
      <c r="I550" s="227">
        <v>79440</v>
      </c>
      <c r="J550" s="227">
        <v>-12.6732</v>
      </c>
      <c r="K550" s="227">
        <v>-16.631</v>
      </c>
      <c r="M550" s="227">
        <v>79440</v>
      </c>
      <c r="N550" s="232">
        <v>-6.9911099999999999</v>
      </c>
      <c r="O550" s="232">
        <v>-161.02000000000001</v>
      </c>
      <c r="P550" s="232"/>
      <c r="Q550" s="232"/>
    </row>
    <row r="551" spans="9:17" ht="15" x14ac:dyDescent="0.25">
      <c r="I551" s="227">
        <v>100000</v>
      </c>
      <c r="J551" s="227">
        <v>-13.494400000000001</v>
      </c>
      <c r="K551" s="227">
        <v>-32.988999999999997</v>
      </c>
      <c r="M551" s="227">
        <v>100000</v>
      </c>
      <c r="N551" s="232">
        <v>-7.3113000000000001</v>
      </c>
      <c r="O551" s="232">
        <v>-169.62</v>
      </c>
      <c r="P551" s="232"/>
      <c r="Q551" s="232"/>
    </row>
    <row r="552" spans="9:17" ht="15" x14ac:dyDescent="0.25">
      <c r="I552" s="227">
        <v>125900</v>
      </c>
      <c r="J552" s="227">
        <v>-14.252599999999999</v>
      </c>
      <c r="K552" s="227">
        <v>-50.472999999999999</v>
      </c>
      <c r="M552" s="227">
        <v>125900</v>
      </c>
      <c r="N552" s="232">
        <v>-7.4893900000000002</v>
      </c>
      <c r="O552" s="232">
        <v>-179.77</v>
      </c>
      <c r="P552" s="232"/>
      <c r="Q552" s="232"/>
    </row>
    <row r="553" spans="9:17" ht="15" x14ac:dyDescent="0.25">
      <c r="I553" s="227">
        <v>158500</v>
      </c>
      <c r="J553" s="227">
        <v>-14.984500000000001</v>
      </c>
      <c r="K553" s="227">
        <v>-69.144000000000005</v>
      </c>
      <c r="M553" s="227">
        <v>158500</v>
      </c>
      <c r="N553" s="232">
        <v>-7.4759000000000002</v>
      </c>
      <c r="O553" s="232">
        <v>169.67</v>
      </c>
      <c r="P553" s="232"/>
      <c r="Q553" s="232"/>
    </row>
    <row r="554" spans="9:17" ht="15" x14ac:dyDescent="0.25">
      <c r="I554" s="227">
        <v>199500</v>
      </c>
      <c r="J554" s="227">
        <v>-15.6913</v>
      </c>
      <c r="K554" s="227">
        <v>-89.822000000000003</v>
      </c>
      <c r="M554" s="227">
        <v>199500</v>
      </c>
      <c r="N554" s="232">
        <v>-7.1994300000000004</v>
      </c>
      <c r="O554" s="232">
        <v>156.46</v>
      </c>
      <c r="P554" s="232"/>
      <c r="Q554" s="232"/>
    </row>
    <row r="555" spans="9:17" ht="15" x14ac:dyDescent="0.25">
      <c r="I555" s="227">
        <v>251200</v>
      </c>
      <c r="J555" s="227">
        <v>-16.584</v>
      </c>
      <c r="K555" s="227">
        <v>-113.72</v>
      </c>
      <c r="M555" s="227">
        <v>251200</v>
      </c>
      <c r="N555" s="232">
        <v>-6.92408</v>
      </c>
      <c r="O555" s="232">
        <v>139.71</v>
      </c>
      <c r="P555" s="232"/>
      <c r="Q555" s="232"/>
    </row>
    <row r="556" spans="9:17" ht="15" x14ac:dyDescent="0.25">
      <c r="I556" s="227">
        <v>316200</v>
      </c>
      <c r="J556" s="227">
        <v>-18.080200000000001</v>
      </c>
      <c r="K556" s="227">
        <v>-145.29</v>
      </c>
      <c r="M556" s="227">
        <v>316200</v>
      </c>
      <c r="N556" s="232">
        <v>-6.6042899999999998</v>
      </c>
      <c r="O556" s="232">
        <v>112.86</v>
      </c>
      <c r="P556" s="232"/>
      <c r="Q556" s="232"/>
    </row>
    <row r="557" spans="9:17" ht="15" x14ac:dyDescent="0.25">
      <c r="I557" s="227">
        <v>398100</v>
      </c>
      <c r="J557" s="227">
        <v>-23.304200000000002</v>
      </c>
      <c r="K557" s="227">
        <v>176.66</v>
      </c>
      <c r="M557" s="227">
        <v>398100</v>
      </c>
      <c r="N557" s="232">
        <v>-8.0669299999999993</v>
      </c>
      <c r="O557" s="232">
        <v>73.507000000000005</v>
      </c>
      <c r="P557" s="232"/>
      <c r="Q557" s="232"/>
    </row>
    <row r="558" spans="9:17" ht="15" x14ac:dyDescent="0.25">
      <c r="I558" s="227">
        <v>501200</v>
      </c>
      <c r="J558" s="227">
        <v>-38.991999999999997</v>
      </c>
      <c r="K558" s="227">
        <v>-165.65</v>
      </c>
      <c r="M558" s="227">
        <v>501200</v>
      </c>
      <c r="N558" s="232">
        <v>-13.757400000000001</v>
      </c>
      <c r="O558" s="232">
        <v>30.117999999999999</v>
      </c>
      <c r="P558" s="232"/>
      <c r="Q558" s="232"/>
    </row>
    <row r="559" spans="9:17" ht="15" x14ac:dyDescent="0.25">
      <c r="I559" s="227">
        <v>631000</v>
      </c>
      <c r="J559" s="227">
        <v>-30.333600000000001</v>
      </c>
      <c r="K559" s="227">
        <v>-88.369</v>
      </c>
      <c r="M559" s="227">
        <v>631000</v>
      </c>
      <c r="N559" s="232">
        <v>-23.852499999999999</v>
      </c>
      <c r="O559" s="232">
        <v>-3.9874999999999998</v>
      </c>
      <c r="P559" s="232"/>
      <c r="Q559" s="232"/>
    </row>
    <row r="560" spans="9:17" ht="15" x14ac:dyDescent="0.25">
      <c r="I560" s="227">
        <v>794400</v>
      </c>
      <c r="J560" s="227">
        <v>-25.927700000000002</v>
      </c>
      <c r="K560" s="227">
        <v>-95.198999999999998</v>
      </c>
      <c r="M560" s="227">
        <v>794400</v>
      </c>
      <c r="N560" s="232">
        <v>-23.9956</v>
      </c>
      <c r="O560" s="232">
        <v>159.97</v>
      </c>
      <c r="P560" s="232"/>
      <c r="Q560" s="232"/>
    </row>
    <row r="561" spans="9:17" ht="15" x14ac:dyDescent="0.25">
      <c r="I561" s="233">
        <v>1000000</v>
      </c>
      <c r="J561" s="227">
        <v>-25.588000000000001</v>
      </c>
      <c r="K561" s="227">
        <v>-97.18</v>
      </c>
      <c r="M561" s="233">
        <v>1000000</v>
      </c>
      <c r="N561" s="232">
        <v>-14.6715</v>
      </c>
      <c r="O561" s="232">
        <v>91.450999999999993</v>
      </c>
      <c r="P561" s="232"/>
      <c r="Q561" s="234"/>
    </row>
    <row r="562" spans="9:17" ht="15" x14ac:dyDescent="0.25">
      <c r="N562" s="232"/>
      <c r="O562" s="232"/>
      <c r="P562" s="232"/>
      <c r="Q562" s="232"/>
    </row>
    <row r="563" spans="9:17" ht="15" x14ac:dyDescent="0.25">
      <c r="K563" s="233"/>
      <c r="L563" s="233"/>
      <c r="N563" s="232"/>
      <c r="O563" s="232"/>
      <c r="P563" s="232"/>
      <c r="Q563" s="232"/>
    </row>
    <row r="564" spans="9:17" ht="15" x14ac:dyDescent="0.25">
      <c r="N564" s="232"/>
      <c r="O564" s="232"/>
      <c r="P564" s="232"/>
      <c r="Q564" s="232"/>
    </row>
    <row r="565" spans="9:17" ht="15" x14ac:dyDescent="0.25">
      <c r="N565" s="232"/>
      <c r="O565" s="232"/>
      <c r="P565" s="232"/>
      <c r="Q565" s="232"/>
    </row>
    <row r="566" spans="9:17" ht="15" x14ac:dyDescent="0.25">
      <c r="N566" s="232"/>
      <c r="O566" s="232"/>
      <c r="P566" s="232"/>
      <c r="Q566" s="232"/>
    </row>
    <row r="567" spans="9:17" ht="15" x14ac:dyDescent="0.25">
      <c r="N567" s="232"/>
      <c r="O567" s="232"/>
      <c r="P567" s="232"/>
      <c r="Q567" s="232"/>
    </row>
    <row r="568" spans="9:17" ht="15" x14ac:dyDescent="0.25">
      <c r="N568" s="232"/>
      <c r="O568" s="232"/>
      <c r="P568" s="232"/>
      <c r="Q568" s="232"/>
    </row>
    <row r="569" spans="9:17" ht="15" x14ac:dyDescent="0.25">
      <c r="N569" s="232"/>
      <c r="O569" s="232"/>
      <c r="P569" s="232"/>
      <c r="Q569" s="232"/>
    </row>
    <row r="570" spans="9:17" ht="15" x14ac:dyDescent="0.25">
      <c r="N570" s="232"/>
      <c r="O570" s="232"/>
      <c r="P570" s="232"/>
      <c r="Q570" s="232"/>
    </row>
    <row r="571" spans="9:17" ht="15" x14ac:dyDescent="0.25">
      <c r="N571" s="232"/>
      <c r="O571" s="232"/>
      <c r="P571" s="232"/>
      <c r="Q571" s="232"/>
    </row>
    <row r="572" spans="9:17" ht="15" x14ac:dyDescent="0.25">
      <c r="N572" s="232"/>
      <c r="O572" s="232"/>
      <c r="P572" s="232"/>
      <c r="Q572" s="232"/>
    </row>
    <row r="573" spans="9:17" ht="15" x14ac:dyDescent="0.25">
      <c r="N573" s="232"/>
      <c r="O573" s="232"/>
      <c r="P573" s="232"/>
      <c r="Q573" s="232"/>
    </row>
    <row r="574" spans="9:17" ht="15" x14ac:dyDescent="0.25">
      <c r="N574" s="232"/>
      <c r="O574" s="232"/>
      <c r="P574" s="232"/>
      <c r="Q574" s="232"/>
    </row>
    <row r="575" spans="9:17" ht="15" x14ac:dyDescent="0.25">
      <c r="N575" s="232"/>
      <c r="O575" s="232"/>
      <c r="P575" s="232"/>
      <c r="Q575" s="232"/>
    </row>
    <row r="576" spans="9:17" ht="15" x14ac:dyDescent="0.25">
      <c r="N576" s="232"/>
      <c r="O576" s="232"/>
      <c r="P576" s="232"/>
      <c r="Q576" s="232"/>
    </row>
    <row r="577" spans="14:17" ht="15" x14ac:dyDescent="0.25">
      <c r="N577" s="232"/>
      <c r="O577" s="232"/>
      <c r="P577" s="232"/>
      <c r="Q577" s="232"/>
    </row>
    <row r="578" spans="14:17" ht="15" x14ac:dyDescent="0.25">
      <c r="N578" s="232"/>
      <c r="O578" s="232"/>
      <c r="P578" s="232"/>
      <c r="Q578" s="232"/>
    </row>
    <row r="579" spans="14:17" ht="15" x14ac:dyDescent="0.25">
      <c r="N579" s="232"/>
      <c r="O579" s="232"/>
      <c r="P579" s="232"/>
      <c r="Q579" s="232"/>
    </row>
    <row r="580" spans="14:17" ht="15" x14ac:dyDescent="0.25">
      <c r="N580" s="232"/>
      <c r="O580" s="232"/>
      <c r="P580" s="232"/>
      <c r="Q580" s="232"/>
    </row>
    <row r="581" spans="14:17" ht="15" x14ac:dyDescent="0.25">
      <c r="N581" s="232"/>
      <c r="O581" s="232"/>
      <c r="P581" s="232"/>
      <c r="Q581" s="232"/>
    </row>
    <row r="582" spans="14:17" ht="15" x14ac:dyDescent="0.25">
      <c r="N582" s="232"/>
      <c r="O582" s="232"/>
      <c r="P582" s="232"/>
      <c r="Q582" s="232"/>
    </row>
    <row r="583" spans="14:17" ht="15" x14ac:dyDescent="0.25">
      <c r="N583" s="232"/>
      <c r="O583" s="232"/>
      <c r="P583" s="232"/>
      <c r="Q583" s="232"/>
    </row>
    <row r="584" spans="14:17" ht="15" x14ac:dyDescent="0.25">
      <c r="N584" s="232"/>
      <c r="O584" s="232"/>
      <c r="P584" s="232"/>
      <c r="Q584" s="232"/>
    </row>
    <row r="585" spans="14:17" ht="15" x14ac:dyDescent="0.25">
      <c r="N585" s="232"/>
      <c r="O585" s="232"/>
      <c r="P585" s="232"/>
      <c r="Q585" s="232"/>
    </row>
    <row r="586" spans="14:17" ht="15" x14ac:dyDescent="0.25">
      <c r="N586" s="232"/>
      <c r="O586" s="232"/>
      <c r="P586" s="232"/>
      <c r="Q586" s="232"/>
    </row>
    <row r="587" spans="14:17" ht="15" x14ac:dyDescent="0.25">
      <c r="N587" s="232"/>
      <c r="O587" s="232"/>
      <c r="P587" s="232"/>
      <c r="Q587" s="232"/>
    </row>
    <row r="588" spans="14:17" ht="15" x14ac:dyDescent="0.25">
      <c r="N588" s="232"/>
      <c r="O588" s="232"/>
      <c r="P588" s="232"/>
      <c r="Q588" s="232"/>
    </row>
    <row r="589" spans="14:17" ht="15" x14ac:dyDescent="0.25">
      <c r="N589" s="232"/>
      <c r="O589" s="232"/>
      <c r="P589" s="232"/>
      <c r="Q589" s="232"/>
    </row>
    <row r="590" spans="14:17" ht="15" x14ac:dyDescent="0.25">
      <c r="N590" s="232"/>
      <c r="O590" s="232"/>
      <c r="P590" s="232"/>
      <c r="Q590" s="232"/>
    </row>
    <row r="591" spans="14:17" ht="15" x14ac:dyDescent="0.25">
      <c r="N591" s="232"/>
      <c r="O591" s="232"/>
      <c r="P591" s="232"/>
      <c r="Q591" s="232"/>
    </row>
    <row r="592" spans="14:17" ht="15" x14ac:dyDescent="0.25">
      <c r="N592" s="232"/>
      <c r="O592" s="232"/>
      <c r="P592" s="232"/>
      <c r="Q592" s="232"/>
    </row>
    <row r="593" spans="14:17" ht="15" x14ac:dyDescent="0.25">
      <c r="N593" s="232"/>
      <c r="O593" s="232"/>
      <c r="P593" s="232"/>
      <c r="Q593" s="232"/>
    </row>
    <row r="612" spans="9:17" x14ac:dyDescent="0.2">
      <c r="I612" s="233"/>
      <c r="M612" s="233"/>
      <c r="Q612" s="233"/>
    </row>
  </sheetData>
  <sheetProtection sheet="1"/>
  <mergeCells count="5">
    <mergeCell ref="C20:D20"/>
    <mergeCell ref="B2:D2"/>
    <mergeCell ref="E2:G2"/>
    <mergeCell ref="E26:G26"/>
    <mergeCell ref="E21:G21"/>
  </mergeCells>
  <phoneticPr fontId="0" type="noConversion"/>
  <conditionalFormatting sqref="F23">
    <cfRule type="cellIs" dxfId="1" priority="1" stopIfTrue="1" operator="lessThan">
      <formula>60</formula>
    </cfRule>
  </conditionalFormatting>
  <conditionalFormatting sqref="F24">
    <cfRule type="cellIs" dxfId="0" priority="2" stopIfTrue="1" operator="greaterThan">
      <formula>-10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1D64-F6B9-41E4-9047-93D90D515103}">
  <sheetPr>
    <pageSetUpPr fitToPage="1"/>
  </sheetPr>
  <dimension ref="A1:L146"/>
  <sheetViews>
    <sheetView zoomScaleNormal="100" workbookViewId="0">
      <selection activeCell="B42" sqref="B42"/>
    </sheetView>
  </sheetViews>
  <sheetFormatPr defaultRowHeight="12.75" x14ac:dyDescent="0.2"/>
  <cols>
    <col min="1" max="1" width="9.140625" style="10" customWidth="1"/>
    <col min="2" max="2" width="19.28515625" style="10" bestFit="1" customWidth="1"/>
    <col min="3" max="3" width="12.42578125" style="10" bestFit="1" customWidth="1"/>
    <col min="4" max="4" width="7.7109375" style="10" customWidth="1"/>
    <col min="5" max="8" width="8.7109375" style="3" customWidth="1"/>
    <col min="9" max="9" width="8.7109375" style="5" customWidth="1"/>
    <col min="10" max="11" width="9.140625" style="36" customWidth="1"/>
    <col min="12" max="12" width="4.7109375" style="36" bestFit="1" customWidth="1"/>
    <col min="13" max="17" width="9.140625" style="3" customWidth="1"/>
    <col min="18" max="16384" width="9.140625" style="3"/>
  </cols>
  <sheetData>
    <row r="1" spans="1:12" ht="18" x14ac:dyDescent="0.25">
      <c r="A1" s="4" t="s">
        <v>102</v>
      </c>
    </row>
    <row r="2" spans="1:12" ht="18.75" thickBot="1" x14ac:dyDescent="0.3">
      <c r="A2" s="2"/>
      <c r="B2" s="3"/>
      <c r="C2" s="3"/>
      <c r="D2" s="3"/>
      <c r="E2" s="4" t="s">
        <v>70</v>
      </c>
      <c r="J2" s="4" t="s">
        <v>71</v>
      </c>
      <c r="K2" s="10"/>
      <c r="L2" s="10"/>
    </row>
    <row r="3" spans="1:12" ht="13.5" thickBot="1" x14ac:dyDescent="0.25">
      <c r="A3" s="3"/>
      <c r="B3" s="6" t="s">
        <v>72</v>
      </c>
      <c r="C3" s="7">
        <v>100</v>
      </c>
      <c r="D3" s="28">
        <f>(IF((10^(LOG(C3)-INT(LOG(C3)))*100)-VLOOKUP((10^(LOG(C3)-INT(LOG(C3)))*100),E96_s:E96_f,1)&lt;VLOOKUP((10^(LOG(C3)-INT(LOG(C3)))*100),E96_s:E96_f,2)-(10^(LOG(C3)-INT(LOG(C3)))*100),VLOOKUP((10^(LOG(C3)-INT(LOG(C3)))*100),E96_s:E96_f,1),VLOOKUP((10^(LOG(C3)-INT(LOG(C3)))*100),E96_s:E96_f,2)))*10^INT(LOG(C3))/100</f>
        <v>100</v>
      </c>
      <c r="E3" s="271" t="s">
        <v>73</v>
      </c>
      <c r="F3" s="272"/>
      <c r="G3" s="273" t="s">
        <v>74</v>
      </c>
      <c r="H3" s="274"/>
      <c r="J3" s="8" t="s">
        <v>75</v>
      </c>
      <c r="K3" s="47">
        <v>6.8999999999999994E-11</v>
      </c>
      <c r="L3" s="9" t="s">
        <v>7</v>
      </c>
    </row>
    <row r="4" spans="1:12" ht="13.5" thickBot="1" x14ac:dyDescent="0.25">
      <c r="B4" s="3"/>
      <c r="E4" s="11">
        <v>100</v>
      </c>
      <c r="F4" s="12">
        <v>150</v>
      </c>
      <c r="G4" s="13">
        <v>100</v>
      </c>
      <c r="H4" s="14">
        <v>102</v>
      </c>
      <c r="J4" s="8"/>
      <c r="K4" s="46">
        <f>IF(K3*10^12&lt;10000,IF((10^(LOG(K3*10^12)-INT(LOG(K3*10^12))))-VLOOKUP((10^(LOG(K3*10^12)-INT(LOG(K3*10^12)))),c_s1:C_f1,1)&lt;VLOOKUP((10^(LOG(K3*10^12)-INT(LOG(K3*10^12)))),c_s1:C_f1,2)-(10^(LOG(K3*10^12)-INT(LOG(K3*10^12)))),VLOOKUP((10^(LOG(K3*10^12)-INT(LOG(K3*10^12)))),c_s1:C_f1,1),VLOOKUP((10^(LOG(K3*10^12)-INT(LOG(K3*10^12)))),c_s1:C_f1,2))*10^INT(LOG(K3*10^12)),IF((10^(LOG(K3*10^12)-INT(LOG(K3*10^12))))-VLOOKUP((10^(LOG(K3*10^12)-INT(LOG(K3*10^12)))),C_s2:C_f2,1)&lt;VLOOKUP((10^(LOG(K3*10^12)-INT(LOG(K3*10^12)))),C_s2:C_f2,2)-(10^(LOG(K3*10^12)-INT(LOG(K3*10^12)))),VLOOKUP((10^(LOG(K3*10^12)-INT(LOG(K3*10^12)))),C_s2:C_f2,1),VLOOKUP((10^(LOG(K3*10^12)-INT(LOG(K3*10^12)))),C_s2:C_f2,2))*10^INT(LOG(K3*10^12)))*10^-12</f>
        <v>6.7999999999999998E-11</v>
      </c>
      <c r="L4" s="15" t="s">
        <v>7</v>
      </c>
    </row>
    <row r="5" spans="1:12" ht="13.5" thickBot="1" x14ac:dyDescent="0.25">
      <c r="B5" s="16" t="s">
        <v>76</v>
      </c>
      <c r="C5" s="17">
        <f>(IF((10^(LOG(C3)-INT(LOG(C3)))*100)-VLOOKUP((10^(LOG(C3)-INT(LOG(C3)))*100),E6_s:E6_f,1)&lt;VLOOKUP((10^(LOG(C3)-INT(LOG(C3)))*100),E6_s:E6_f,2)-(10^(LOG(C3)-INT(LOG(C3)))*100),VLOOKUP((10^(LOG(C3)-INT(LOG(C3)))*100),E6_s:E6_f,1),VLOOKUP((10^(LOG(C3)-INT(LOG(C3)))*100),E6_s:E6_f,2)))*10^INT(LOG(C3))/100</f>
        <v>100</v>
      </c>
      <c r="E5" s="12">
        <v>150</v>
      </c>
      <c r="F5" s="11">
        <v>220</v>
      </c>
      <c r="G5" s="14">
        <v>102</v>
      </c>
      <c r="H5" s="13">
        <v>105</v>
      </c>
      <c r="J5" s="18"/>
      <c r="K5" s="19"/>
      <c r="L5" s="20"/>
    </row>
    <row r="6" spans="1:12" ht="13.5" thickBot="1" x14ac:dyDescent="0.25">
      <c r="B6" s="21" t="s">
        <v>77</v>
      </c>
      <c r="C6" s="22">
        <f>(IF((10^(LOG(C3)-INT(LOG(C3)))*100)-VLOOKUP((10^(LOG(C3)-INT(LOG(C3)))*100),E12_s:E12_f,1)&lt;VLOOKUP((10^(LOG(C3)-INT(LOG(C3)))*100),E12_s:E12_f,2)-(10^(LOG(C3)-INT(LOG(C3)))*100),VLOOKUP((10^(LOG(C3)-INT(LOG(C3)))*100),E12_s:E12_f,1),VLOOKUP((10^(LOG(C3)-INT(LOG(C3)))*100),E12_s:E12_f,2)))*10^INT(LOG(C3))/100</f>
        <v>100</v>
      </c>
      <c r="E6" s="11">
        <v>220</v>
      </c>
      <c r="F6" s="12">
        <v>330</v>
      </c>
      <c r="G6" s="13">
        <v>105</v>
      </c>
      <c r="H6" s="14">
        <v>107</v>
      </c>
      <c r="J6" s="23" t="s">
        <v>78</v>
      </c>
      <c r="K6" s="24"/>
      <c r="L6" s="3"/>
    </row>
    <row r="7" spans="1:12" ht="13.5" thickBot="1" x14ac:dyDescent="0.25">
      <c r="B7" s="21" t="s">
        <v>79</v>
      </c>
      <c r="C7" s="22">
        <f>(IF((10^(LOG(C3)-INT(LOG(C3)))*100)-VLOOKUP((10^(LOG(C3)-INT(LOG(C3)))*100),E24_s:E24_f,1)&lt;VLOOKUP((10^(LOG(C3)-INT(LOG(C3)))*100),E24_s:E24_f,2)-(10^(LOG(C3)-INT(LOG(C3)))*100),VLOOKUP((10^(LOG(C3)-INT(LOG(C3)))*100),E24_s:E24_f,1),VLOOKUP((10^(LOG(C3)-INT(LOG(C3)))*100),E24_s:E24_f,2)))*10^INT(LOG(C3))/100</f>
        <v>100</v>
      </c>
      <c r="E7" s="12">
        <v>330</v>
      </c>
      <c r="F7" s="11">
        <v>470</v>
      </c>
      <c r="G7" s="14">
        <v>107</v>
      </c>
      <c r="H7" s="13">
        <v>110</v>
      </c>
      <c r="J7" s="24">
        <v>1</v>
      </c>
      <c r="K7" s="24">
        <v>1.2</v>
      </c>
      <c r="L7" s="25">
        <f>IF((10^(LOG(K3)-INT(LOG(K3))))-VLOOKUP((10^(LOG(K3)-INT(LOG(K3)))),c_s1:C_f1,1)&lt;VLOOKUP((10^(LOG(K3)-INT(LOG(K3)))),c_s1:C_f1,2)-(10^(LOG(K3)-INT(LOG(K3)))),VLOOKUP((10^(LOG(K3)-INT(LOG(K3)))),c_s1:C_f1,1),VLOOKUP((10^(LOG(K3)-INT(LOG(K3)))),c_s1:C_f1,2))</f>
        <v>6.8</v>
      </c>
    </row>
    <row r="8" spans="1:12" ht="13.5" thickBot="1" x14ac:dyDescent="0.25">
      <c r="B8" s="21" t="s">
        <v>80</v>
      </c>
      <c r="C8" s="22">
        <f>(IF((10^(LOG(C3)-INT(LOG(C3)))*100)-VLOOKUP((10^(LOG(C3)-INT(LOG(C3)))*100),E48_s:E48_f,1)&lt;VLOOKUP((10^(LOG(C3)-INT(LOG(C3)))*100),E48_s:E48_f,2)-(10^(LOG(C3)-INT(LOG(C3)))*100),VLOOKUP((10^(LOG(C3)-INT(LOG(C3)))*100),E48_s:E48_f,1),VLOOKUP((10^(LOG(C3)-INT(LOG(C3)))*100),E48_s:E48_f,2)))*10^INT(LOG(C3))/100</f>
        <v>100</v>
      </c>
      <c r="E8" s="11">
        <v>470</v>
      </c>
      <c r="F8" s="12">
        <v>680</v>
      </c>
      <c r="G8" s="13">
        <v>110</v>
      </c>
      <c r="H8" s="14">
        <v>113</v>
      </c>
      <c r="J8" s="24">
        <v>1.2</v>
      </c>
      <c r="K8" s="24">
        <v>1.5</v>
      </c>
      <c r="L8" s="26"/>
    </row>
    <row r="9" spans="1:12" ht="13.5" thickBot="1" x14ac:dyDescent="0.25">
      <c r="B9" s="27" t="s">
        <v>81</v>
      </c>
      <c r="D9" s="3"/>
      <c r="E9" s="12">
        <v>680</v>
      </c>
      <c r="F9" s="12">
        <v>1000</v>
      </c>
      <c r="G9" s="14">
        <v>113</v>
      </c>
      <c r="H9" s="13">
        <v>115</v>
      </c>
      <c r="J9" s="24">
        <v>1.5</v>
      </c>
      <c r="K9" s="24">
        <v>1.8</v>
      </c>
      <c r="L9" s="26"/>
    </row>
    <row r="10" spans="1:12" ht="13.5" thickBot="1" x14ac:dyDescent="0.25">
      <c r="E10" s="275" t="s">
        <v>82</v>
      </c>
      <c r="F10" s="276"/>
      <c r="G10" s="13">
        <v>115</v>
      </c>
      <c r="H10" s="14">
        <v>118</v>
      </c>
      <c r="J10" s="24">
        <v>1.8</v>
      </c>
      <c r="K10" s="24">
        <v>2.2000000000000002</v>
      </c>
      <c r="L10" s="3"/>
    </row>
    <row r="11" spans="1:12" ht="13.5" thickBot="1" x14ac:dyDescent="0.25">
      <c r="B11" s="3"/>
      <c r="C11" s="3"/>
      <c r="E11" s="30">
        <v>100</v>
      </c>
      <c r="F11" s="31">
        <v>120</v>
      </c>
      <c r="G11" s="14">
        <v>118</v>
      </c>
      <c r="H11" s="13">
        <v>121</v>
      </c>
      <c r="J11" s="24">
        <v>2.2000000000000002</v>
      </c>
      <c r="K11" s="24">
        <v>2.7</v>
      </c>
      <c r="L11" s="3"/>
    </row>
    <row r="12" spans="1:12" ht="13.5" thickBot="1" x14ac:dyDescent="0.25">
      <c r="E12" s="31">
        <v>120</v>
      </c>
      <c r="F12" s="31">
        <v>150</v>
      </c>
      <c r="G12" s="13">
        <v>121</v>
      </c>
      <c r="H12" s="14">
        <v>124</v>
      </c>
      <c r="J12" s="24">
        <v>2.7</v>
      </c>
      <c r="K12" s="24">
        <v>3.3</v>
      </c>
      <c r="L12" s="3"/>
    </row>
    <row r="13" spans="1:12" ht="13.5" thickBot="1" x14ac:dyDescent="0.25">
      <c r="E13" s="31">
        <v>150</v>
      </c>
      <c r="F13" s="31">
        <v>180</v>
      </c>
      <c r="G13" s="14">
        <v>124</v>
      </c>
      <c r="H13" s="13">
        <v>127</v>
      </c>
      <c r="J13" s="24">
        <v>3.3</v>
      </c>
      <c r="K13" s="24">
        <v>3.9</v>
      </c>
      <c r="L13" s="3"/>
    </row>
    <row r="14" spans="1:12" ht="13.5" thickBot="1" x14ac:dyDescent="0.25">
      <c r="E14" s="31">
        <v>180</v>
      </c>
      <c r="F14" s="30">
        <v>220</v>
      </c>
      <c r="G14" s="13">
        <v>127</v>
      </c>
      <c r="H14" s="14">
        <v>130</v>
      </c>
      <c r="J14" s="24">
        <v>3.9</v>
      </c>
      <c r="K14" s="24">
        <v>4.7</v>
      </c>
      <c r="L14" s="3"/>
    </row>
    <row r="15" spans="1:12" ht="13.5" thickBot="1" x14ac:dyDescent="0.25">
      <c r="D15" s="32"/>
      <c r="E15" s="30">
        <v>220</v>
      </c>
      <c r="F15" s="31">
        <v>270</v>
      </c>
      <c r="G15" s="14">
        <v>130</v>
      </c>
      <c r="H15" s="13">
        <v>133</v>
      </c>
      <c r="J15" s="24">
        <v>4.7</v>
      </c>
      <c r="K15" s="24">
        <v>5.6</v>
      </c>
      <c r="L15" s="3"/>
    </row>
    <row r="16" spans="1:12" ht="13.5" thickBot="1" x14ac:dyDescent="0.25">
      <c r="A16" s="33"/>
      <c r="B16" s="34"/>
      <c r="D16" s="35"/>
      <c r="E16" s="31">
        <v>270</v>
      </c>
      <c r="F16" s="31">
        <v>330</v>
      </c>
      <c r="G16" s="13">
        <v>133</v>
      </c>
      <c r="H16" s="14">
        <v>137</v>
      </c>
      <c r="J16" s="24">
        <v>5.6</v>
      </c>
      <c r="K16" s="24">
        <v>6.8</v>
      </c>
      <c r="L16" s="3"/>
    </row>
    <row r="17" spans="1:12" ht="13.5" thickBot="1" x14ac:dyDescent="0.25">
      <c r="A17" s="33"/>
      <c r="B17" s="34"/>
      <c r="D17" s="35"/>
      <c r="E17" s="31">
        <v>330</v>
      </c>
      <c r="F17" s="31">
        <v>390</v>
      </c>
      <c r="G17" s="14">
        <v>137</v>
      </c>
      <c r="H17" s="13">
        <v>140</v>
      </c>
      <c r="J17" s="24">
        <v>6.8</v>
      </c>
      <c r="K17" s="24">
        <v>8.1999999999999993</v>
      </c>
      <c r="L17" s="3"/>
    </row>
    <row r="18" spans="1:12" ht="13.5" thickBot="1" x14ac:dyDescent="0.25">
      <c r="A18" s="33"/>
      <c r="B18" s="34"/>
      <c r="D18" s="35"/>
      <c r="E18" s="31">
        <v>390</v>
      </c>
      <c r="F18" s="30">
        <v>470</v>
      </c>
      <c r="G18" s="13">
        <v>140</v>
      </c>
      <c r="H18" s="14">
        <v>143</v>
      </c>
      <c r="J18" s="24">
        <v>8.1999999999999993</v>
      </c>
      <c r="K18" s="24">
        <v>10</v>
      </c>
      <c r="L18" s="3"/>
    </row>
    <row r="19" spans="1:12" ht="13.5" thickBot="1" x14ac:dyDescent="0.25">
      <c r="A19" s="33"/>
      <c r="B19" s="34"/>
      <c r="D19" s="35"/>
      <c r="E19" s="30">
        <v>470</v>
      </c>
      <c r="F19" s="31">
        <v>560</v>
      </c>
      <c r="G19" s="14">
        <v>143</v>
      </c>
      <c r="H19" s="13">
        <v>147</v>
      </c>
      <c r="J19" s="23" t="s">
        <v>83</v>
      </c>
      <c r="K19" s="24"/>
      <c r="L19" s="24"/>
    </row>
    <row r="20" spans="1:12" ht="13.5" thickBot="1" x14ac:dyDescent="0.25">
      <c r="A20" s="33"/>
      <c r="B20" s="34"/>
      <c r="D20" s="35"/>
      <c r="E20" s="31">
        <v>560</v>
      </c>
      <c r="F20" s="31">
        <v>680</v>
      </c>
      <c r="G20" s="13">
        <v>147</v>
      </c>
      <c r="H20" s="14">
        <v>150</v>
      </c>
      <c r="J20" s="24">
        <v>1</v>
      </c>
      <c r="K20" s="24">
        <v>1.5</v>
      </c>
      <c r="L20" s="25">
        <f>IF((10^(LOG(K3)-INT(LOG(K3))))-VLOOKUP((10^(LOG(K3)-INT(LOG(K3)))),C_s2:C_f2,1)&lt;VLOOKUP((10^(LOG(K3)-INT(LOG(K3)))),C_s2:C_f2,2)-(10^(LOG(K3)-INT(LOG(K3)))),VLOOKUP((10^(LOG(K3)-INT(LOG(K3)))),C_s2:C_f2,1),VLOOKUP((10^(LOG(K3)-INT(LOG(K3)))),C_s2:C_f2,2))</f>
        <v>6.8</v>
      </c>
    </row>
    <row r="21" spans="1:12" ht="13.5" thickBot="1" x14ac:dyDescent="0.25">
      <c r="A21" s="33"/>
      <c r="B21" s="34"/>
      <c r="D21" s="35"/>
      <c r="E21" s="29">
        <v>680</v>
      </c>
      <c r="F21" s="31">
        <v>820</v>
      </c>
      <c r="G21" s="14">
        <v>150</v>
      </c>
      <c r="H21" s="13">
        <v>154</v>
      </c>
      <c r="J21" s="24">
        <v>1.5</v>
      </c>
      <c r="K21" s="24">
        <v>2.2000000000000002</v>
      </c>
    </row>
    <row r="22" spans="1:12" ht="13.5" thickBot="1" x14ac:dyDescent="0.25">
      <c r="A22" s="33"/>
      <c r="B22" s="34"/>
      <c r="D22" s="35"/>
      <c r="E22" s="29">
        <v>820</v>
      </c>
      <c r="F22" s="31">
        <v>1000</v>
      </c>
      <c r="G22" s="13">
        <v>154</v>
      </c>
      <c r="H22" s="14">
        <v>158</v>
      </c>
      <c r="J22" s="24">
        <v>2.2000000000000002</v>
      </c>
      <c r="K22" s="24">
        <v>3.3</v>
      </c>
      <c r="L22" s="25"/>
    </row>
    <row r="23" spans="1:12" ht="13.5" thickBot="1" x14ac:dyDescent="0.25">
      <c r="A23" s="33"/>
      <c r="B23" s="34"/>
      <c r="D23" s="35"/>
      <c r="E23" s="277" t="s">
        <v>84</v>
      </c>
      <c r="F23" s="278"/>
      <c r="G23" s="14">
        <v>158</v>
      </c>
      <c r="H23" s="13">
        <v>162</v>
      </c>
      <c r="J23" s="24">
        <v>3.3</v>
      </c>
      <c r="K23" s="24">
        <v>4.7</v>
      </c>
      <c r="L23" s="25"/>
    </row>
    <row r="24" spans="1:12" ht="13.5" thickBot="1" x14ac:dyDescent="0.25">
      <c r="A24" s="33"/>
      <c r="B24" s="34"/>
      <c r="D24" s="35"/>
      <c r="E24" s="37">
        <v>100</v>
      </c>
      <c r="F24" s="38">
        <v>110</v>
      </c>
      <c r="G24" s="13">
        <v>162</v>
      </c>
      <c r="H24" s="14">
        <v>165</v>
      </c>
      <c r="J24" s="24">
        <v>4.7</v>
      </c>
      <c r="K24" s="24">
        <v>6.8</v>
      </c>
      <c r="L24" s="3"/>
    </row>
    <row r="25" spans="1:12" ht="13.5" thickBot="1" x14ac:dyDescent="0.25">
      <c r="A25" s="33"/>
      <c r="B25" s="34"/>
      <c r="D25" s="35"/>
      <c r="E25" s="38">
        <v>110</v>
      </c>
      <c r="F25" s="38">
        <v>120</v>
      </c>
      <c r="G25" s="14">
        <v>165</v>
      </c>
      <c r="H25" s="13">
        <v>169</v>
      </c>
      <c r="J25" s="24">
        <v>6.8</v>
      </c>
      <c r="K25" s="24">
        <v>10</v>
      </c>
      <c r="L25" s="3"/>
    </row>
    <row r="26" spans="1:12" ht="13.5" thickBot="1" x14ac:dyDescent="0.25">
      <c r="A26" s="33"/>
      <c r="B26" s="34"/>
      <c r="D26" s="35"/>
      <c r="E26" s="38">
        <v>120</v>
      </c>
      <c r="F26" s="38">
        <v>130</v>
      </c>
      <c r="G26" s="13">
        <v>169</v>
      </c>
      <c r="H26" s="14">
        <v>174</v>
      </c>
      <c r="J26" s="39"/>
      <c r="K26" s="39"/>
      <c r="L26" s="39"/>
    </row>
    <row r="27" spans="1:12" ht="13.5" thickBot="1" x14ac:dyDescent="0.25">
      <c r="A27" s="33"/>
      <c r="B27" s="34"/>
      <c r="D27" s="35"/>
      <c r="E27" s="38">
        <v>130</v>
      </c>
      <c r="F27" s="38">
        <v>150</v>
      </c>
      <c r="G27" s="14">
        <v>174</v>
      </c>
      <c r="H27" s="13">
        <v>178</v>
      </c>
      <c r="J27" s="39"/>
      <c r="K27" s="39"/>
      <c r="L27" s="39"/>
    </row>
    <row r="28" spans="1:12" ht="13.5" thickBot="1" x14ac:dyDescent="0.25">
      <c r="A28" s="33"/>
      <c r="B28" s="34"/>
      <c r="D28" s="35"/>
      <c r="E28" s="38">
        <v>150</v>
      </c>
      <c r="F28" s="38">
        <v>160</v>
      </c>
      <c r="G28" s="13">
        <v>178</v>
      </c>
      <c r="H28" s="14">
        <v>182</v>
      </c>
      <c r="I28" s="40"/>
      <c r="J28" s="39"/>
      <c r="K28" s="39"/>
      <c r="L28" s="39"/>
    </row>
    <row r="29" spans="1:12" ht="13.5" thickBot="1" x14ac:dyDescent="0.25">
      <c r="A29" s="33"/>
      <c r="B29" s="34"/>
      <c r="D29" s="35"/>
      <c r="E29" s="38">
        <v>160</v>
      </c>
      <c r="F29" s="38">
        <v>180</v>
      </c>
      <c r="G29" s="14">
        <v>182</v>
      </c>
      <c r="H29" s="13">
        <v>187</v>
      </c>
      <c r="I29" s="40"/>
      <c r="J29" s="39"/>
      <c r="K29" s="39"/>
      <c r="L29" s="39"/>
    </row>
    <row r="30" spans="1:12" ht="13.5" thickBot="1" x14ac:dyDescent="0.25">
      <c r="A30" s="33"/>
      <c r="B30" s="34"/>
      <c r="D30" s="35"/>
      <c r="E30" s="38">
        <v>180</v>
      </c>
      <c r="F30" s="41">
        <v>200</v>
      </c>
      <c r="G30" s="13">
        <v>187</v>
      </c>
      <c r="H30" s="14">
        <v>191</v>
      </c>
      <c r="I30" s="40"/>
      <c r="J30" s="39"/>
      <c r="K30" s="39"/>
      <c r="L30" s="39"/>
    </row>
    <row r="31" spans="1:12" ht="13.5" thickBot="1" x14ac:dyDescent="0.25">
      <c r="A31" s="33"/>
      <c r="B31" s="34"/>
      <c r="D31" s="35"/>
      <c r="E31" s="41">
        <v>200</v>
      </c>
      <c r="F31" s="37">
        <v>220</v>
      </c>
      <c r="G31" s="14">
        <v>191</v>
      </c>
      <c r="H31" s="13">
        <v>196</v>
      </c>
      <c r="I31" s="40"/>
      <c r="J31" s="39"/>
      <c r="K31" s="39"/>
      <c r="L31" s="39"/>
    </row>
    <row r="32" spans="1:12" ht="13.5" thickBot="1" x14ac:dyDescent="0.25">
      <c r="A32" s="33"/>
      <c r="B32" s="34"/>
      <c r="D32" s="35"/>
      <c r="E32" s="37">
        <v>220</v>
      </c>
      <c r="F32" s="38">
        <v>240</v>
      </c>
      <c r="G32" s="13">
        <v>196</v>
      </c>
      <c r="H32" s="14">
        <v>200</v>
      </c>
      <c r="I32" s="40"/>
      <c r="J32" s="39"/>
      <c r="K32" s="39"/>
      <c r="L32" s="39"/>
    </row>
    <row r="33" spans="1:12" ht="13.5" thickBot="1" x14ac:dyDescent="0.25">
      <c r="A33" s="33"/>
      <c r="B33" s="34"/>
      <c r="D33" s="35"/>
      <c r="E33" s="38">
        <v>240</v>
      </c>
      <c r="F33" s="38">
        <v>270</v>
      </c>
      <c r="G33" s="14">
        <v>200</v>
      </c>
      <c r="H33" s="13">
        <v>205</v>
      </c>
      <c r="I33" s="40"/>
      <c r="J33" s="39"/>
      <c r="K33" s="39"/>
      <c r="L33" s="39"/>
    </row>
    <row r="34" spans="1:12" s="43" customFormat="1" ht="13.5" thickBot="1" x14ac:dyDescent="0.25">
      <c r="A34" s="33"/>
      <c r="B34" s="34"/>
      <c r="C34" s="10"/>
      <c r="D34" s="35"/>
      <c r="E34" s="38">
        <v>270</v>
      </c>
      <c r="F34" s="38">
        <v>300</v>
      </c>
      <c r="G34" s="13">
        <v>205</v>
      </c>
      <c r="H34" s="14">
        <v>210</v>
      </c>
      <c r="I34" s="42"/>
      <c r="J34" s="39"/>
      <c r="K34" s="39"/>
      <c r="L34" s="39"/>
    </row>
    <row r="35" spans="1:12" s="43" customFormat="1" ht="13.5" thickBot="1" x14ac:dyDescent="0.25">
      <c r="E35" s="38">
        <v>300</v>
      </c>
      <c r="F35" s="38">
        <v>330</v>
      </c>
      <c r="G35" s="14">
        <v>210</v>
      </c>
      <c r="H35" s="13">
        <v>215</v>
      </c>
      <c r="I35" s="5"/>
      <c r="J35" s="39"/>
      <c r="K35" s="39"/>
      <c r="L35" s="39"/>
    </row>
    <row r="36" spans="1:12" s="43" customFormat="1" ht="13.5" thickBot="1" x14ac:dyDescent="0.25">
      <c r="E36" s="38">
        <v>330</v>
      </c>
      <c r="F36" s="38">
        <v>360</v>
      </c>
      <c r="G36" s="13">
        <v>215</v>
      </c>
      <c r="H36" s="14">
        <v>221</v>
      </c>
      <c r="I36" s="5"/>
      <c r="J36" s="39"/>
      <c r="K36" s="39"/>
      <c r="L36" s="39"/>
    </row>
    <row r="37" spans="1:12" s="43" customFormat="1" ht="13.5" thickBot="1" x14ac:dyDescent="0.25">
      <c r="E37" s="38">
        <v>360</v>
      </c>
      <c r="F37" s="38">
        <v>390</v>
      </c>
      <c r="G37" s="14">
        <v>221</v>
      </c>
      <c r="H37" s="13">
        <v>226</v>
      </c>
      <c r="I37" s="5"/>
      <c r="J37" s="39"/>
      <c r="K37" s="39"/>
      <c r="L37" s="39"/>
    </row>
    <row r="38" spans="1:12" s="43" customFormat="1" ht="13.5" thickBot="1" x14ac:dyDescent="0.25">
      <c r="E38" s="38">
        <v>390</v>
      </c>
      <c r="F38" s="41">
        <v>430</v>
      </c>
      <c r="G38" s="13">
        <v>226</v>
      </c>
      <c r="H38" s="14">
        <v>232</v>
      </c>
      <c r="I38" s="40"/>
      <c r="J38" s="39"/>
      <c r="K38" s="39"/>
      <c r="L38" s="39"/>
    </row>
    <row r="39" spans="1:12" ht="13.5" thickBot="1" x14ac:dyDescent="0.25">
      <c r="E39" s="41">
        <v>430</v>
      </c>
      <c r="F39" s="37">
        <v>470</v>
      </c>
      <c r="G39" s="14">
        <v>232</v>
      </c>
      <c r="H39" s="13">
        <v>237</v>
      </c>
      <c r="I39" s="40"/>
      <c r="J39" s="39"/>
      <c r="K39" s="39"/>
      <c r="L39" s="39"/>
    </row>
    <row r="40" spans="1:12" ht="13.5" thickBot="1" x14ac:dyDescent="0.25">
      <c r="E40" s="37">
        <v>470</v>
      </c>
      <c r="F40" s="38">
        <v>510</v>
      </c>
      <c r="G40" s="13">
        <v>237</v>
      </c>
      <c r="H40" s="14">
        <v>243</v>
      </c>
      <c r="I40" s="40"/>
      <c r="J40" s="39"/>
      <c r="K40" s="39"/>
      <c r="L40" s="39"/>
    </row>
    <row r="41" spans="1:12" ht="13.5" thickBot="1" x14ac:dyDescent="0.25">
      <c r="E41" s="38">
        <v>510</v>
      </c>
      <c r="F41" s="38">
        <v>560</v>
      </c>
      <c r="G41" s="14">
        <v>243</v>
      </c>
      <c r="H41" s="13">
        <v>249</v>
      </c>
      <c r="I41" s="40"/>
      <c r="J41" s="39"/>
      <c r="K41" s="39"/>
      <c r="L41" s="39"/>
    </row>
    <row r="42" spans="1:12" ht="13.5" thickBot="1" x14ac:dyDescent="0.25">
      <c r="E42" s="38">
        <v>560</v>
      </c>
      <c r="F42" s="38">
        <v>620</v>
      </c>
      <c r="G42" s="13">
        <v>249</v>
      </c>
      <c r="H42" s="14">
        <v>255</v>
      </c>
      <c r="I42" s="40"/>
      <c r="J42" s="39"/>
      <c r="K42" s="39"/>
      <c r="L42" s="39"/>
    </row>
    <row r="43" spans="1:12" ht="13.5" thickBot="1" x14ac:dyDescent="0.25">
      <c r="E43" s="38">
        <v>620</v>
      </c>
      <c r="F43" s="38">
        <v>680</v>
      </c>
      <c r="G43" s="14">
        <v>255</v>
      </c>
      <c r="H43" s="13">
        <v>261</v>
      </c>
      <c r="I43" s="40"/>
      <c r="J43" s="39"/>
      <c r="K43" s="39"/>
      <c r="L43" s="39"/>
    </row>
    <row r="44" spans="1:12" ht="13.5" thickBot="1" x14ac:dyDescent="0.25">
      <c r="E44" s="38">
        <v>680</v>
      </c>
      <c r="F44" s="38">
        <v>750</v>
      </c>
      <c r="G44" s="13">
        <v>261</v>
      </c>
      <c r="H44" s="14">
        <v>267</v>
      </c>
      <c r="I44" s="40"/>
      <c r="J44" s="39"/>
      <c r="K44" s="39"/>
      <c r="L44" s="39"/>
    </row>
    <row r="45" spans="1:12" ht="13.5" thickBot="1" x14ac:dyDescent="0.25">
      <c r="E45" s="38">
        <v>750</v>
      </c>
      <c r="F45" s="38">
        <v>820</v>
      </c>
      <c r="G45" s="14">
        <v>267</v>
      </c>
      <c r="H45" s="13">
        <v>274</v>
      </c>
      <c r="J45" s="39"/>
      <c r="K45" s="39"/>
      <c r="L45" s="39"/>
    </row>
    <row r="46" spans="1:12" ht="13.5" thickBot="1" x14ac:dyDescent="0.25">
      <c r="E46" s="38">
        <v>820</v>
      </c>
      <c r="F46" s="41">
        <v>910</v>
      </c>
      <c r="G46" s="13">
        <v>274</v>
      </c>
      <c r="H46" s="14">
        <v>280</v>
      </c>
      <c r="J46" s="39"/>
      <c r="K46" s="39"/>
      <c r="L46" s="39"/>
    </row>
    <row r="47" spans="1:12" ht="13.5" thickBot="1" x14ac:dyDescent="0.25">
      <c r="E47" s="41">
        <v>910</v>
      </c>
      <c r="F47" s="41">
        <v>1000</v>
      </c>
      <c r="G47" s="14">
        <v>280</v>
      </c>
      <c r="H47" s="13">
        <v>287</v>
      </c>
      <c r="J47" s="39"/>
      <c r="K47" s="39"/>
      <c r="L47" s="39"/>
    </row>
    <row r="48" spans="1:12" ht="13.5" thickBot="1" x14ac:dyDescent="0.25">
      <c r="E48" s="270" t="s">
        <v>85</v>
      </c>
      <c r="F48" s="270"/>
      <c r="G48" s="13">
        <v>287</v>
      </c>
      <c r="H48" s="14">
        <v>294</v>
      </c>
      <c r="J48" s="39"/>
      <c r="K48" s="39"/>
      <c r="L48" s="39"/>
    </row>
    <row r="49" spans="1:12" ht="13.5" thickBot="1" x14ac:dyDescent="0.25">
      <c r="E49" s="44">
        <v>100</v>
      </c>
      <c r="F49" s="44">
        <v>105</v>
      </c>
      <c r="G49" s="14">
        <v>294</v>
      </c>
      <c r="H49" s="13">
        <v>301</v>
      </c>
      <c r="J49" s="39"/>
      <c r="K49" s="39"/>
      <c r="L49" s="39"/>
    </row>
    <row r="50" spans="1:12" ht="13.5" thickBot="1" x14ac:dyDescent="0.25">
      <c r="A50" s="3"/>
      <c r="B50" s="3"/>
      <c r="C50" s="3"/>
      <c r="D50" s="3"/>
      <c r="E50" s="44">
        <v>105</v>
      </c>
      <c r="F50" s="44">
        <v>110</v>
      </c>
      <c r="G50" s="13">
        <v>301</v>
      </c>
      <c r="H50" s="14">
        <v>309</v>
      </c>
      <c r="J50" s="39"/>
      <c r="K50" s="39"/>
      <c r="L50" s="39"/>
    </row>
    <row r="51" spans="1:12" ht="13.5" thickBot="1" x14ac:dyDescent="0.25">
      <c r="A51" s="3"/>
      <c r="B51" s="3"/>
      <c r="C51" s="3"/>
      <c r="D51" s="3"/>
      <c r="E51" s="44">
        <v>110</v>
      </c>
      <c r="F51" s="44">
        <v>115</v>
      </c>
      <c r="G51" s="14">
        <v>309</v>
      </c>
      <c r="H51" s="13">
        <v>316</v>
      </c>
      <c r="J51" s="39"/>
      <c r="K51" s="39"/>
      <c r="L51" s="39"/>
    </row>
    <row r="52" spans="1:12" ht="13.5" thickBot="1" x14ac:dyDescent="0.25">
      <c r="A52" s="3"/>
      <c r="B52" s="3"/>
      <c r="C52" s="3"/>
      <c r="D52" s="3"/>
      <c r="E52" s="44">
        <v>115</v>
      </c>
      <c r="F52" s="44">
        <v>121</v>
      </c>
      <c r="G52" s="13">
        <v>316</v>
      </c>
      <c r="H52" s="14">
        <v>324</v>
      </c>
      <c r="J52" s="39"/>
      <c r="K52" s="39"/>
      <c r="L52" s="39"/>
    </row>
    <row r="53" spans="1:12" ht="13.5" thickBot="1" x14ac:dyDescent="0.25">
      <c r="A53" s="3"/>
      <c r="B53" s="3"/>
      <c r="C53" s="3"/>
      <c r="D53" s="3"/>
      <c r="E53" s="44">
        <v>121</v>
      </c>
      <c r="F53" s="44">
        <v>127</v>
      </c>
      <c r="G53" s="14">
        <v>324</v>
      </c>
      <c r="H53" s="13">
        <v>332</v>
      </c>
      <c r="J53" s="39"/>
      <c r="K53" s="39"/>
      <c r="L53" s="39"/>
    </row>
    <row r="54" spans="1:12" ht="13.5" thickBot="1" x14ac:dyDescent="0.25">
      <c r="A54" s="3"/>
      <c r="B54" s="3"/>
      <c r="C54" s="3"/>
      <c r="D54" s="3"/>
      <c r="E54" s="44">
        <v>127</v>
      </c>
      <c r="F54" s="44">
        <v>133</v>
      </c>
      <c r="G54" s="13">
        <v>332</v>
      </c>
      <c r="H54" s="14">
        <v>340</v>
      </c>
      <c r="J54" s="39"/>
      <c r="K54" s="39"/>
      <c r="L54" s="39"/>
    </row>
    <row r="55" spans="1:12" ht="13.5" thickBot="1" x14ac:dyDescent="0.25">
      <c r="A55" s="3"/>
      <c r="B55" s="3"/>
      <c r="C55" s="3"/>
      <c r="D55" s="3"/>
      <c r="E55" s="44">
        <v>133</v>
      </c>
      <c r="F55" s="44">
        <v>140</v>
      </c>
      <c r="G55" s="14">
        <v>340</v>
      </c>
      <c r="H55" s="13">
        <v>348</v>
      </c>
      <c r="J55" s="39"/>
      <c r="K55" s="39"/>
      <c r="L55" s="39"/>
    </row>
    <row r="56" spans="1:12" ht="13.5" thickBot="1" x14ac:dyDescent="0.25">
      <c r="A56" s="3"/>
      <c r="B56" s="3"/>
      <c r="C56" s="3"/>
      <c r="D56" s="3"/>
      <c r="E56" s="44">
        <v>140</v>
      </c>
      <c r="F56" s="44">
        <v>147</v>
      </c>
      <c r="G56" s="13">
        <v>348</v>
      </c>
      <c r="H56" s="14">
        <v>357</v>
      </c>
      <c r="J56" s="39"/>
      <c r="K56" s="39"/>
      <c r="L56" s="39"/>
    </row>
    <row r="57" spans="1:12" ht="13.5" thickBot="1" x14ac:dyDescent="0.25">
      <c r="A57" s="3"/>
      <c r="B57" s="3"/>
      <c r="C57" s="3"/>
      <c r="D57" s="3"/>
      <c r="E57" s="44">
        <v>147</v>
      </c>
      <c r="F57" s="44">
        <v>154</v>
      </c>
      <c r="G57" s="14">
        <v>357</v>
      </c>
      <c r="H57" s="13">
        <v>365</v>
      </c>
      <c r="J57" s="39"/>
      <c r="K57" s="39"/>
      <c r="L57" s="39"/>
    </row>
    <row r="58" spans="1:12" ht="13.5" thickBot="1" x14ac:dyDescent="0.25">
      <c r="A58" s="3"/>
      <c r="B58" s="3"/>
      <c r="C58" s="3"/>
      <c r="D58" s="3"/>
      <c r="E58" s="44">
        <v>154</v>
      </c>
      <c r="F58" s="44">
        <v>162</v>
      </c>
      <c r="G58" s="13">
        <v>365</v>
      </c>
      <c r="H58" s="14">
        <v>374</v>
      </c>
      <c r="J58" s="39"/>
      <c r="K58" s="39"/>
      <c r="L58" s="39"/>
    </row>
    <row r="59" spans="1:12" ht="13.5" thickBot="1" x14ac:dyDescent="0.25">
      <c r="A59" s="3"/>
      <c r="B59" s="3"/>
      <c r="C59" s="3"/>
      <c r="D59" s="3"/>
      <c r="E59" s="44">
        <v>162</v>
      </c>
      <c r="F59" s="44">
        <v>169</v>
      </c>
      <c r="G59" s="14">
        <v>374</v>
      </c>
      <c r="H59" s="13">
        <v>383</v>
      </c>
      <c r="J59" s="39"/>
      <c r="K59" s="39"/>
      <c r="L59" s="39"/>
    </row>
    <row r="60" spans="1:12" ht="13.5" thickBot="1" x14ac:dyDescent="0.25">
      <c r="A60" s="3"/>
      <c r="B60" s="3"/>
      <c r="C60" s="3"/>
      <c r="D60" s="3"/>
      <c r="E60" s="44">
        <v>169</v>
      </c>
      <c r="F60" s="44">
        <v>178</v>
      </c>
      <c r="G60" s="13">
        <v>383</v>
      </c>
      <c r="H60" s="14">
        <v>392</v>
      </c>
      <c r="J60" s="39"/>
      <c r="K60" s="39"/>
      <c r="L60" s="39"/>
    </row>
    <row r="61" spans="1:12" ht="13.5" thickBot="1" x14ac:dyDescent="0.25">
      <c r="A61" s="3"/>
      <c r="B61" s="3"/>
      <c r="C61" s="3"/>
      <c r="D61" s="3"/>
      <c r="E61" s="44">
        <v>178</v>
      </c>
      <c r="F61" s="44">
        <v>187</v>
      </c>
      <c r="G61" s="14">
        <v>392</v>
      </c>
      <c r="H61" s="13">
        <v>402</v>
      </c>
      <c r="J61" s="39"/>
      <c r="K61" s="39"/>
      <c r="L61" s="39"/>
    </row>
    <row r="62" spans="1:12" ht="13.5" thickBot="1" x14ac:dyDescent="0.25">
      <c r="A62" s="3"/>
      <c r="B62" s="3"/>
      <c r="C62" s="3"/>
      <c r="D62" s="3"/>
      <c r="E62" s="44">
        <v>187</v>
      </c>
      <c r="F62" s="44">
        <v>196</v>
      </c>
      <c r="G62" s="13">
        <v>402</v>
      </c>
      <c r="H62" s="14">
        <v>412</v>
      </c>
      <c r="J62" s="39"/>
      <c r="K62" s="39"/>
      <c r="L62" s="39"/>
    </row>
    <row r="63" spans="1:12" ht="13.5" thickBot="1" x14ac:dyDescent="0.25">
      <c r="A63" s="3"/>
      <c r="B63" s="3"/>
      <c r="C63" s="3"/>
      <c r="D63" s="3"/>
      <c r="E63" s="44">
        <v>196</v>
      </c>
      <c r="F63" s="44">
        <v>205</v>
      </c>
      <c r="G63" s="14">
        <v>412</v>
      </c>
      <c r="H63" s="13">
        <v>422</v>
      </c>
      <c r="J63" s="39"/>
      <c r="K63" s="39"/>
      <c r="L63" s="39"/>
    </row>
    <row r="64" spans="1:12" ht="13.5" thickBot="1" x14ac:dyDescent="0.25">
      <c r="A64" s="3"/>
      <c r="B64" s="3"/>
      <c r="C64" s="3"/>
      <c r="D64" s="3"/>
      <c r="E64" s="44">
        <v>205</v>
      </c>
      <c r="F64" s="44">
        <v>215</v>
      </c>
      <c r="G64" s="13">
        <v>422</v>
      </c>
      <c r="H64" s="14">
        <v>432</v>
      </c>
      <c r="J64" s="39"/>
      <c r="K64" s="39"/>
      <c r="L64" s="39"/>
    </row>
    <row r="65" spans="5:12" s="3" customFormat="1" ht="13.5" thickBot="1" x14ac:dyDescent="0.25">
      <c r="E65" s="44">
        <v>215</v>
      </c>
      <c r="F65" s="44">
        <v>226</v>
      </c>
      <c r="G65" s="14">
        <v>432</v>
      </c>
      <c r="H65" s="13">
        <v>442</v>
      </c>
      <c r="I65" s="5"/>
      <c r="J65" s="39"/>
      <c r="K65" s="39"/>
      <c r="L65" s="39"/>
    </row>
    <row r="66" spans="5:12" s="3" customFormat="1" ht="13.5" thickBot="1" x14ac:dyDescent="0.25">
      <c r="E66" s="44">
        <v>226</v>
      </c>
      <c r="F66" s="44">
        <v>237</v>
      </c>
      <c r="G66" s="13">
        <v>442</v>
      </c>
      <c r="H66" s="14">
        <v>453</v>
      </c>
      <c r="I66" s="5"/>
      <c r="J66" s="39"/>
      <c r="K66" s="39"/>
      <c r="L66" s="39"/>
    </row>
    <row r="67" spans="5:12" s="3" customFormat="1" ht="13.5" thickBot="1" x14ac:dyDescent="0.25">
      <c r="E67" s="44">
        <v>237</v>
      </c>
      <c r="F67" s="44">
        <v>249</v>
      </c>
      <c r="G67" s="14">
        <v>453</v>
      </c>
      <c r="H67" s="13">
        <v>464</v>
      </c>
      <c r="I67" s="5"/>
      <c r="J67" s="39"/>
      <c r="K67" s="39"/>
      <c r="L67" s="39"/>
    </row>
    <row r="68" spans="5:12" s="3" customFormat="1" ht="13.5" thickBot="1" x14ac:dyDescent="0.25">
      <c r="E68" s="44">
        <v>249</v>
      </c>
      <c r="F68" s="44">
        <v>261</v>
      </c>
      <c r="G68" s="13">
        <v>464</v>
      </c>
      <c r="H68" s="14">
        <v>475</v>
      </c>
      <c r="I68" s="5"/>
      <c r="J68" s="39"/>
      <c r="K68" s="39"/>
      <c r="L68" s="39"/>
    </row>
    <row r="69" spans="5:12" s="3" customFormat="1" ht="13.5" thickBot="1" x14ac:dyDescent="0.25">
      <c r="E69" s="44">
        <v>261</v>
      </c>
      <c r="F69" s="44">
        <v>274</v>
      </c>
      <c r="G69" s="14">
        <v>475</v>
      </c>
      <c r="H69" s="13">
        <v>487</v>
      </c>
      <c r="I69" s="5"/>
      <c r="J69" s="39"/>
      <c r="K69" s="39"/>
      <c r="L69" s="39"/>
    </row>
    <row r="70" spans="5:12" s="3" customFormat="1" ht="13.5" thickBot="1" x14ac:dyDescent="0.25">
      <c r="E70" s="44">
        <v>274</v>
      </c>
      <c r="F70" s="44">
        <v>287</v>
      </c>
      <c r="G70" s="13">
        <v>487</v>
      </c>
      <c r="H70" s="14">
        <v>499</v>
      </c>
      <c r="I70" s="5"/>
      <c r="J70" s="39"/>
      <c r="K70" s="39"/>
      <c r="L70" s="39"/>
    </row>
    <row r="71" spans="5:12" s="3" customFormat="1" ht="13.5" thickBot="1" x14ac:dyDescent="0.25">
      <c r="E71" s="44">
        <v>287</v>
      </c>
      <c r="F71" s="44">
        <v>301</v>
      </c>
      <c r="G71" s="14">
        <v>499</v>
      </c>
      <c r="H71" s="13">
        <v>511</v>
      </c>
      <c r="I71" s="5"/>
      <c r="J71" s="39"/>
      <c r="K71" s="39"/>
      <c r="L71" s="39"/>
    </row>
    <row r="72" spans="5:12" s="3" customFormat="1" ht="13.5" thickBot="1" x14ac:dyDescent="0.25">
      <c r="E72" s="44">
        <v>301</v>
      </c>
      <c r="F72" s="44">
        <v>316</v>
      </c>
      <c r="G72" s="13">
        <v>511</v>
      </c>
      <c r="H72" s="14">
        <v>523</v>
      </c>
      <c r="I72" s="5"/>
      <c r="J72" s="39"/>
      <c r="K72" s="39"/>
      <c r="L72" s="39"/>
    </row>
    <row r="73" spans="5:12" s="3" customFormat="1" ht="13.5" thickBot="1" x14ac:dyDescent="0.25">
      <c r="E73" s="44">
        <v>316</v>
      </c>
      <c r="F73" s="44">
        <v>332</v>
      </c>
      <c r="G73" s="14">
        <v>523</v>
      </c>
      <c r="H73" s="13">
        <v>536</v>
      </c>
      <c r="I73" s="5"/>
      <c r="J73" s="39"/>
      <c r="K73" s="39"/>
      <c r="L73" s="39"/>
    </row>
    <row r="74" spans="5:12" s="3" customFormat="1" ht="13.5" thickBot="1" x14ac:dyDescent="0.25">
      <c r="E74" s="44">
        <v>332</v>
      </c>
      <c r="F74" s="44">
        <v>348</v>
      </c>
      <c r="G74" s="13">
        <v>536</v>
      </c>
      <c r="H74" s="14">
        <v>549</v>
      </c>
      <c r="I74" s="5"/>
      <c r="J74" s="39"/>
      <c r="K74" s="39"/>
      <c r="L74" s="39"/>
    </row>
    <row r="75" spans="5:12" s="3" customFormat="1" ht="13.5" thickBot="1" x14ac:dyDescent="0.25">
      <c r="E75" s="44">
        <v>348</v>
      </c>
      <c r="F75" s="44">
        <v>365</v>
      </c>
      <c r="G75" s="14">
        <v>549</v>
      </c>
      <c r="H75" s="13">
        <v>562</v>
      </c>
      <c r="I75" s="5"/>
      <c r="J75" s="39"/>
      <c r="K75" s="39"/>
      <c r="L75" s="39"/>
    </row>
    <row r="76" spans="5:12" s="3" customFormat="1" ht="13.5" thickBot="1" x14ac:dyDescent="0.25">
      <c r="E76" s="44">
        <v>365</v>
      </c>
      <c r="F76" s="44">
        <v>383</v>
      </c>
      <c r="G76" s="13">
        <v>562</v>
      </c>
      <c r="H76" s="14">
        <v>576</v>
      </c>
      <c r="I76" s="5"/>
      <c r="J76" s="45"/>
      <c r="K76" s="45"/>
      <c r="L76" s="45"/>
    </row>
    <row r="77" spans="5:12" s="3" customFormat="1" ht="13.5" thickBot="1" x14ac:dyDescent="0.25">
      <c r="E77" s="44">
        <v>383</v>
      </c>
      <c r="F77" s="44">
        <v>402</v>
      </c>
      <c r="G77" s="14">
        <v>576</v>
      </c>
      <c r="H77" s="13">
        <v>590</v>
      </c>
      <c r="I77" s="5"/>
      <c r="J77" s="45"/>
      <c r="K77" s="45"/>
      <c r="L77" s="45"/>
    </row>
    <row r="78" spans="5:12" s="3" customFormat="1" ht="13.5" thickBot="1" x14ac:dyDescent="0.25">
      <c r="E78" s="44">
        <v>402</v>
      </c>
      <c r="F78" s="44">
        <v>422</v>
      </c>
      <c r="G78" s="13">
        <v>590</v>
      </c>
      <c r="H78" s="14">
        <v>604</v>
      </c>
      <c r="I78" s="5"/>
      <c r="J78" s="45"/>
      <c r="K78" s="45"/>
      <c r="L78" s="45"/>
    </row>
    <row r="79" spans="5:12" s="3" customFormat="1" ht="13.5" thickBot="1" x14ac:dyDescent="0.25">
      <c r="E79" s="44">
        <v>422</v>
      </c>
      <c r="F79" s="44">
        <v>442</v>
      </c>
      <c r="G79" s="14">
        <v>604</v>
      </c>
      <c r="H79" s="13">
        <v>619</v>
      </c>
      <c r="I79" s="5"/>
      <c r="J79" s="45"/>
      <c r="K79" s="45"/>
      <c r="L79" s="45"/>
    </row>
    <row r="80" spans="5:12" s="3" customFormat="1" ht="13.5" thickBot="1" x14ac:dyDescent="0.25">
      <c r="E80" s="44">
        <v>442</v>
      </c>
      <c r="F80" s="44">
        <v>464</v>
      </c>
      <c r="G80" s="13">
        <v>619</v>
      </c>
      <c r="H80" s="14">
        <v>634</v>
      </c>
      <c r="I80" s="5"/>
      <c r="J80" s="45"/>
      <c r="K80" s="45"/>
      <c r="L80" s="45"/>
    </row>
    <row r="81" spans="5:12" s="3" customFormat="1" ht="13.5" thickBot="1" x14ac:dyDescent="0.25">
      <c r="E81" s="44">
        <v>464</v>
      </c>
      <c r="F81" s="44">
        <v>487</v>
      </c>
      <c r="G81" s="14">
        <v>634</v>
      </c>
      <c r="H81" s="13">
        <v>649</v>
      </c>
      <c r="I81" s="5"/>
      <c r="J81" s="45"/>
      <c r="K81" s="45"/>
      <c r="L81" s="45"/>
    </row>
    <row r="82" spans="5:12" s="3" customFormat="1" ht="13.5" thickBot="1" x14ac:dyDescent="0.25">
      <c r="E82" s="44">
        <v>487</v>
      </c>
      <c r="F82" s="44">
        <v>511</v>
      </c>
      <c r="G82" s="13">
        <v>649</v>
      </c>
      <c r="H82" s="14">
        <v>665</v>
      </c>
      <c r="I82" s="5"/>
      <c r="J82" s="45"/>
      <c r="K82" s="45"/>
      <c r="L82" s="45"/>
    </row>
    <row r="83" spans="5:12" s="3" customFormat="1" ht="13.5" thickBot="1" x14ac:dyDescent="0.25">
      <c r="E83" s="44">
        <v>511</v>
      </c>
      <c r="F83" s="44">
        <v>536</v>
      </c>
      <c r="G83" s="14">
        <v>665</v>
      </c>
      <c r="H83" s="13">
        <v>681</v>
      </c>
      <c r="I83" s="5"/>
      <c r="J83" s="45"/>
      <c r="K83" s="45"/>
      <c r="L83" s="45"/>
    </row>
    <row r="84" spans="5:12" s="3" customFormat="1" ht="13.5" thickBot="1" x14ac:dyDescent="0.25">
      <c r="E84" s="44">
        <v>536</v>
      </c>
      <c r="F84" s="44">
        <v>562</v>
      </c>
      <c r="G84" s="13">
        <v>681</v>
      </c>
      <c r="H84" s="14">
        <v>698</v>
      </c>
      <c r="I84" s="5"/>
      <c r="J84" s="45"/>
      <c r="K84" s="45"/>
      <c r="L84" s="45"/>
    </row>
    <row r="85" spans="5:12" s="3" customFormat="1" ht="13.5" thickBot="1" x14ac:dyDescent="0.25">
      <c r="E85" s="44">
        <v>562</v>
      </c>
      <c r="F85" s="44">
        <v>590</v>
      </c>
      <c r="G85" s="14">
        <v>698</v>
      </c>
      <c r="H85" s="13">
        <v>715</v>
      </c>
      <c r="I85" s="5"/>
      <c r="J85" s="45"/>
      <c r="K85" s="45"/>
      <c r="L85" s="45"/>
    </row>
    <row r="86" spans="5:12" s="3" customFormat="1" ht="13.5" thickBot="1" x14ac:dyDescent="0.25">
      <c r="E86" s="44">
        <v>590</v>
      </c>
      <c r="F86" s="44">
        <v>619</v>
      </c>
      <c r="G86" s="13">
        <v>715</v>
      </c>
      <c r="H86" s="14">
        <v>732</v>
      </c>
      <c r="I86" s="5"/>
      <c r="J86" s="45"/>
      <c r="K86" s="45"/>
      <c r="L86" s="45"/>
    </row>
    <row r="87" spans="5:12" s="3" customFormat="1" ht="13.5" thickBot="1" x14ac:dyDescent="0.25">
      <c r="E87" s="44">
        <v>619</v>
      </c>
      <c r="F87" s="44">
        <v>649</v>
      </c>
      <c r="G87" s="14">
        <v>732</v>
      </c>
      <c r="H87" s="13">
        <v>750</v>
      </c>
      <c r="I87" s="5"/>
      <c r="J87" s="45"/>
      <c r="K87" s="45"/>
      <c r="L87" s="45"/>
    </row>
    <row r="88" spans="5:12" s="3" customFormat="1" ht="13.5" thickBot="1" x14ac:dyDescent="0.25">
      <c r="E88" s="44">
        <v>649</v>
      </c>
      <c r="F88" s="44">
        <v>681</v>
      </c>
      <c r="G88" s="13">
        <v>750</v>
      </c>
      <c r="H88" s="14">
        <v>768</v>
      </c>
      <c r="I88" s="5"/>
      <c r="J88" s="45"/>
      <c r="K88" s="45"/>
      <c r="L88" s="45"/>
    </row>
    <row r="89" spans="5:12" s="3" customFormat="1" ht="13.5" thickBot="1" x14ac:dyDescent="0.25">
      <c r="E89" s="44">
        <v>681</v>
      </c>
      <c r="F89" s="44">
        <v>715</v>
      </c>
      <c r="G89" s="14">
        <v>768</v>
      </c>
      <c r="H89" s="13">
        <v>787</v>
      </c>
      <c r="I89" s="5"/>
      <c r="J89" s="45"/>
      <c r="K89" s="45"/>
      <c r="L89" s="45"/>
    </row>
    <row r="90" spans="5:12" s="3" customFormat="1" ht="13.5" thickBot="1" x14ac:dyDescent="0.25">
      <c r="E90" s="44">
        <v>715</v>
      </c>
      <c r="F90" s="44">
        <v>750</v>
      </c>
      <c r="G90" s="13">
        <v>787</v>
      </c>
      <c r="H90" s="14">
        <v>806</v>
      </c>
      <c r="I90" s="5"/>
      <c r="J90" s="45"/>
      <c r="K90" s="45"/>
      <c r="L90" s="45"/>
    </row>
    <row r="91" spans="5:12" s="3" customFormat="1" ht="13.5" thickBot="1" x14ac:dyDescent="0.25">
      <c r="E91" s="44">
        <v>750</v>
      </c>
      <c r="F91" s="44">
        <v>787</v>
      </c>
      <c r="G91" s="14">
        <v>806</v>
      </c>
      <c r="H91" s="13">
        <v>825</v>
      </c>
      <c r="I91" s="5"/>
      <c r="J91" s="45"/>
      <c r="K91" s="45"/>
      <c r="L91" s="45"/>
    </row>
    <row r="92" spans="5:12" s="3" customFormat="1" ht="13.5" thickBot="1" x14ac:dyDescent="0.25">
      <c r="E92" s="44">
        <v>787</v>
      </c>
      <c r="F92" s="44">
        <v>825</v>
      </c>
      <c r="G92" s="13">
        <v>825</v>
      </c>
      <c r="H92" s="14">
        <v>845</v>
      </c>
      <c r="I92" s="5"/>
      <c r="J92" s="45"/>
      <c r="K92" s="45"/>
      <c r="L92" s="45"/>
    </row>
    <row r="93" spans="5:12" s="3" customFormat="1" ht="13.5" thickBot="1" x14ac:dyDescent="0.25">
      <c r="E93" s="44">
        <v>825</v>
      </c>
      <c r="F93" s="44">
        <v>866</v>
      </c>
      <c r="G93" s="14">
        <v>845</v>
      </c>
      <c r="H93" s="13">
        <v>866</v>
      </c>
      <c r="I93" s="5"/>
      <c r="J93" s="45"/>
      <c r="K93" s="45"/>
      <c r="L93" s="45"/>
    </row>
    <row r="94" spans="5:12" s="3" customFormat="1" ht="13.5" thickBot="1" x14ac:dyDescent="0.25">
      <c r="E94" s="44">
        <v>866</v>
      </c>
      <c r="F94" s="44">
        <v>909</v>
      </c>
      <c r="G94" s="13">
        <v>866</v>
      </c>
      <c r="H94" s="14">
        <v>887</v>
      </c>
      <c r="I94" s="5"/>
      <c r="J94" s="45"/>
      <c r="K94" s="45"/>
      <c r="L94" s="45"/>
    </row>
    <row r="95" spans="5:12" s="3" customFormat="1" ht="13.5" thickBot="1" x14ac:dyDescent="0.25">
      <c r="E95" s="44">
        <v>909</v>
      </c>
      <c r="F95" s="44">
        <v>953</v>
      </c>
      <c r="G95" s="14">
        <v>887</v>
      </c>
      <c r="H95" s="13">
        <v>909</v>
      </c>
      <c r="I95" s="5"/>
      <c r="J95" s="45"/>
      <c r="K95" s="45"/>
      <c r="L95" s="45"/>
    </row>
    <row r="96" spans="5:12" s="3" customFormat="1" ht="13.5" thickBot="1" x14ac:dyDescent="0.25">
      <c r="E96" s="44">
        <v>953</v>
      </c>
      <c r="F96" s="44">
        <v>1000</v>
      </c>
      <c r="G96" s="13">
        <v>909</v>
      </c>
      <c r="H96" s="14">
        <v>931</v>
      </c>
      <c r="I96" s="5"/>
      <c r="J96" s="45"/>
      <c r="K96" s="45"/>
      <c r="L96" s="45"/>
    </row>
    <row r="97" spans="7:12" s="3" customFormat="1" ht="13.5" thickBot="1" x14ac:dyDescent="0.25">
      <c r="G97" s="14">
        <v>931</v>
      </c>
      <c r="H97" s="13">
        <v>953</v>
      </c>
      <c r="I97" s="5"/>
      <c r="J97" s="45"/>
      <c r="K97" s="45"/>
      <c r="L97" s="45"/>
    </row>
    <row r="98" spans="7:12" s="3" customFormat="1" ht="13.5" thickBot="1" x14ac:dyDescent="0.25">
      <c r="G98" s="13">
        <v>953</v>
      </c>
      <c r="H98" s="14">
        <v>976</v>
      </c>
      <c r="I98" s="5"/>
      <c r="J98" s="45"/>
      <c r="K98" s="45"/>
      <c r="L98" s="45"/>
    </row>
    <row r="99" spans="7:12" s="3" customFormat="1" ht="13.5" thickBot="1" x14ac:dyDescent="0.25">
      <c r="G99" s="14">
        <v>976</v>
      </c>
      <c r="H99" s="14">
        <v>1000</v>
      </c>
      <c r="I99" s="5"/>
      <c r="J99" s="45"/>
      <c r="K99" s="45"/>
      <c r="L99" s="45"/>
    </row>
    <row r="100" spans="7:12" s="3" customFormat="1" x14ac:dyDescent="0.2">
      <c r="I100" s="5"/>
      <c r="J100" s="45"/>
      <c r="K100" s="45"/>
      <c r="L100" s="45"/>
    </row>
    <row r="101" spans="7:12" s="3" customFormat="1" x14ac:dyDescent="0.2">
      <c r="I101" s="5"/>
      <c r="J101" s="45"/>
      <c r="K101" s="45"/>
      <c r="L101" s="45"/>
    </row>
    <row r="102" spans="7:12" s="3" customFormat="1" x14ac:dyDescent="0.2">
      <c r="I102" s="5"/>
      <c r="J102" s="45"/>
      <c r="K102" s="45"/>
      <c r="L102" s="45"/>
    </row>
    <row r="103" spans="7:12" s="3" customFormat="1" x14ac:dyDescent="0.2">
      <c r="I103" s="5"/>
      <c r="J103" s="45"/>
      <c r="K103" s="45"/>
      <c r="L103" s="45"/>
    </row>
    <row r="104" spans="7:12" s="3" customFormat="1" x14ac:dyDescent="0.2">
      <c r="I104" s="5"/>
      <c r="J104" s="45"/>
      <c r="K104" s="45"/>
      <c r="L104" s="45"/>
    </row>
    <row r="105" spans="7:12" s="3" customFormat="1" x14ac:dyDescent="0.2">
      <c r="I105" s="5"/>
      <c r="J105" s="45"/>
      <c r="K105" s="45"/>
      <c r="L105" s="45"/>
    </row>
    <row r="106" spans="7:12" s="3" customFormat="1" x14ac:dyDescent="0.2">
      <c r="I106" s="5"/>
      <c r="J106" s="45"/>
      <c r="K106" s="45"/>
      <c r="L106" s="45"/>
    </row>
    <row r="107" spans="7:12" s="3" customFormat="1" x14ac:dyDescent="0.2">
      <c r="I107" s="5"/>
      <c r="J107" s="45"/>
      <c r="K107" s="45"/>
      <c r="L107" s="45"/>
    </row>
    <row r="108" spans="7:12" s="3" customFormat="1" x14ac:dyDescent="0.2">
      <c r="I108" s="5"/>
      <c r="J108" s="45"/>
      <c r="K108" s="45"/>
      <c r="L108" s="45"/>
    </row>
    <row r="109" spans="7:12" s="3" customFormat="1" x14ac:dyDescent="0.2">
      <c r="I109" s="5"/>
      <c r="J109" s="45"/>
      <c r="K109" s="45"/>
      <c r="L109" s="45"/>
    </row>
    <row r="110" spans="7:12" s="3" customFormat="1" x14ac:dyDescent="0.2">
      <c r="I110" s="5"/>
      <c r="J110" s="45"/>
      <c r="K110" s="45"/>
      <c r="L110" s="45"/>
    </row>
    <row r="111" spans="7:12" s="3" customFormat="1" x14ac:dyDescent="0.2">
      <c r="I111" s="5"/>
      <c r="J111" s="45"/>
      <c r="K111" s="45"/>
      <c r="L111" s="45"/>
    </row>
    <row r="112" spans="7:12" s="3" customFormat="1" x14ac:dyDescent="0.2">
      <c r="I112" s="5"/>
      <c r="J112" s="45"/>
      <c r="K112" s="45"/>
      <c r="L112" s="45"/>
    </row>
    <row r="113" spans="9:12" s="3" customFormat="1" x14ac:dyDescent="0.2">
      <c r="I113" s="5"/>
      <c r="J113" s="45"/>
      <c r="K113" s="45"/>
      <c r="L113" s="45"/>
    </row>
    <row r="114" spans="9:12" s="3" customFormat="1" x14ac:dyDescent="0.2">
      <c r="J114" s="45"/>
      <c r="K114" s="45"/>
      <c r="L114" s="45"/>
    </row>
    <row r="115" spans="9:12" s="3" customFormat="1" x14ac:dyDescent="0.2">
      <c r="J115" s="45"/>
      <c r="K115" s="45"/>
      <c r="L115" s="45"/>
    </row>
    <row r="116" spans="9:12" s="3" customFormat="1" x14ac:dyDescent="0.2">
      <c r="J116" s="45"/>
      <c r="K116" s="45"/>
      <c r="L116" s="45"/>
    </row>
    <row r="117" spans="9:12" s="3" customFormat="1" x14ac:dyDescent="0.2">
      <c r="J117" s="45"/>
      <c r="K117" s="45"/>
      <c r="L117" s="45"/>
    </row>
    <row r="118" spans="9:12" s="3" customFormat="1" x14ac:dyDescent="0.2">
      <c r="J118" s="45"/>
      <c r="K118" s="45"/>
      <c r="L118" s="45"/>
    </row>
    <row r="119" spans="9:12" s="3" customFormat="1" x14ac:dyDescent="0.2">
      <c r="J119" s="45"/>
      <c r="K119" s="45"/>
      <c r="L119" s="45"/>
    </row>
    <row r="120" spans="9:12" s="3" customFormat="1" x14ac:dyDescent="0.2">
      <c r="J120" s="45"/>
      <c r="K120" s="45"/>
      <c r="L120" s="45"/>
    </row>
    <row r="121" spans="9:12" s="3" customFormat="1" x14ac:dyDescent="0.2">
      <c r="J121" s="45"/>
      <c r="K121" s="45"/>
      <c r="L121" s="45"/>
    </row>
    <row r="122" spans="9:12" s="3" customFormat="1" x14ac:dyDescent="0.2">
      <c r="J122" s="45"/>
      <c r="K122" s="45"/>
      <c r="L122" s="45"/>
    </row>
    <row r="123" spans="9:12" s="3" customFormat="1" x14ac:dyDescent="0.2">
      <c r="J123" s="45"/>
      <c r="K123" s="45"/>
      <c r="L123" s="45"/>
    </row>
    <row r="124" spans="9:12" s="3" customFormat="1" x14ac:dyDescent="0.2">
      <c r="J124" s="45"/>
      <c r="K124" s="45"/>
      <c r="L124" s="45"/>
    </row>
    <row r="125" spans="9:12" s="3" customFormat="1" x14ac:dyDescent="0.2">
      <c r="J125" s="45"/>
      <c r="K125" s="45"/>
      <c r="L125" s="45"/>
    </row>
    <row r="126" spans="9:12" s="3" customFormat="1" x14ac:dyDescent="0.2">
      <c r="J126" s="45"/>
      <c r="K126" s="45"/>
      <c r="L126" s="45"/>
    </row>
    <row r="127" spans="9:12" s="3" customFormat="1" x14ac:dyDescent="0.2">
      <c r="J127" s="45"/>
      <c r="K127" s="45"/>
      <c r="L127" s="45"/>
    </row>
    <row r="128" spans="9:12" s="3" customFormat="1" x14ac:dyDescent="0.2">
      <c r="J128" s="45"/>
      <c r="K128" s="45"/>
      <c r="L128" s="45"/>
    </row>
    <row r="129" spans="10:12" s="3" customFormat="1" x14ac:dyDescent="0.2">
      <c r="J129" s="45"/>
      <c r="K129" s="45"/>
      <c r="L129" s="45"/>
    </row>
    <row r="130" spans="10:12" s="3" customFormat="1" x14ac:dyDescent="0.2">
      <c r="J130" s="45"/>
      <c r="K130" s="45"/>
      <c r="L130" s="45"/>
    </row>
    <row r="131" spans="10:12" s="3" customFormat="1" x14ac:dyDescent="0.2">
      <c r="J131" s="45"/>
      <c r="K131" s="45"/>
      <c r="L131" s="45"/>
    </row>
    <row r="132" spans="10:12" s="3" customFormat="1" x14ac:dyDescent="0.2">
      <c r="J132" s="45"/>
      <c r="K132" s="45"/>
      <c r="L132" s="45"/>
    </row>
    <row r="133" spans="10:12" s="3" customFormat="1" x14ac:dyDescent="0.2">
      <c r="J133" s="45"/>
      <c r="K133" s="45"/>
      <c r="L133" s="45"/>
    </row>
    <row r="134" spans="10:12" s="3" customFormat="1" x14ac:dyDescent="0.2">
      <c r="J134" s="45"/>
      <c r="K134" s="45"/>
      <c r="L134" s="45"/>
    </row>
    <row r="135" spans="10:12" s="3" customFormat="1" x14ac:dyDescent="0.2">
      <c r="J135" s="45"/>
      <c r="K135" s="45"/>
      <c r="L135" s="45"/>
    </row>
    <row r="136" spans="10:12" s="3" customFormat="1" x14ac:dyDescent="0.2">
      <c r="J136" s="45"/>
      <c r="K136" s="45"/>
      <c r="L136" s="45"/>
    </row>
    <row r="137" spans="10:12" s="3" customFormat="1" x14ac:dyDescent="0.2">
      <c r="J137" s="45"/>
      <c r="K137" s="45"/>
      <c r="L137" s="45"/>
    </row>
    <row r="138" spans="10:12" s="3" customFormat="1" x14ac:dyDescent="0.2">
      <c r="J138" s="45"/>
      <c r="K138" s="45"/>
      <c r="L138" s="45"/>
    </row>
    <row r="139" spans="10:12" s="3" customFormat="1" x14ac:dyDescent="0.2">
      <c r="J139" s="45"/>
      <c r="K139" s="45"/>
      <c r="L139" s="45"/>
    </row>
    <row r="140" spans="10:12" s="3" customFormat="1" x14ac:dyDescent="0.2">
      <c r="J140" s="45"/>
      <c r="K140" s="45"/>
      <c r="L140" s="45"/>
    </row>
    <row r="141" spans="10:12" s="3" customFormat="1" x14ac:dyDescent="0.2">
      <c r="J141" s="45"/>
      <c r="K141" s="45"/>
      <c r="L141" s="45"/>
    </row>
    <row r="142" spans="10:12" s="3" customFormat="1" x14ac:dyDescent="0.2">
      <c r="J142" s="45"/>
      <c r="K142" s="45"/>
      <c r="L142" s="45"/>
    </row>
    <row r="143" spans="10:12" s="3" customFormat="1" x14ac:dyDescent="0.2">
      <c r="J143" s="45"/>
      <c r="K143" s="45"/>
      <c r="L143" s="45"/>
    </row>
    <row r="144" spans="10:12" s="3" customFormat="1" x14ac:dyDescent="0.2">
      <c r="J144" s="45"/>
      <c r="K144" s="45"/>
      <c r="L144" s="45"/>
    </row>
    <row r="145" spans="10:12" s="3" customFormat="1" x14ac:dyDescent="0.2">
      <c r="J145" s="45"/>
      <c r="K145" s="45"/>
      <c r="L145" s="45"/>
    </row>
    <row r="146" spans="10:12" s="3" customFormat="1" x14ac:dyDescent="0.2">
      <c r="J146" s="45"/>
      <c r="K146" s="45"/>
      <c r="L146" s="45"/>
    </row>
  </sheetData>
  <sheetProtection selectLockedCells="1"/>
  <mergeCells count="5">
    <mergeCell ref="E48:F48"/>
    <mergeCell ref="E3:F3"/>
    <mergeCell ref="G3:H3"/>
    <mergeCell ref="E10:F10"/>
    <mergeCell ref="E23:F23"/>
  </mergeCells>
  <phoneticPr fontId="0" type="noConversion"/>
  <pageMargins left="0.49" right="0.42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0019-4A25-476F-A741-E24C363F259D}">
  <dimension ref="A1:S13"/>
  <sheetViews>
    <sheetView workbookViewId="0">
      <selection activeCell="A5" sqref="A5"/>
    </sheetView>
  </sheetViews>
  <sheetFormatPr defaultRowHeight="12.75" x14ac:dyDescent="0.2"/>
  <sheetData>
    <row r="1" spans="1:19" x14ac:dyDescent="0.2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8"/>
      <c r="N1" s="108"/>
      <c r="O1" s="108"/>
      <c r="P1" s="108"/>
      <c r="Q1" s="107"/>
      <c r="R1" s="107"/>
      <c r="S1" s="107"/>
    </row>
    <row r="2" spans="1:19" x14ac:dyDescent="0.2">
      <c r="A2" s="111" t="s">
        <v>301</v>
      </c>
      <c r="B2" s="78" t="s">
        <v>229</v>
      </c>
      <c r="C2" s="78" t="s">
        <v>224</v>
      </c>
      <c r="D2" s="78" t="s">
        <v>275</v>
      </c>
      <c r="E2" s="78" t="s">
        <v>274</v>
      </c>
      <c r="F2" s="78" t="s">
        <v>276</v>
      </c>
      <c r="G2" s="78" t="s">
        <v>277</v>
      </c>
      <c r="H2" s="111"/>
      <c r="I2" s="111"/>
      <c r="J2" s="111"/>
      <c r="K2" s="111"/>
      <c r="L2" s="111"/>
      <c r="M2" s="112"/>
      <c r="N2" s="112"/>
      <c r="O2" s="111"/>
      <c r="P2" s="112"/>
      <c r="Q2" s="111"/>
      <c r="R2" s="111"/>
      <c r="S2" s="111"/>
    </row>
    <row r="3" spans="1:19" x14ac:dyDescent="0.2">
      <c r="A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7"/>
      <c r="N3" s="107"/>
      <c r="O3" s="107"/>
      <c r="P3" s="107"/>
      <c r="Q3" s="107"/>
      <c r="R3" s="107"/>
      <c r="S3" s="107"/>
    </row>
    <row r="4" spans="1:19" x14ac:dyDescent="0.2">
      <c r="A4" s="110" t="s">
        <v>299</v>
      </c>
      <c r="B4">
        <v>7.5</v>
      </c>
      <c r="C4" s="110" t="s">
        <v>121</v>
      </c>
      <c r="D4" s="110">
        <v>2</v>
      </c>
      <c r="E4" s="110">
        <v>1.2</v>
      </c>
      <c r="F4" s="110">
        <v>2</v>
      </c>
      <c r="G4" s="110">
        <v>1.2</v>
      </c>
      <c r="H4" s="113"/>
      <c r="I4" s="114"/>
      <c r="J4" s="113"/>
      <c r="K4" s="114"/>
      <c r="L4" s="114"/>
      <c r="M4" s="113"/>
      <c r="N4" s="113"/>
      <c r="O4" s="113"/>
      <c r="P4" s="114"/>
      <c r="Q4" s="107"/>
      <c r="R4" s="107"/>
      <c r="S4" s="107"/>
    </row>
    <row r="5" spans="1:19" x14ac:dyDescent="0.2">
      <c r="A5" s="110" t="s">
        <v>300</v>
      </c>
      <c r="B5">
        <v>5.5</v>
      </c>
      <c r="C5" s="110">
        <v>0.75</v>
      </c>
      <c r="D5" s="110">
        <v>2.5</v>
      </c>
      <c r="E5" s="110">
        <v>1.6</v>
      </c>
      <c r="F5" s="110">
        <v>5</v>
      </c>
      <c r="G5" s="110">
        <v>3</v>
      </c>
      <c r="H5" s="113"/>
      <c r="I5" s="114"/>
      <c r="J5" s="113"/>
      <c r="K5" s="114"/>
      <c r="L5" s="114"/>
      <c r="M5" s="113"/>
      <c r="N5" s="113"/>
      <c r="O5" s="113"/>
      <c r="P5" s="114"/>
      <c r="Q5" s="107"/>
      <c r="R5" s="107"/>
      <c r="S5" s="107"/>
    </row>
    <row r="6" spans="1:19" x14ac:dyDescent="0.2">
      <c r="A6" s="110"/>
      <c r="C6" s="110"/>
      <c r="D6" s="110"/>
      <c r="E6" s="110"/>
      <c r="F6" s="110"/>
      <c r="G6" s="110"/>
      <c r="H6" s="113"/>
      <c r="I6" s="114"/>
      <c r="J6" s="113"/>
      <c r="K6" s="114"/>
      <c r="L6" s="114"/>
      <c r="M6" s="113"/>
      <c r="N6" s="113"/>
      <c r="O6" s="113"/>
      <c r="P6" s="114"/>
      <c r="Q6" s="107"/>
      <c r="R6" s="107"/>
      <c r="S6" s="107"/>
    </row>
    <row r="7" spans="1:19" x14ac:dyDescent="0.2">
      <c r="A7" s="110"/>
      <c r="C7" s="110"/>
      <c r="D7" s="110"/>
      <c r="E7" s="110"/>
      <c r="F7" s="110"/>
      <c r="G7" s="110"/>
      <c r="H7" s="113"/>
      <c r="I7" s="114"/>
      <c r="J7" s="113"/>
      <c r="K7" s="114"/>
      <c r="L7" s="114"/>
      <c r="M7" s="113"/>
      <c r="N7" s="113"/>
      <c r="O7" s="113"/>
      <c r="P7" s="114"/>
      <c r="Q7" s="107"/>
      <c r="R7" s="107"/>
      <c r="S7" s="107"/>
    </row>
    <row r="8" spans="1:19" x14ac:dyDescent="0.2">
      <c r="A8" s="110"/>
      <c r="B8" s="110"/>
      <c r="C8" s="110"/>
      <c r="D8" s="110"/>
      <c r="E8" s="110"/>
      <c r="F8" s="110"/>
      <c r="G8" s="110"/>
      <c r="H8" s="113"/>
      <c r="I8" s="114"/>
      <c r="J8" s="113"/>
      <c r="K8" s="114"/>
      <c r="L8" s="114"/>
      <c r="M8" s="113"/>
      <c r="N8" s="113"/>
      <c r="O8" s="113"/>
      <c r="P8" s="114"/>
      <c r="Q8" s="107"/>
      <c r="R8" s="107"/>
      <c r="S8" s="107"/>
    </row>
    <row r="9" spans="1:19" x14ac:dyDescent="0.2">
      <c r="A9" s="110"/>
      <c r="B9" s="110"/>
      <c r="C9" s="110"/>
      <c r="D9" s="110"/>
      <c r="E9" s="110"/>
      <c r="F9" s="110"/>
      <c r="G9" s="110"/>
      <c r="H9" s="113"/>
      <c r="I9" s="114"/>
      <c r="J9" s="113"/>
      <c r="K9" s="114"/>
      <c r="L9" s="114"/>
      <c r="M9" s="113"/>
      <c r="N9" s="113"/>
      <c r="O9" s="113"/>
      <c r="P9" s="114"/>
      <c r="Q9" s="107"/>
      <c r="R9" s="107"/>
      <c r="S9" s="107"/>
    </row>
    <row r="10" spans="1:19" x14ac:dyDescent="0.2">
      <c r="A10" s="110"/>
      <c r="B10" s="110"/>
      <c r="C10" s="110"/>
      <c r="D10" s="110"/>
      <c r="E10" s="110"/>
      <c r="F10" s="110"/>
      <c r="G10" s="110"/>
      <c r="H10" s="113"/>
      <c r="I10" s="114"/>
      <c r="J10" s="113"/>
      <c r="K10" s="114"/>
      <c r="L10" s="114"/>
      <c r="M10" s="113"/>
      <c r="N10" s="113"/>
      <c r="O10" s="113"/>
      <c r="P10" s="114"/>
      <c r="Q10" s="107"/>
      <c r="R10" s="107"/>
      <c r="S10" s="107"/>
    </row>
    <row r="11" spans="1:19" x14ac:dyDescent="0.2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</row>
    <row r="12" spans="1:19" x14ac:dyDescent="0.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spans="1:19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279c20c3caf3300dae6b438536eb8c56">
  <xsd:schema xmlns:xsd="http://www.w3.org/2001/XMLSchema" xmlns:p="http://schemas.microsoft.com/office/2006/metadata/properties" targetNamespace="http://schemas.microsoft.com/office/2006/metadata/properties" ma:root="true" ma:fieldsID="0d2e1ca116041f9e11471c52c4c9d60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EF8435C-502C-41AE-AD35-98175F51DE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0515AA-3747-44C2-9DAA-1264A554F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8F97F0-3F7C-4CAD-A04A-6F406EDE7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135</vt:i4>
      </vt:variant>
    </vt:vector>
  </HeadingPairs>
  <TitlesOfParts>
    <vt:vector size="141" baseType="lpstr">
      <vt:lpstr>Intro</vt:lpstr>
      <vt:lpstr>Boost Calculations</vt:lpstr>
      <vt:lpstr>Small Signal</vt:lpstr>
      <vt:lpstr>Std. R and C Values</vt:lpstr>
      <vt:lpstr>partdata</vt:lpstr>
      <vt:lpstr>EVM Matching</vt:lpstr>
      <vt:lpstr>Acs</vt:lpstr>
      <vt:lpstr>aol</vt:lpstr>
      <vt:lpstr>C_f1</vt:lpstr>
      <vt:lpstr>C_f2</vt:lpstr>
      <vt:lpstr>c_s1</vt:lpstr>
      <vt:lpstr>C_s2</vt:lpstr>
      <vt:lpstr>Cbulkss</vt:lpstr>
      <vt:lpstr>Ccerss</vt:lpstr>
      <vt:lpstr>Ccomp</vt:lpstr>
      <vt:lpstr>Ccompss</vt:lpstr>
      <vt:lpstr>Cffss</vt:lpstr>
      <vt:lpstr>Chf</vt:lpstr>
      <vt:lpstr>Chfss</vt:lpstr>
      <vt:lpstr>Cin_chosen</vt:lpstr>
      <vt:lpstr>Co</vt:lpstr>
      <vt:lpstr>Co_esr</vt:lpstr>
      <vt:lpstr>Cochosen</vt:lpstr>
      <vt:lpstr>Coss</vt:lpstr>
      <vt:lpstr>CVcc</vt:lpstr>
      <vt:lpstr>DCR</vt:lpstr>
      <vt:lpstr>DCRss</vt:lpstr>
      <vt:lpstr>devfreqmax</vt:lpstr>
      <vt:lpstr>devfreqmin</vt:lpstr>
      <vt:lpstr>dItran</vt:lpstr>
      <vt:lpstr>Dmax</vt:lpstr>
      <vt:lpstr>Dmin</vt:lpstr>
      <vt:lpstr>Dnom</vt:lpstr>
      <vt:lpstr>Dss</vt:lpstr>
      <vt:lpstr>dVtran</vt:lpstr>
      <vt:lpstr>E12_f</vt:lpstr>
      <vt:lpstr>E12_s</vt:lpstr>
      <vt:lpstr>E24_f</vt:lpstr>
      <vt:lpstr>E24_s</vt:lpstr>
      <vt:lpstr>E48_f</vt:lpstr>
      <vt:lpstr>E48_s</vt:lpstr>
      <vt:lpstr>E6_f</vt:lpstr>
      <vt:lpstr>E6_s</vt:lpstr>
      <vt:lpstr>E96_f</vt:lpstr>
      <vt:lpstr>E96_s</vt:lpstr>
      <vt:lpstr>ESRss</vt:lpstr>
      <vt:lpstr>Fco_target</vt:lpstr>
      <vt:lpstr>Fm</vt:lpstr>
      <vt:lpstr>frhpz</vt:lpstr>
      <vt:lpstr>fswss</vt:lpstr>
      <vt:lpstr>gbw</vt:lpstr>
      <vt:lpstr>gea</vt:lpstr>
      <vt:lpstr>gea_typ</vt:lpstr>
      <vt:lpstr>Icrit</vt:lpstr>
      <vt:lpstr>Idrive_hs</vt:lpstr>
      <vt:lpstr>Idrive_ls</vt:lpstr>
      <vt:lpstr>Ien_hys</vt:lpstr>
      <vt:lpstr>Ien_pup</vt:lpstr>
      <vt:lpstr>Iin_max</vt:lpstr>
      <vt:lpstr>Ilpeak</vt:lpstr>
      <vt:lpstr>Ilrms</vt:lpstr>
      <vt:lpstr>Iout</vt:lpstr>
      <vt:lpstr>Ioutss</vt:lpstr>
      <vt:lpstr>Iq</vt:lpstr>
      <vt:lpstr>Iripple</vt:lpstr>
      <vt:lpstr>Irms_cin</vt:lpstr>
      <vt:lpstr>Irms_cout</vt:lpstr>
      <vt:lpstr>Isat</vt:lpstr>
      <vt:lpstr>Iss</vt:lpstr>
      <vt:lpstr>k_3</vt:lpstr>
      <vt:lpstr>Kind</vt:lpstr>
      <vt:lpstr>L</vt:lpstr>
      <vt:lpstr>Lss</vt:lpstr>
      <vt:lpstr>M</vt:lpstr>
      <vt:lpstr>mc</vt:lpstr>
      <vt:lpstr>Pind</vt:lpstr>
      <vt:lpstr>Pls_sw</vt:lpstr>
      <vt:lpstr>'Std. R and C Values'!Print_Area</vt:lpstr>
      <vt:lpstr>PSgain_fco</vt:lpstr>
      <vt:lpstr>Psw_cond</vt:lpstr>
      <vt:lpstr>q0</vt:lpstr>
      <vt:lpstr>Qg_hs</vt:lpstr>
      <vt:lpstr>Qg_ls</vt:lpstr>
      <vt:lpstr>Qgd</vt:lpstr>
      <vt:lpstr>Rcerss</vt:lpstr>
      <vt:lpstr>Rcomp</vt:lpstr>
      <vt:lpstr>Rcompss</vt:lpstr>
      <vt:lpstr>Rdson_hs</vt:lpstr>
      <vt:lpstr>Rdson_ls</vt:lpstr>
      <vt:lpstr>Rdsonss</vt:lpstr>
      <vt:lpstr>Rea</vt:lpstr>
      <vt:lpstr>Rffss</vt:lpstr>
      <vt:lpstr>Rfreq</vt:lpstr>
      <vt:lpstr>Rg_hs</vt:lpstr>
      <vt:lpstr>Rg_ls</vt:lpstr>
      <vt:lpstr>Rgd_hs</vt:lpstr>
      <vt:lpstr>Rgd_ls</vt:lpstr>
      <vt:lpstr>Rhdrv_pd</vt:lpstr>
      <vt:lpstr>Rhdrv_pu</vt:lpstr>
      <vt:lpstr>Risense</vt:lpstr>
      <vt:lpstr>Rldrv_pd</vt:lpstr>
      <vt:lpstr>Rldrv_pu</vt:lpstr>
      <vt:lpstr>Ro</vt:lpstr>
      <vt:lpstr>Ross</vt:lpstr>
      <vt:lpstr>Rsense</vt:lpstr>
      <vt:lpstr>Rsh</vt:lpstr>
      <vt:lpstr>Rshss</vt:lpstr>
      <vt:lpstr>Rsl</vt:lpstr>
      <vt:lpstr>Rslss</vt:lpstr>
      <vt:lpstr>Ruvloh</vt:lpstr>
      <vt:lpstr>Ruvlol</vt:lpstr>
      <vt:lpstr>sess</vt:lpstr>
      <vt:lpstr>snss</vt:lpstr>
      <vt:lpstr>tnonoverlap</vt:lpstr>
      <vt:lpstr>toffmin</vt:lpstr>
      <vt:lpstr>tonmin</vt:lpstr>
      <vt:lpstr>tss</vt:lpstr>
      <vt:lpstr>Vcc_typ</vt:lpstr>
      <vt:lpstr>Vcs</vt:lpstr>
      <vt:lpstr>Vcs0duty_max</vt:lpstr>
      <vt:lpstr>Vcs0duty_min</vt:lpstr>
      <vt:lpstr>vdevmax</vt:lpstr>
      <vt:lpstr>Ven_dis</vt:lpstr>
      <vt:lpstr>Ven_on</vt:lpstr>
      <vt:lpstr>vf_body</vt:lpstr>
      <vt:lpstr>Vfboot</vt:lpstr>
      <vt:lpstr>Vfboot_int</vt:lpstr>
      <vt:lpstr>Vin_Max</vt:lpstr>
      <vt:lpstr>Vin_Min</vt:lpstr>
      <vt:lpstr>Vin_Nom</vt:lpstr>
      <vt:lpstr>Vinss</vt:lpstr>
      <vt:lpstr>Viripple</vt:lpstr>
      <vt:lpstr>Vout</vt:lpstr>
      <vt:lpstr>Vout_ripple</vt:lpstr>
      <vt:lpstr>Voutss</vt:lpstr>
      <vt:lpstr>Vref</vt:lpstr>
      <vt:lpstr>Vsl</vt:lpstr>
      <vt:lpstr>Vstart</vt:lpstr>
      <vt:lpstr>Vstop</vt:lpstr>
      <vt:lpstr>Vth</vt:lpstr>
      <vt:lpstr>wn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a0192789</dc:creator>
  <cp:lastModifiedBy>Jed Wang</cp:lastModifiedBy>
  <cp:lastPrinted>2009-05-21T20:23:27Z</cp:lastPrinted>
  <dcterms:created xsi:type="dcterms:W3CDTF">2009-03-26T20:28:21Z</dcterms:created>
  <dcterms:modified xsi:type="dcterms:W3CDTF">2025-05-20T01:12:07Z</dcterms:modified>
</cp:coreProperties>
</file>