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bqrr\Desktop\MakeMoreMoney\"/>
    </mc:Choice>
  </mc:AlternateContent>
  <xr:revisionPtr revIDLastSave="0" documentId="13_ncr:1_{8FAD1D53-34B8-4985-B178-75AD526A0111}" xr6:coauthVersionLast="36" xr6:coauthVersionMax="36" xr10:uidLastSave="{00000000-0000-0000-0000-000000000000}"/>
  <bookViews>
    <workbookView xWindow="0" yWindow="0" windowWidth="38400" windowHeight="17535" xr2:uid="{83293AED-B13B-44AE-BE71-2450F74312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G16" i="1"/>
  <c r="F18" i="1"/>
  <c r="E19" i="1"/>
  <c r="C24" i="1"/>
  <c r="H23" i="1"/>
  <c r="H22" i="1"/>
  <c r="H21" i="1"/>
  <c r="H20" i="1"/>
  <c r="H19" i="1"/>
  <c r="H18" i="1"/>
  <c r="H17" i="1"/>
  <c r="H16" i="1"/>
  <c r="H15" i="1"/>
  <c r="H14" i="1"/>
  <c r="H13" i="1"/>
  <c r="H12" i="1"/>
  <c r="G23" i="1"/>
  <c r="G22" i="1"/>
  <c r="G21" i="1"/>
  <c r="G20" i="1"/>
  <c r="G19" i="1"/>
  <c r="G18" i="1"/>
  <c r="G17" i="1"/>
  <c r="G15" i="1"/>
  <c r="G14" i="1"/>
  <c r="G13" i="1"/>
  <c r="G12" i="1"/>
  <c r="F23" i="1"/>
  <c r="F22" i="1"/>
  <c r="F21" i="1"/>
  <c r="F20" i="1"/>
  <c r="F19" i="1"/>
  <c r="F17" i="1"/>
  <c r="F16" i="1"/>
  <c r="F15" i="1"/>
  <c r="F14" i="1"/>
  <c r="F13" i="1"/>
  <c r="F12" i="1"/>
  <c r="E13" i="1"/>
  <c r="E23" i="1"/>
  <c r="E21" i="1"/>
  <c r="E20" i="1"/>
  <c r="E22" i="1"/>
  <c r="E14" i="1"/>
  <c r="E15" i="1"/>
  <c r="E16" i="1"/>
  <c r="E17" i="1"/>
  <c r="E18" i="1"/>
  <c r="E12" i="1"/>
  <c r="K23" i="1" l="1"/>
  <c r="K22" i="1"/>
  <c r="K21" i="1"/>
  <c r="K20" i="1"/>
  <c r="K19" i="1"/>
  <c r="K18" i="1"/>
  <c r="K17" i="1"/>
  <c r="K16" i="1"/>
  <c r="K15" i="1"/>
  <c r="K14" i="1"/>
  <c r="K13" i="1"/>
  <c r="K12" i="1"/>
  <c r="J23" i="1"/>
  <c r="J22" i="1"/>
  <c r="J21" i="1"/>
  <c r="J20" i="1"/>
  <c r="J19" i="1"/>
  <c r="J18" i="1"/>
  <c r="J17" i="1"/>
  <c r="J16" i="1"/>
  <c r="J15" i="1"/>
  <c r="J14" i="1"/>
  <c r="J13" i="1"/>
  <c r="J12" i="1"/>
  <c r="C23" i="1"/>
  <c r="C22" i="1"/>
  <c r="C21" i="1"/>
  <c r="C20" i="1"/>
  <c r="C19" i="1"/>
  <c r="C18" i="1"/>
  <c r="C17" i="1"/>
  <c r="C16" i="1"/>
  <c r="C15" i="1"/>
  <c r="C14" i="1"/>
  <c r="C12" i="1"/>
  <c r="C13" i="1"/>
  <c r="I12" i="1" l="1"/>
  <c r="D13" i="1"/>
  <c r="D14" i="1"/>
  <c r="D15" i="1"/>
  <c r="D16" i="1"/>
  <c r="D17" i="1"/>
  <c r="D18" i="1"/>
  <c r="D19" i="1"/>
  <c r="D20" i="1"/>
  <c r="D21" i="1"/>
  <c r="D22" i="1"/>
  <c r="D23" i="1"/>
  <c r="D24" i="1" s="1"/>
  <c r="D12" i="1"/>
  <c r="I18" i="1"/>
  <c r="L12" i="1" l="1"/>
  <c r="L18" i="1"/>
  <c r="I15" i="1"/>
  <c r="L15" i="1" s="1"/>
  <c r="N15" i="1" s="1"/>
  <c r="I14" i="1"/>
  <c r="L14" i="1" s="1"/>
  <c r="N14" i="1" s="1"/>
  <c r="I13" i="1"/>
  <c r="L13" i="1" s="1"/>
  <c r="N13" i="1" s="1"/>
  <c r="I22" i="1"/>
  <c r="L22" i="1" s="1"/>
  <c r="N22" i="1" s="1"/>
  <c r="I21" i="1"/>
  <c r="L21" i="1" s="1"/>
  <c r="N21" i="1" s="1"/>
  <c r="I17" i="1"/>
  <c r="L17" i="1" s="1"/>
  <c r="N17" i="1" s="1"/>
  <c r="I23" i="1"/>
  <c r="L23" i="1" s="1"/>
  <c r="I20" i="1"/>
  <c r="L20" i="1" s="1"/>
  <c r="N20" i="1" s="1"/>
  <c r="I16" i="1"/>
  <c r="L16" i="1" s="1"/>
  <c r="N16" i="1" s="1"/>
  <c r="I19" i="1"/>
  <c r="L19" i="1" s="1"/>
  <c r="N19" i="1" s="1"/>
  <c r="M12" i="1"/>
  <c r="N12" i="1"/>
  <c r="N18" i="1"/>
  <c r="M18" i="1"/>
  <c r="M23" i="1" l="1"/>
  <c r="L24" i="1"/>
  <c r="O12" i="1"/>
  <c r="P12" i="1" s="1"/>
  <c r="M13" i="1"/>
  <c r="O13" i="1" s="1"/>
  <c r="M22" i="1"/>
  <c r="M21" i="1"/>
  <c r="M14" i="1"/>
  <c r="N23" i="1"/>
  <c r="M20" i="1"/>
  <c r="M15" i="1"/>
  <c r="M17" i="1"/>
  <c r="M16" i="1"/>
  <c r="M19" i="1"/>
  <c r="Q12" i="1" l="1"/>
  <c r="P13" i="1"/>
  <c r="Q13" i="1" s="1"/>
  <c r="M24" i="1"/>
  <c r="N24" i="1"/>
  <c r="O14" i="1"/>
  <c r="P14" i="1" s="1"/>
  <c r="Q14" i="1" s="1"/>
  <c r="O15" i="1" l="1"/>
  <c r="O16" i="1" s="1"/>
  <c r="P15" i="1" l="1"/>
  <c r="O17" i="1"/>
  <c r="P16" i="1"/>
  <c r="Q16" i="1" s="1"/>
  <c r="Q15" i="1" l="1"/>
  <c r="O18" i="1"/>
  <c r="P17" i="1"/>
  <c r="Q17" i="1" s="1"/>
  <c r="O19" i="1" l="1"/>
  <c r="P18" i="1"/>
  <c r="Q18" i="1" s="1"/>
  <c r="O20" i="1" l="1"/>
  <c r="P19" i="1"/>
  <c r="Q19" i="1" s="1"/>
  <c r="O21" i="1" l="1"/>
  <c r="P20" i="1"/>
  <c r="Q20" i="1" s="1"/>
  <c r="O22" i="1" l="1"/>
  <c r="P21" i="1"/>
  <c r="Q21" i="1" s="1"/>
  <c r="O23" i="1" l="1"/>
  <c r="P22" i="1"/>
  <c r="Q22" i="1" s="1"/>
  <c r="P23" i="1" l="1"/>
  <c r="O24" i="1"/>
  <c r="Q23" i="1" l="1"/>
  <c r="Q25" i="1" s="1"/>
  <c r="P25" i="1"/>
  <c r="F28" i="1" s="1"/>
  <c r="P24" i="1"/>
  <c r="Q24" i="1" s="1"/>
  <c r="Q26" i="1" s="1"/>
  <c r="F40" i="1"/>
  <c r="N26" i="1" l="1"/>
  <c r="P26" i="1"/>
  <c r="F31" i="1" s="1"/>
  <c r="F34" i="1"/>
  <c r="F37" i="1" l="1"/>
</calcChain>
</file>

<file path=xl/sharedStrings.xml><?xml version="1.0" encoding="utf-8"?>
<sst xmlns="http://schemas.openxmlformats.org/spreadsheetml/2006/main" count="55" uniqueCount="54">
  <si>
    <t>养老</t>
    <phoneticPr fontId="1" type="noConversion"/>
  </si>
  <si>
    <t>医疗</t>
    <phoneticPr fontId="1" type="noConversion"/>
  </si>
  <si>
    <t>月份</t>
    <phoneticPr fontId="1" type="noConversion"/>
  </si>
  <si>
    <t>年终奖</t>
    <phoneticPr fontId="1" type="noConversion"/>
  </si>
  <si>
    <t>专项附加扣除</t>
    <phoneticPr fontId="1" type="noConversion"/>
  </si>
  <si>
    <t>失业</t>
    <phoneticPr fontId="1" type="noConversion"/>
  </si>
  <si>
    <t>累计应纳税所得额</t>
    <phoneticPr fontId="1" type="noConversion"/>
  </si>
  <si>
    <t>税前月薪</t>
    <phoneticPr fontId="1" type="noConversion"/>
  </si>
  <si>
    <t>累计税前月薪</t>
    <phoneticPr fontId="1" type="noConversion"/>
  </si>
  <si>
    <t>累计专项附加扣除</t>
    <phoneticPr fontId="1" type="noConversion"/>
  </si>
  <si>
    <t>累计起征点扣除</t>
    <phoneticPr fontId="1" type="noConversion"/>
  </si>
  <si>
    <t>累计应纳税所得额
对应税率表</t>
    <phoneticPr fontId="1" type="noConversion"/>
  </si>
  <si>
    <t>累计应纳税所得额
对应速算扣除数</t>
    <phoneticPr fontId="1" type="noConversion"/>
  </si>
  <si>
    <t>当月个税</t>
    <phoneticPr fontId="1" type="noConversion"/>
  </si>
  <si>
    <t>税后+
公司和个人公积金</t>
    <phoneticPr fontId="1" type="noConversion"/>
  </si>
  <si>
    <t>失业保险比例</t>
    <phoneticPr fontId="1" type="noConversion"/>
  </si>
  <si>
    <t>医疗保险比例</t>
    <phoneticPr fontId="1" type="noConversion"/>
  </si>
  <si>
    <t>养老保险比例</t>
    <phoneticPr fontId="1" type="noConversion"/>
  </si>
  <si>
    <t>个人公积金比例</t>
    <phoneticPr fontId="1" type="noConversion"/>
  </si>
  <si>
    <t>企业公积金比例</t>
    <phoneticPr fontId="1" type="noConversion"/>
  </si>
  <si>
    <t>公积金缴费比例</t>
    <phoneticPr fontId="1" type="noConversion"/>
  </si>
  <si>
    <t>继续教育</t>
    <phoneticPr fontId="1" type="noConversion"/>
  </si>
  <si>
    <t>租房</t>
    <phoneticPr fontId="1" type="noConversion"/>
  </si>
  <si>
    <t>大病</t>
    <phoneticPr fontId="1" type="noConversion"/>
  </si>
  <si>
    <t>当月税后</t>
    <phoneticPr fontId="1" type="noConversion"/>
  </si>
  <si>
    <t>社保缴费上限</t>
    <phoneticPr fontId="1" type="noConversion"/>
  </si>
  <si>
    <t>当月税前月薪</t>
    <phoneticPr fontId="1" type="noConversion"/>
  </si>
  <si>
    <t>个人累计五险一金扣除</t>
    <phoneticPr fontId="1" type="noConversion"/>
  </si>
  <si>
    <t>个人当月社保扣除</t>
    <phoneticPr fontId="1" type="noConversion"/>
  </si>
  <si>
    <t>个人当月公积金扣除</t>
    <phoneticPr fontId="1" type="noConversion"/>
  </si>
  <si>
    <t>公积金缴费上限</t>
    <phoneticPr fontId="1" type="noConversion"/>
  </si>
  <si>
    <t>医疗大病统筹/元</t>
    <phoneticPr fontId="1" type="noConversion"/>
  </si>
  <si>
    <t>个税起征点</t>
    <phoneticPr fontId="1" type="noConversion"/>
  </si>
  <si>
    <t>请根据个人情况修改此表</t>
    <phoneticPr fontId="1" type="noConversion"/>
  </si>
  <si>
    <t>此表自动计算不要修改</t>
    <phoneticPr fontId="1" type="noConversion"/>
  </si>
  <si>
    <t>税后年终奖：</t>
    <phoneticPr fontId="1" type="noConversion"/>
  </si>
  <si>
    <t>税前年终奖：</t>
    <phoneticPr fontId="1" type="noConversion"/>
  </si>
  <si>
    <t>您今年为国纳税：</t>
    <phoneticPr fontId="1" type="noConversion"/>
  </si>
  <si>
    <t>为国纳税，无限光荣！</t>
    <phoneticPr fontId="1" type="noConversion"/>
  </si>
  <si>
    <t>社保缴费基数</t>
    <phoneticPr fontId="1" type="noConversion"/>
  </si>
  <si>
    <t>公积金缴费基数</t>
    <phoneticPr fontId="1" type="noConversion"/>
  </si>
  <si>
    <t>另有公积金(个人+公司)：</t>
    <phoneticPr fontId="1" type="noConversion"/>
  </si>
  <si>
    <t>不算年终，年税后收入：</t>
    <phoneticPr fontId="1" type="noConversion"/>
  </si>
  <si>
    <t>算年终奖，年税后收入：</t>
    <phoneticPr fontId="1" type="noConversion"/>
  </si>
  <si>
    <t>艰苦奋斗</t>
    <phoneticPr fontId="1" type="noConversion"/>
  </si>
  <si>
    <t>房贷还款</t>
    <phoneticPr fontId="1" type="noConversion"/>
  </si>
  <si>
    <t>您的税后工资收入(无公积金、不含年终奖)：</t>
    <phoneticPr fontId="1" type="noConversion"/>
  </si>
  <si>
    <t>您的税后工资收入(无公积金、含年终奖)：</t>
    <phoneticPr fontId="1" type="noConversion"/>
  </si>
  <si>
    <t>您的税后全部收入(工资+年终+公积金)：</t>
    <phoneticPr fontId="1" type="noConversion"/>
  </si>
  <si>
    <t>税后工资计算器</t>
    <phoneticPr fontId="1" type="noConversion"/>
  </si>
  <si>
    <t>赡养老人(60岁以上)</t>
    <phoneticPr fontId="1" type="noConversion"/>
  </si>
  <si>
    <t>子女抚养(3岁以上)</t>
    <phoneticPr fontId="1" type="noConversion"/>
  </si>
  <si>
    <t>李展博 2021.10.29
lzbqrr@163.com
项目地址：https://github.com/LZBUAV/MakeMoreMoney</t>
    <phoneticPr fontId="1" type="noConversion"/>
  </si>
  <si>
    <t>个人社保(三险)缴费比例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</si>
</sst>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0.0%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宋体"/>
      <family val="3"/>
      <charset val="134"/>
    </font>
    <font>
      <sz val="26"/>
      <color rgb="FFFF0000"/>
      <name val="宋体"/>
      <family val="3"/>
      <charset val="134"/>
    </font>
    <font>
      <sz val="28"/>
      <color rgb="FFFF0000"/>
      <name val="宋体"/>
      <family val="3"/>
      <charset val="134"/>
    </font>
    <font>
      <sz val="72"/>
      <color rgb="FFFF0000"/>
      <name val="宋体"/>
      <family val="3"/>
      <charset val="134"/>
    </font>
    <font>
      <b/>
      <sz val="36"/>
      <color rgb="FFFF0000"/>
      <name val="宋体"/>
      <family val="3"/>
      <charset val="134"/>
    </font>
    <font>
      <b/>
      <sz val="72"/>
      <color rgb="FFFF0000"/>
      <name val="宋体"/>
      <family val="3"/>
      <charset val="134"/>
    </font>
    <font>
      <sz val="16"/>
      <color rgb="FF00B050"/>
      <name val="宋体"/>
      <family val="3"/>
      <charset val="134"/>
    </font>
    <font>
      <sz val="20"/>
      <color theme="1"/>
      <name val="宋体"/>
      <family val="3"/>
      <charset val="134"/>
    </font>
    <font>
      <sz val="72"/>
      <color theme="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5">
    <border>
      <left/>
      <right/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7" fontId="2" fillId="8" borderId="1" xfId="0" applyNumberFormat="1" applyFont="1" applyFill="1" applyBorder="1" applyAlignment="1">
      <alignment horizontal="center" vertical="center"/>
    </xf>
    <xf numFmtId="176" fontId="2" fillId="7" borderId="5" xfId="0" applyNumberFormat="1" applyFont="1" applyFill="1" applyBorder="1" applyAlignment="1">
      <alignment horizontal="center" vertical="center"/>
    </xf>
    <xf numFmtId="176" fontId="2" fillId="9" borderId="2" xfId="0" applyNumberFormat="1" applyFont="1" applyFill="1" applyBorder="1" applyAlignment="1">
      <alignment horizontal="center" vertical="center"/>
    </xf>
    <xf numFmtId="176" fontId="2" fillId="6" borderId="2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6" fontId="2" fillId="5" borderId="2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7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right" vertical="center"/>
    </xf>
    <xf numFmtId="176" fontId="2" fillId="11" borderId="4" xfId="0" applyNumberFormat="1" applyFont="1" applyFill="1" applyBorder="1" applyAlignment="1">
      <alignment horizontal="center" vertical="center"/>
    </xf>
    <xf numFmtId="176" fontId="2" fillId="11" borderId="5" xfId="0" applyNumberFormat="1" applyFont="1" applyFill="1" applyBorder="1" applyAlignment="1">
      <alignment horizontal="center" vertical="center"/>
    </xf>
    <xf numFmtId="176" fontId="2" fillId="12" borderId="5" xfId="0" applyNumberFormat="1" applyFont="1" applyFill="1" applyBorder="1" applyAlignment="1">
      <alignment horizontal="center" vertical="center"/>
    </xf>
    <xf numFmtId="176" fontId="2" fillId="13" borderId="5" xfId="0" applyNumberFormat="1" applyFont="1" applyFill="1" applyBorder="1" applyAlignment="1">
      <alignment horizontal="center" vertical="center"/>
    </xf>
    <xf numFmtId="176" fontId="2" fillId="14" borderId="2" xfId="0" applyNumberFormat="1" applyFont="1" applyFill="1" applyBorder="1" applyAlignment="1">
      <alignment horizontal="center" vertical="center"/>
    </xf>
    <xf numFmtId="178" fontId="2" fillId="14" borderId="5" xfId="0" applyNumberFormat="1" applyFont="1" applyFill="1" applyBorder="1" applyAlignment="1">
      <alignment horizontal="center" vertical="center"/>
    </xf>
    <xf numFmtId="176" fontId="2" fillId="14" borderId="5" xfId="0" applyNumberFormat="1" applyFont="1" applyFill="1" applyBorder="1" applyAlignment="1">
      <alignment horizontal="center" vertical="center"/>
    </xf>
    <xf numFmtId="176" fontId="2" fillId="15" borderId="2" xfId="0" applyNumberFormat="1" applyFont="1" applyFill="1" applyBorder="1" applyAlignment="1">
      <alignment horizontal="center" vertical="center"/>
    </xf>
    <xf numFmtId="178" fontId="2" fillId="15" borderId="5" xfId="0" applyNumberFormat="1" applyFont="1" applyFill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176" fontId="9" fillId="10" borderId="2" xfId="0" applyNumberFormat="1" applyFont="1" applyFill="1" applyBorder="1" applyAlignment="1">
      <alignment horizontal="center" vertical="center"/>
    </xf>
    <xf numFmtId="176" fontId="9" fillId="10" borderId="2" xfId="0" applyNumberFormat="1" applyFont="1" applyFill="1" applyBorder="1" applyAlignment="1">
      <alignment horizontal="right" vertical="center"/>
    </xf>
    <xf numFmtId="176" fontId="8" fillId="8" borderId="23" xfId="0" applyNumberFormat="1" applyFont="1" applyFill="1" applyBorder="1" applyAlignment="1">
      <alignment vertical="center"/>
    </xf>
    <xf numFmtId="176" fontId="8" fillId="8" borderId="22" xfId="0" applyNumberFormat="1" applyFont="1" applyFill="1" applyBorder="1" applyAlignment="1">
      <alignment vertical="center"/>
    </xf>
    <xf numFmtId="176" fontId="8" fillId="8" borderId="24" xfId="0" applyNumberFormat="1" applyFont="1" applyFill="1" applyBorder="1" applyAlignment="1">
      <alignment vertical="center"/>
    </xf>
    <xf numFmtId="176" fontId="10" fillId="3" borderId="25" xfId="0" applyNumberFormat="1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176" fontId="2" fillId="3" borderId="27" xfId="0" applyNumberFormat="1" applyFont="1" applyFill="1" applyBorder="1" applyAlignment="1">
      <alignment horizontal="center" vertical="center"/>
    </xf>
    <xf numFmtId="176" fontId="2" fillId="3" borderId="33" xfId="0" applyNumberFormat="1" applyFont="1" applyFill="1" applyBorder="1" applyAlignment="1">
      <alignment horizontal="center" vertical="center"/>
    </xf>
    <xf numFmtId="176" fontId="2" fillId="3" borderId="30" xfId="0" applyNumberFormat="1" applyFont="1" applyFill="1" applyBorder="1" applyAlignment="1">
      <alignment horizontal="center" vertical="center"/>
    </xf>
    <xf numFmtId="176" fontId="2" fillId="3" borderId="34" xfId="0" applyNumberFormat="1" applyFont="1" applyFill="1" applyBorder="1" applyAlignment="1">
      <alignment horizontal="center" vertical="center"/>
    </xf>
    <xf numFmtId="176" fontId="7" fillId="16" borderId="10" xfId="0" applyNumberFormat="1" applyFont="1" applyFill="1" applyBorder="1" applyAlignment="1">
      <alignment horizontal="center" vertical="center" textRotation="255"/>
    </xf>
    <xf numFmtId="176" fontId="7" fillId="16" borderId="12" xfId="0" applyNumberFormat="1" applyFont="1" applyFill="1" applyBorder="1" applyAlignment="1">
      <alignment horizontal="center" vertical="center" textRotation="255"/>
    </xf>
    <xf numFmtId="176" fontId="7" fillId="16" borderId="7" xfId="0" applyNumberFormat="1" applyFont="1" applyFill="1" applyBorder="1" applyAlignment="1">
      <alignment horizontal="center" vertical="center" textRotation="255"/>
    </xf>
    <xf numFmtId="176" fontId="7" fillId="16" borderId="8" xfId="0" applyNumberFormat="1" applyFont="1" applyFill="1" applyBorder="1" applyAlignment="1">
      <alignment horizontal="center" vertical="center" textRotation="255"/>
    </xf>
    <xf numFmtId="176" fontId="7" fillId="16" borderId="13" xfId="0" applyNumberFormat="1" applyFont="1" applyFill="1" applyBorder="1" applyAlignment="1">
      <alignment horizontal="center" vertical="center" textRotation="255"/>
    </xf>
    <xf numFmtId="176" fontId="7" fillId="16" borderId="14" xfId="0" applyNumberFormat="1" applyFont="1" applyFill="1" applyBorder="1" applyAlignment="1">
      <alignment horizontal="center" vertical="center" textRotation="255"/>
    </xf>
    <xf numFmtId="176" fontId="9" fillId="10" borderId="15" xfId="0" applyNumberFormat="1" applyFont="1" applyFill="1" applyBorder="1" applyAlignment="1">
      <alignment horizontal="center" vertical="center"/>
    </xf>
    <xf numFmtId="176" fontId="9" fillId="10" borderId="11" xfId="0" applyNumberFormat="1" applyFont="1" applyFill="1" applyBorder="1" applyAlignment="1">
      <alignment horizontal="center" vertical="center"/>
    </xf>
    <xf numFmtId="176" fontId="9" fillId="10" borderId="16" xfId="0" applyNumberFormat="1" applyFont="1" applyFill="1" applyBorder="1" applyAlignment="1">
      <alignment horizontal="center" vertical="center"/>
    </xf>
    <xf numFmtId="176" fontId="9" fillId="10" borderId="17" xfId="0" applyNumberFormat="1" applyFont="1" applyFill="1" applyBorder="1" applyAlignment="1">
      <alignment horizontal="center" vertical="center"/>
    </xf>
    <xf numFmtId="176" fontId="9" fillId="10" borderId="0" xfId="0" applyNumberFormat="1" applyFont="1" applyFill="1" applyBorder="1" applyAlignment="1">
      <alignment horizontal="center" vertical="center"/>
    </xf>
    <xf numFmtId="176" fontId="9" fillId="10" borderId="18" xfId="0" applyNumberFormat="1" applyFont="1" applyFill="1" applyBorder="1" applyAlignment="1">
      <alignment horizontal="center" vertical="center"/>
    </xf>
    <xf numFmtId="176" fontId="9" fillId="10" borderId="19" xfId="0" applyNumberFormat="1" applyFont="1" applyFill="1" applyBorder="1" applyAlignment="1">
      <alignment horizontal="center" vertical="center"/>
    </xf>
    <xf numFmtId="176" fontId="9" fillId="10" borderId="9" xfId="0" applyNumberFormat="1" applyFont="1" applyFill="1" applyBorder="1" applyAlignment="1">
      <alignment horizontal="center" vertical="center"/>
    </xf>
    <xf numFmtId="176" fontId="9" fillId="10" borderId="20" xfId="0" applyNumberFormat="1" applyFont="1" applyFill="1" applyBorder="1" applyAlignment="1">
      <alignment horizontal="center" vertical="center"/>
    </xf>
    <xf numFmtId="176" fontId="9" fillId="10" borderId="28" xfId="0" applyNumberFormat="1" applyFont="1" applyFill="1" applyBorder="1" applyAlignment="1">
      <alignment horizontal="center" vertical="center"/>
    </xf>
    <xf numFmtId="176" fontId="9" fillId="10" borderId="30" xfId="0" applyNumberFormat="1" applyFont="1" applyFill="1" applyBorder="1" applyAlignment="1">
      <alignment horizontal="center" vertical="center"/>
    </xf>
    <xf numFmtId="176" fontId="9" fillId="10" borderId="29" xfId="0" applyNumberFormat="1" applyFont="1" applyFill="1" applyBorder="1" applyAlignment="1">
      <alignment horizontal="center" vertical="center"/>
    </xf>
    <xf numFmtId="176" fontId="4" fillId="16" borderId="1" xfId="0" applyNumberFormat="1" applyFont="1" applyFill="1" applyBorder="1" applyAlignment="1">
      <alignment horizontal="right" vertical="center"/>
    </xf>
    <xf numFmtId="176" fontId="4" fillId="16" borderId="2" xfId="0" applyNumberFormat="1" applyFont="1" applyFill="1" applyBorder="1" applyAlignment="1">
      <alignment horizontal="right" vertical="center"/>
    </xf>
    <xf numFmtId="176" fontId="4" fillId="16" borderId="2" xfId="0" applyNumberFormat="1" applyFont="1" applyFill="1" applyBorder="1" applyAlignment="1">
      <alignment horizontal="center" vertical="center"/>
    </xf>
    <xf numFmtId="0" fontId="4" fillId="16" borderId="2" xfId="0" applyNumberFormat="1" applyFont="1" applyFill="1" applyBorder="1" applyAlignment="1">
      <alignment horizontal="center" vertical="center" wrapText="1"/>
    </xf>
    <xf numFmtId="0" fontId="5" fillId="16" borderId="2" xfId="0" applyNumberFormat="1" applyFont="1" applyFill="1" applyBorder="1" applyAlignment="1">
      <alignment horizontal="center" vertical="center"/>
    </xf>
    <xf numFmtId="0" fontId="5" fillId="16" borderId="5" xfId="0" applyNumberFormat="1" applyFont="1" applyFill="1" applyBorder="1" applyAlignment="1">
      <alignment horizontal="center" vertical="center"/>
    </xf>
    <xf numFmtId="176" fontId="9" fillId="10" borderId="2" xfId="0" applyNumberFormat="1" applyFont="1" applyFill="1" applyBorder="1" applyAlignment="1">
      <alignment horizontal="center" vertical="center"/>
    </xf>
    <xf numFmtId="176" fontId="4" fillId="16" borderId="4" xfId="0" applyNumberFormat="1" applyFont="1" applyFill="1" applyBorder="1" applyAlignment="1">
      <alignment horizontal="right" vertical="center"/>
    </xf>
    <xf numFmtId="176" fontId="4" fillId="16" borderId="5" xfId="0" applyNumberFormat="1" applyFont="1" applyFill="1" applyBorder="1" applyAlignment="1">
      <alignment horizontal="right" vertical="center"/>
    </xf>
    <xf numFmtId="176" fontId="4" fillId="16" borderId="5" xfId="0" applyNumberFormat="1" applyFont="1" applyFill="1" applyBorder="1" applyAlignment="1">
      <alignment horizontal="center" vertical="center"/>
    </xf>
    <xf numFmtId="176" fontId="2" fillId="6" borderId="2" xfId="0" applyNumberFormat="1" applyFont="1" applyFill="1" applyBorder="1" applyAlignment="1">
      <alignment horizontal="center" vertical="center"/>
    </xf>
    <xf numFmtId="176" fontId="2" fillId="2" borderId="32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2" fillId="11" borderId="21" xfId="0" applyNumberFormat="1" applyFont="1" applyFill="1" applyBorder="1" applyAlignment="1">
      <alignment horizontal="center" vertical="center"/>
    </xf>
    <xf numFmtId="176" fontId="2" fillId="11" borderId="2" xfId="0" applyNumberFormat="1" applyFont="1" applyFill="1" applyBorder="1" applyAlignment="1">
      <alignment horizontal="center" vertical="center"/>
    </xf>
    <xf numFmtId="176" fontId="2" fillId="6" borderId="2" xfId="0" applyNumberFormat="1" applyFont="1" applyFill="1" applyBorder="1" applyAlignment="1">
      <alignment horizontal="center" vertical="center" wrapText="1"/>
    </xf>
    <xf numFmtId="176" fontId="2" fillId="8" borderId="1" xfId="0" applyNumberFormat="1" applyFont="1" applyFill="1" applyBorder="1" applyAlignment="1">
      <alignment horizontal="center" vertical="center"/>
    </xf>
    <xf numFmtId="176" fontId="2" fillId="5" borderId="2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12" borderId="21" xfId="0" applyNumberFormat="1" applyFont="1" applyFill="1" applyBorder="1" applyAlignment="1">
      <alignment horizontal="center" vertical="center"/>
    </xf>
    <xf numFmtId="176" fontId="2" fillId="12" borderId="2" xfId="0" applyNumberFormat="1" applyFont="1" applyFill="1" applyBorder="1" applyAlignment="1">
      <alignment horizontal="center" vertical="center"/>
    </xf>
    <xf numFmtId="176" fontId="6" fillId="3" borderId="4" xfId="0" applyNumberFormat="1" applyFon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176" fontId="6" fillId="16" borderId="25" xfId="0" applyNumberFormat="1" applyFont="1" applyFill="1" applyBorder="1" applyAlignment="1">
      <alignment horizontal="center" vertical="center"/>
    </xf>
    <xf numFmtId="176" fontId="6" fillId="16" borderId="26" xfId="0" applyNumberFormat="1" applyFont="1" applyFill="1" applyBorder="1" applyAlignment="1">
      <alignment horizontal="center" vertical="center"/>
    </xf>
    <xf numFmtId="176" fontId="6" fillId="16" borderId="27" xfId="0" applyNumberFormat="1" applyFont="1" applyFill="1" applyBorder="1" applyAlignment="1">
      <alignment horizontal="center" vertical="center"/>
    </xf>
    <xf numFmtId="176" fontId="2" fillId="11" borderId="31" xfId="0" applyNumberFormat="1" applyFont="1" applyFill="1" applyBorder="1" applyAlignment="1">
      <alignment horizontal="center" vertical="center"/>
    </xf>
    <xf numFmtId="176" fontId="2" fillId="11" borderId="1" xfId="0" applyNumberFormat="1" applyFont="1" applyFill="1" applyBorder="1" applyAlignment="1">
      <alignment horizontal="center" vertical="center"/>
    </xf>
    <xf numFmtId="176" fontId="2" fillId="14" borderId="21" xfId="0" applyNumberFormat="1" applyFont="1" applyFill="1" applyBorder="1" applyAlignment="1">
      <alignment horizontal="center" vertical="center"/>
    </xf>
    <xf numFmtId="176" fontId="2" fillId="15" borderId="21" xfId="0" applyNumberFormat="1" applyFont="1" applyFill="1" applyBorder="1" applyAlignment="1">
      <alignment horizontal="center" vertical="center"/>
    </xf>
    <xf numFmtId="176" fontId="2" fillId="7" borderId="21" xfId="0" applyNumberFormat="1" applyFont="1" applyFill="1" applyBorder="1" applyAlignment="1">
      <alignment horizontal="center" vertical="center"/>
    </xf>
    <xf numFmtId="176" fontId="2" fillId="13" borderId="21" xfId="0" applyNumberFormat="1" applyFont="1" applyFill="1" applyBorder="1" applyAlignment="1">
      <alignment horizontal="center" vertical="center"/>
    </xf>
    <xf numFmtId="176" fontId="2" fillId="13" borderId="2" xfId="0" applyNumberFormat="1" applyFont="1" applyFill="1" applyBorder="1" applyAlignment="1">
      <alignment horizontal="center" vertical="center"/>
    </xf>
    <xf numFmtId="176" fontId="2" fillId="5" borderId="2" xfId="0" applyNumberFormat="1" applyFont="1" applyFill="1" applyBorder="1" applyAlignment="1">
      <alignment horizontal="center" vertical="center" wrapText="1"/>
    </xf>
    <xf numFmtId="176" fontId="2" fillId="7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4F41-F140-44CD-87C3-EBE0F5164B7E}">
  <dimension ref="B1:W43"/>
  <sheetViews>
    <sheetView tabSelected="1" topLeftCell="A4" zoomScale="55" zoomScaleNormal="55" workbookViewId="0">
      <selection activeCell="B4" sqref="B4:T4"/>
    </sheetView>
  </sheetViews>
  <sheetFormatPr defaultRowHeight="20.25" x14ac:dyDescent="0.2"/>
  <cols>
    <col min="1" max="1" width="3.25" style="1" customWidth="1"/>
    <col min="2" max="2" width="17.25" style="1" customWidth="1"/>
    <col min="3" max="3" width="26.375" style="1" customWidth="1"/>
    <col min="4" max="4" width="29.125" style="1" customWidth="1"/>
    <col min="5" max="5" width="30.375" style="1" customWidth="1"/>
    <col min="6" max="6" width="18.875" style="1" customWidth="1"/>
    <col min="7" max="7" width="21.75" style="1" customWidth="1"/>
    <col min="8" max="8" width="26" style="1" customWidth="1"/>
    <col min="9" max="9" width="31.625" style="1" customWidth="1"/>
    <col min="10" max="10" width="25.125" style="1" customWidth="1"/>
    <col min="11" max="11" width="25.5" style="1" customWidth="1"/>
    <col min="12" max="12" width="24.875" style="1" customWidth="1"/>
    <col min="13" max="13" width="31" style="1" customWidth="1"/>
    <col min="14" max="14" width="27.625" style="1" customWidth="1"/>
    <col min="15" max="15" width="39.875" style="1" customWidth="1"/>
    <col min="16" max="16" width="33.5" style="1" customWidth="1"/>
    <col min="17" max="17" width="21.25" style="1" customWidth="1"/>
    <col min="18" max="18" width="18.5" style="1" customWidth="1"/>
    <col min="19" max="19" width="15.875" style="1" customWidth="1"/>
    <col min="20" max="20" width="17" style="1" customWidth="1"/>
    <col min="21" max="16384" width="9" style="1"/>
  </cols>
  <sheetData>
    <row r="1" spans="2:23" ht="21" thickBot="1" x14ac:dyDescent="0.25"/>
    <row r="2" spans="2:23" ht="21.75" thickTop="1" thickBot="1" x14ac:dyDescent="0.25">
      <c r="B2" s="29" t="s">
        <v>49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1"/>
    </row>
    <row r="3" spans="2:23" ht="81" customHeight="1" thickBot="1" x14ac:dyDescent="0.25"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4"/>
    </row>
    <row r="4" spans="2:23" ht="75" customHeight="1" thickBot="1" x14ac:dyDescent="0.25">
      <c r="B4" s="75" t="s">
        <v>33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7"/>
    </row>
    <row r="5" spans="2:23" ht="39.950000000000003" customHeight="1" thickTop="1" thickBot="1" x14ac:dyDescent="0.25">
      <c r="B5" s="81" t="s">
        <v>7</v>
      </c>
      <c r="C5" s="66" t="s">
        <v>3</v>
      </c>
      <c r="D5" s="73" t="s">
        <v>39</v>
      </c>
      <c r="E5" s="73" t="s">
        <v>40</v>
      </c>
      <c r="F5" s="86" t="s">
        <v>25</v>
      </c>
      <c r="G5" s="86" t="s">
        <v>30</v>
      </c>
      <c r="H5" s="83" t="s">
        <v>53</v>
      </c>
      <c r="I5" s="83"/>
      <c r="J5" s="83"/>
      <c r="K5" s="83"/>
      <c r="L5" s="84" t="s">
        <v>20</v>
      </c>
      <c r="M5" s="84"/>
      <c r="N5" s="85" t="s">
        <v>4</v>
      </c>
      <c r="O5" s="85"/>
      <c r="P5" s="85"/>
      <c r="Q5" s="85"/>
      <c r="R5" s="85"/>
      <c r="S5" s="85"/>
      <c r="T5" s="64" t="s">
        <v>32</v>
      </c>
      <c r="U5" s="2"/>
      <c r="V5" s="2"/>
      <c r="W5" s="2"/>
    </row>
    <row r="6" spans="2:23" ht="39.950000000000003" customHeight="1" thickBot="1" x14ac:dyDescent="0.25">
      <c r="B6" s="82"/>
      <c r="C6" s="67"/>
      <c r="D6" s="74"/>
      <c r="E6" s="74"/>
      <c r="F6" s="87"/>
      <c r="G6" s="87"/>
      <c r="H6" s="18" t="s">
        <v>17</v>
      </c>
      <c r="I6" s="18" t="s">
        <v>16</v>
      </c>
      <c r="J6" s="18" t="s">
        <v>31</v>
      </c>
      <c r="K6" s="18" t="s">
        <v>15</v>
      </c>
      <c r="L6" s="21" t="s">
        <v>18</v>
      </c>
      <c r="M6" s="21" t="s">
        <v>19</v>
      </c>
      <c r="N6" s="11" t="s">
        <v>21</v>
      </c>
      <c r="O6" s="11" t="s">
        <v>50</v>
      </c>
      <c r="P6" s="11" t="s">
        <v>51</v>
      </c>
      <c r="Q6" s="11" t="s">
        <v>45</v>
      </c>
      <c r="R6" s="11" t="s">
        <v>22</v>
      </c>
      <c r="S6" s="11" t="s">
        <v>23</v>
      </c>
      <c r="T6" s="65"/>
    </row>
    <row r="7" spans="2:23" ht="39.950000000000003" customHeight="1" thickBot="1" x14ac:dyDescent="0.25">
      <c r="B7" s="14">
        <v>9000</v>
      </c>
      <c r="C7" s="15">
        <v>20000</v>
      </c>
      <c r="D7" s="16">
        <v>9000</v>
      </c>
      <c r="E7" s="16">
        <v>9000</v>
      </c>
      <c r="F7" s="17">
        <v>28221</v>
      </c>
      <c r="G7" s="17">
        <v>28221</v>
      </c>
      <c r="H7" s="19">
        <v>0.08</v>
      </c>
      <c r="I7" s="19">
        <v>0.02</v>
      </c>
      <c r="J7" s="20">
        <v>3</v>
      </c>
      <c r="K7" s="19">
        <v>2E-3</v>
      </c>
      <c r="L7" s="22">
        <v>0.12</v>
      </c>
      <c r="M7" s="22">
        <v>0.12</v>
      </c>
      <c r="N7" s="4">
        <v>0</v>
      </c>
      <c r="O7" s="4">
        <v>0</v>
      </c>
      <c r="P7" s="4">
        <v>0</v>
      </c>
      <c r="Q7" s="4">
        <v>0</v>
      </c>
      <c r="R7" s="4">
        <v>1500</v>
      </c>
      <c r="S7" s="4">
        <v>0</v>
      </c>
      <c r="T7" s="23">
        <v>5000</v>
      </c>
    </row>
    <row r="8" spans="2:23" ht="31.5" customHeight="1" thickTop="1" thickBot="1" x14ac:dyDescent="0.25"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8"/>
    </row>
    <row r="9" spans="2:23" ht="75" customHeight="1" thickTop="1" thickBot="1" x14ac:dyDescent="0.25">
      <c r="B9" s="78" t="s">
        <v>34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80"/>
    </row>
    <row r="10" spans="2:23" ht="39.950000000000003" customHeight="1" thickBot="1" x14ac:dyDescent="0.25">
      <c r="B10" s="69" t="s">
        <v>2</v>
      </c>
      <c r="C10" s="89" t="s">
        <v>26</v>
      </c>
      <c r="D10" s="89" t="s">
        <v>8</v>
      </c>
      <c r="E10" s="90" t="s">
        <v>28</v>
      </c>
      <c r="F10" s="90"/>
      <c r="G10" s="90"/>
      <c r="H10" s="90" t="s">
        <v>29</v>
      </c>
      <c r="I10" s="90" t="s">
        <v>27</v>
      </c>
      <c r="J10" s="71" t="s">
        <v>9</v>
      </c>
      <c r="K10" s="72" t="s">
        <v>10</v>
      </c>
      <c r="L10" s="70" t="s">
        <v>6</v>
      </c>
      <c r="M10" s="88" t="s">
        <v>11</v>
      </c>
      <c r="N10" s="88" t="s">
        <v>12</v>
      </c>
      <c r="O10" s="70" t="s">
        <v>13</v>
      </c>
      <c r="P10" s="63" t="s">
        <v>24</v>
      </c>
      <c r="Q10" s="68" t="s">
        <v>14</v>
      </c>
      <c r="R10" s="68"/>
      <c r="S10" s="35" t="s">
        <v>44</v>
      </c>
      <c r="T10" s="36"/>
    </row>
    <row r="11" spans="2:23" ht="39.950000000000003" customHeight="1" thickBot="1" x14ac:dyDescent="0.25">
      <c r="B11" s="69"/>
      <c r="C11" s="89"/>
      <c r="D11" s="89"/>
      <c r="E11" s="12" t="s">
        <v>0</v>
      </c>
      <c r="F11" s="12" t="s">
        <v>1</v>
      </c>
      <c r="G11" s="12" t="s">
        <v>5</v>
      </c>
      <c r="H11" s="90"/>
      <c r="I11" s="90"/>
      <c r="J11" s="71"/>
      <c r="K11" s="72"/>
      <c r="L11" s="70"/>
      <c r="M11" s="70"/>
      <c r="N11" s="70"/>
      <c r="O11" s="70"/>
      <c r="P11" s="63"/>
      <c r="Q11" s="68"/>
      <c r="R11" s="68"/>
      <c r="S11" s="37"/>
      <c r="T11" s="38"/>
    </row>
    <row r="12" spans="2:23" ht="39.950000000000003" customHeight="1" thickBot="1" x14ac:dyDescent="0.25">
      <c r="B12" s="3">
        <v>1</v>
      </c>
      <c r="C12" s="11">
        <f>B7</f>
        <v>9000</v>
      </c>
      <c r="D12" s="11">
        <f>C12*B12</f>
        <v>9000</v>
      </c>
      <c r="E12" s="12">
        <f>MIN(D7,F7)*H7</f>
        <v>720</v>
      </c>
      <c r="F12" s="12">
        <f>MIN(D7,F7)*I7+J7</f>
        <v>183</v>
      </c>
      <c r="G12" s="12">
        <f>MIN(D7,F7)*K7</f>
        <v>18</v>
      </c>
      <c r="H12" s="12">
        <f>MIN(E7,G7)*L7</f>
        <v>1080</v>
      </c>
      <c r="I12" s="12">
        <f>(E12+F12+G12+H12)*B12</f>
        <v>2001</v>
      </c>
      <c r="J12" s="9">
        <f>(N7+O7+P7+Q7+R7+S7)*B12</f>
        <v>1500</v>
      </c>
      <c r="K12" s="10">
        <f>T7*B12</f>
        <v>5000</v>
      </c>
      <c r="L12" s="8">
        <f>D12-I12-J12-K12</f>
        <v>499</v>
      </c>
      <c r="M12" s="8">
        <f>IF(L12&lt;=0,0,IF(L12&lt;=36000,3%,IF(L12&lt;=144000,10%,IF(L12&lt;=300000,20%,IF(L12&lt;=420000,25%,IF(L12&lt;=660000,30%,IF(L12&lt;=960000,35%,45%)))))))</f>
        <v>0.03</v>
      </c>
      <c r="N12" s="8">
        <f>IF(L12&lt;=36000,0,IF(L12&lt;=144000,2520,IF(L12&lt;=300000,16920,IF(L12&lt;=420000,31920,IF(L12&lt;=660000,52920,IF(L12&lt;=960000,85920,181920))))))</f>
        <v>0</v>
      </c>
      <c r="O12" s="8">
        <f>L12*M12-N12</f>
        <v>14.969999999999999</v>
      </c>
      <c r="P12" s="6">
        <f>C12-E12-F12-G12-H12-O12</f>
        <v>6984.03</v>
      </c>
      <c r="Q12" s="63">
        <f>P12+H12+MIN(E7, G7)*M7</f>
        <v>9144.0299999999988</v>
      </c>
      <c r="R12" s="63"/>
      <c r="S12" s="37"/>
      <c r="T12" s="38"/>
    </row>
    <row r="13" spans="2:23" ht="39.950000000000003" customHeight="1" thickBot="1" x14ac:dyDescent="0.25">
      <c r="B13" s="3">
        <v>2</v>
      </c>
      <c r="C13" s="11">
        <f>B7</f>
        <v>9000</v>
      </c>
      <c r="D13" s="11">
        <f t="shared" ref="D13:D23" si="0">C13*B13</f>
        <v>18000</v>
      </c>
      <c r="E13" s="12">
        <f>MIN(D7,F7)*H7</f>
        <v>720</v>
      </c>
      <c r="F13" s="12">
        <f>MIN(D7,F7)*I7+J7</f>
        <v>183</v>
      </c>
      <c r="G13" s="12">
        <f>MIN(D7,F7)*K7</f>
        <v>18</v>
      </c>
      <c r="H13" s="12">
        <f>MIN(E7,G7)*L7</f>
        <v>1080</v>
      </c>
      <c r="I13" s="12">
        <f t="shared" ref="I13:I23" si="1">(E13+F13+G13+H13)*B13</f>
        <v>4002</v>
      </c>
      <c r="J13" s="9">
        <f>(N7+O7+P7+Q7+R7+S7)*B13</f>
        <v>3000</v>
      </c>
      <c r="K13" s="10">
        <f>T7*B13</f>
        <v>10000</v>
      </c>
      <c r="L13" s="8">
        <f t="shared" ref="L13:L23" si="2">D13-I13-J13-K13</f>
        <v>998</v>
      </c>
      <c r="M13" s="8">
        <f t="shared" ref="M13:M24" si="3">IF(L13&lt;=0,0,IF(L13&lt;=36000,3%,IF(L13&lt;=144000,10%,IF(L13&lt;=300000,20%,IF(L13&lt;=420000,25%,IF(L13&lt;=660000,30%,IF(L13&lt;=960000,35%,45%)))))))</f>
        <v>0.03</v>
      </c>
      <c r="N13" s="8">
        <f t="shared" ref="N13:N24" si="4">IF(L13&lt;=36000,0,IF(L13&lt;=144000,2520,IF(L13&lt;=300000,16920,IF(L13&lt;=420000,31920,IF(L13&lt;=660000,52920,IF(L13&lt;=960000,85920,181920))))))</f>
        <v>0</v>
      </c>
      <c r="O13" s="8">
        <f>L13*M13-N13-O12</f>
        <v>14.969999999999999</v>
      </c>
      <c r="P13" s="6">
        <f t="shared" ref="P13:P23" si="5">C13-E13-F13-G13-H13-O13</f>
        <v>6984.03</v>
      </c>
      <c r="Q13" s="63">
        <f>P13+H13+MIN(E7, G7)*M7</f>
        <v>9144.0299999999988</v>
      </c>
      <c r="R13" s="63"/>
      <c r="S13" s="37"/>
      <c r="T13" s="38"/>
    </row>
    <row r="14" spans="2:23" ht="39.950000000000003" customHeight="1" thickBot="1" x14ac:dyDescent="0.25">
      <c r="B14" s="3">
        <v>3</v>
      </c>
      <c r="C14" s="11">
        <f>B7</f>
        <v>9000</v>
      </c>
      <c r="D14" s="11">
        <f t="shared" si="0"/>
        <v>27000</v>
      </c>
      <c r="E14" s="12">
        <f>MIN(D7,F7)*H7</f>
        <v>720</v>
      </c>
      <c r="F14" s="12">
        <f>MIN(D7,F7)*I7+J7</f>
        <v>183</v>
      </c>
      <c r="G14" s="12">
        <f>MIN(D7,F7)*K7</f>
        <v>18</v>
      </c>
      <c r="H14" s="12">
        <f>MIN(E7,G7)*L7</f>
        <v>1080</v>
      </c>
      <c r="I14" s="12">
        <f t="shared" si="1"/>
        <v>6003</v>
      </c>
      <c r="J14" s="9">
        <f>(N7+O7+P7+Q7+R7+S7)*B14</f>
        <v>4500</v>
      </c>
      <c r="K14" s="10">
        <f>T7*B14</f>
        <v>15000</v>
      </c>
      <c r="L14" s="8">
        <f t="shared" si="2"/>
        <v>1497</v>
      </c>
      <c r="M14" s="8">
        <f t="shared" si="3"/>
        <v>0.03</v>
      </c>
      <c r="N14" s="8">
        <f t="shared" si="4"/>
        <v>0</v>
      </c>
      <c r="O14" s="8">
        <f>L14*M14-N14-O13-O12</f>
        <v>14.969999999999999</v>
      </c>
      <c r="P14" s="6">
        <f t="shared" si="5"/>
        <v>6984.03</v>
      </c>
      <c r="Q14" s="63">
        <f>P14+H14+MIN(E7, G7)*M7</f>
        <v>9144.0299999999988</v>
      </c>
      <c r="R14" s="63"/>
      <c r="S14" s="37"/>
      <c r="T14" s="38"/>
    </row>
    <row r="15" spans="2:23" ht="39.950000000000003" customHeight="1" thickBot="1" x14ac:dyDescent="0.25">
      <c r="B15" s="3">
        <v>4</v>
      </c>
      <c r="C15" s="11">
        <f>B7</f>
        <v>9000</v>
      </c>
      <c r="D15" s="11">
        <f t="shared" si="0"/>
        <v>36000</v>
      </c>
      <c r="E15" s="12">
        <f>MIN(D7,F7)*H7</f>
        <v>720</v>
      </c>
      <c r="F15" s="12">
        <f>MIN(D7,F7)*I7+J7</f>
        <v>183</v>
      </c>
      <c r="G15" s="12">
        <f>MIN(D7,F7)*K7</f>
        <v>18</v>
      </c>
      <c r="H15" s="12">
        <f>MIN(E7,G7)*L7</f>
        <v>1080</v>
      </c>
      <c r="I15" s="12">
        <f t="shared" si="1"/>
        <v>8004</v>
      </c>
      <c r="J15" s="9">
        <f>(N7+O7+P7+Q7+R7+S7)*B15</f>
        <v>6000</v>
      </c>
      <c r="K15" s="10">
        <f>T7*B15</f>
        <v>20000</v>
      </c>
      <c r="L15" s="8">
        <f t="shared" si="2"/>
        <v>1996</v>
      </c>
      <c r="M15" s="8">
        <f t="shared" si="3"/>
        <v>0.03</v>
      </c>
      <c r="N15" s="8">
        <f t="shared" si="4"/>
        <v>0</v>
      </c>
      <c r="O15" s="8">
        <f>L15*M15-N15-O14-O13-O12</f>
        <v>14.969999999999999</v>
      </c>
      <c r="P15" s="6">
        <f t="shared" si="5"/>
        <v>6984.03</v>
      </c>
      <c r="Q15" s="63">
        <f>P15+H15+MIN(E7, G7)*M7</f>
        <v>9144.0299999999988</v>
      </c>
      <c r="R15" s="63"/>
      <c r="S15" s="37"/>
      <c r="T15" s="38"/>
    </row>
    <row r="16" spans="2:23" ht="39.950000000000003" customHeight="1" thickBot="1" x14ac:dyDescent="0.25">
      <c r="B16" s="3">
        <v>5</v>
      </c>
      <c r="C16" s="11">
        <f>B7</f>
        <v>9000</v>
      </c>
      <c r="D16" s="11">
        <f t="shared" si="0"/>
        <v>45000</v>
      </c>
      <c r="E16" s="12">
        <f>MIN(D7,F7)*H7</f>
        <v>720</v>
      </c>
      <c r="F16" s="12">
        <f>MIN(D7,F7)*I7+J7</f>
        <v>183</v>
      </c>
      <c r="G16" s="12">
        <f>MIN(D7,F7)*K7</f>
        <v>18</v>
      </c>
      <c r="H16" s="12">
        <f>MIN(E7,G7)*L7</f>
        <v>1080</v>
      </c>
      <c r="I16" s="12">
        <f t="shared" si="1"/>
        <v>10005</v>
      </c>
      <c r="J16" s="9">
        <f>(N7+O7+P7+Q7+R7+S7)*B16</f>
        <v>7500</v>
      </c>
      <c r="K16" s="10">
        <f>T7*B16</f>
        <v>25000</v>
      </c>
      <c r="L16" s="8">
        <f t="shared" si="2"/>
        <v>2495</v>
      </c>
      <c r="M16" s="8">
        <f t="shared" si="3"/>
        <v>0.03</v>
      </c>
      <c r="N16" s="8">
        <f t="shared" si="4"/>
        <v>0</v>
      </c>
      <c r="O16" s="8">
        <f>L16*M16-N16-O15-O14-O13-O12</f>
        <v>14.969999999999999</v>
      </c>
      <c r="P16" s="6">
        <f t="shared" si="5"/>
        <v>6984.03</v>
      </c>
      <c r="Q16" s="63">
        <f>P16+H16+MIN(E7, G7)*M7</f>
        <v>9144.0299999999988</v>
      </c>
      <c r="R16" s="63"/>
      <c r="S16" s="37"/>
      <c r="T16" s="38"/>
    </row>
    <row r="17" spans="2:20" ht="39.950000000000003" customHeight="1" thickBot="1" x14ac:dyDescent="0.25">
      <c r="B17" s="3">
        <v>6</v>
      </c>
      <c r="C17" s="11">
        <f>B7</f>
        <v>9000</v>
      </c>
      <c r="D17" s="11">
        <f t="shared" si="0"/>
        <v>54000</v>
      </c>
      <c r="E17" s="12">
        <f>MIN(D7,F7)*H7</f>
        <v>720</v>
      </c>
      <c r="F17" s="12">
        <f>MIN(D7,F7)*I7+J7</f>
        <v>183</v>
      </c>
      <c r="G17" s="12">
        <f>MIN(D7,F7)*K7</f>
        <v>18</v>
      </c>
      <c r="H17" s="12">
        <f>MIN(E7,G7)*L7</f>
        <v>1080</v>
      </c>
      <c r="I17" s="12">
        <f t="shared" si="1"/>
        <v>12006</v>
      </c>
      <c r="J17" s="9">
        <f>(N7+O7+P7+Q7+R7+S7)*B17</f>
        <v>9000</v>
      </c>
      <c r="K17" s="10">
        <f>T7*B17</f>
        <v>30000</v>
      </c>
      <c r="L17" s="8">
        <f t="shared" si="2"/>
        <v>2994</v>
      </c>
      <c r="M17" s="8">
        <f t="shared" si="3"/>
        <v>0.03</v>
      </c>
      <c r="N17" s="8">
        <f t="shared" si="4"/>
        <v>0</v>
      </c>
      <c r="O17" s="8">
        <f>L17*M17-N17-O16-O15-O14-O13-O12</f>
        <v>14.969999999999999</v>
      </c>
      <c r="P17" s="6">
        <f t="shared" si="5"/>
        <v>6984.03</v>
      </c>
      <c r="Q17" s="63">
        <f>P17+H17+MIN(E7, G7)*M7</f>
        <v>9144.0299999999988</v>
      </c>
      <c r="R17" s="63"/>
      <c r="S17" s="37"/>
      <c r="T17" s="38"/>
    </row>
    <row r="18" spans="2:20" ht="39.950000000000003" customHeight="1" thickBot="1" x14ac:dyDescent="0.25">
      <c r="B18" s="3">
        <v>7</v>
      </c>
      <c r="C18" s="11">
        <f>B7</f>
        <v>9000</v>
      </c>
      <c r="D18" s="11">
        <f t="shared" si="0"/>
        <v>63000</v>
      </c>
      <c r="E18" s="12">
        <f>MIN(D7,F7)*H7</f>
        <v>720</v>
      </c>
      <c r="F18" s="12">
        <f>MIN(D7,F7)*I7+J7</f>
        <v>183</v>
      </c>
      <c r="G18" s="12">
        <f>MIN(D7,F7)*K7</f>
        <v>18</v>
      </c>
      <c r="H18" s="12">
        <f>MIN(E7,G7)*L7</f>
        <v>1080</v>
      </c>
      <c r="I18" s="12">
        <f t="shared" si="1"/>
        <v>14007</v>
      </c>
      <c r="J18" s="9">
        <f>(N7+O7+P7+Q7+R7+S7)*B18</f>
        <v>10500</v>
      </c>
      <c r="K18" s="10">
        <f>T7*B18</f>
        <v>35000</v>
      </c>
      <c r="L18" s="8">
        <f t="shared" si="2"/>
        <v>3493</v>
      </c>
      <c r="M18" s="8">
        <f t="shared" si="3"/>
        <v>0.03</v>
      </c>
      <c r="N18" s="8">
        <f t="shared" si="4"/>
        <v>0</v>
      </c>
      <c r="O18" s="8">
        <f>L18*M18-N18-O17-O16-O15-O14-O13-O12</f>
        <v>14.969999999999999</v>
      </c>
      <c r="P18" s="6">
        <f t="shared" si="5"/>
        <v>6984.03</v>
      </c>
      <c r="Q18" s="63">
        <f>P18+H18+MIN(E7, G7)*M7</f>
        <v>9144.0299999999988</v>
      </c>
      <c r="R18" s="63"/>
      <c r="S18" s="37"/>
      <c r="T18" s="38"/>
    </row>
    <row r="19" spans="2:20" ht="39.950000000000003" customHeight="1" thickBot="1" x14ac:dyDescent="0.25">
      <c r="B19" s="3">
        <v>8</v>
      </c>
      <c r="C19" s="11">
        <f>B7</f>
        <v>9000</v>
      </c>
      <c r="D19" s="11">
        <f t="shared" si="0"/>
        <v>72000</v>
      </c>
      <c r="E19" s="12">
        <f>MIN(D7,F7)*H7</f>
        <v>720</v>
      </c>
      <c r="F19" s="12">
        <f>MIN(D7,F7)*I7+J7</f>
        <v>183</v>
      </c>
      <c r="G19" s="12">
        <f>MIN(D7,F7)*K7</f>
        <v>18</v>
      </c>
      <c r="H19" s="12">
        <f>MIN(E7,G7)*L7</f>
        <v>1080</v>
      </c>
      <c r="I19" s="12">
        <f t="shared" si="1"/>
        <v>16008</v>
      </c>
      <c r="J19" s="9">
        <f>(N7+O7+P7+Q7+R7+S7)*B19</f>
        <v>12000</v>
      </c>
      <c r="K19" s="10">
        <f>T7*B19</f>
        <v>40000</v>
      </c>
      <c r="L19" s="8">
        <f t="shared" si="2"/>
        <v>3992</v>
      </c>
      <c r="M19" s="8">
        <f t="shared" si="3"/>
        <v>0.03</v>
      </c>
      <c r="N19" s="8">
        <f t="shared" si="4"/>
        <v>0</v>
      </c>
      <c r="O19" s="8">
        <f>L19*M19-N19-O18-O17-O16-O15-O14-O13-O12</f>
        <v>14.969999999999999</v>
      </c>
      <c r="P19" s="6">
        <f t="shared" si="5"/>
        <v>6984.03</v>
      </c>
      <c r="Q19" s="63">
        <f>P19+H19+MIN(E7, G7)*M7</f>
        <v>9144.0299999999988</v>
      </c>
      <c r="R19" s="63"/>
      <c r="S19" s="37"/>
      <c r="T19" s="38"/>
    </row>
    <row r="20" spans="2:20" ht="39.950000000000003" customHeight="1" thickBot="1" x14ac:dyDescent="0.25">
      <c r="B20" s="3">
        <v>9</v>
      </c>
      <c r="C20" s="11">
        <f>B7</f>
        <v>9000</v>
      </c>
      <c r="D20" s="11">
        <f t="shared" si="0"/>
        <v>81000</v>
      </c>
      <c r="E20" s="12">
        <f>MIN(D7,F7)*H7</f>
        <v>720</v>
      </c>
      <c r="F20" s="12">
        <f>MIN(D7,F7)*I7+J7</f>
        <v>183</v>
      </c>
      <c r="G20" s="12">
        <f>MIN(D7,F7)*K7</f>
        <v>18</v>
      </c>
      <c r="H20" s="12">
        <f>MIN(E7,G7)*L7</f>
        <v>1080</v>
      </c>
      <c r="I20" s="12">
        <f t="shared" si="1"/>
        <v>18009</v>
      </c>
      <c r="J20" s="9">
        <f>(N7+O7+P7+Q7+R7+S7)*B20</f>
        <v>13500</v>
      </c>
      <c r="K20" s="10">
        <f>T7*B20</f>
        <v>45000</v>
      </c>
      <c r="L20" s="8">
        <f t="shared" si="2"/>
        <v>4491</v>
      </c>
      <c r="M20" s="8">
        <f t="shared" si="3"/>
        <v>0.03</v>
      </c>
      <c r="N20" s="8">
        <f t="shared" si="4"/>
        <v>0</v>
      </c>
      <c r="O20" s="8">
        <f>L20*M20-N20-O19-O18-O17-O16-O15-O14-O13-O12</f>
        <v>14.969999999999999</v>
      </c>
      <c r="P20" s="6">
        <f t="shared" si="5"/>
        <v>6984.03</v>
      </c>
      <c r="Q20" s="63">
        <f>P20+H20+MIN(E7, G7)*M7</f>
        <v>9144.0299999999988</v>
      </c>
      <c r="R20" s="63"/>
      <c r="S20" s="37"/>
      <c r="T20" s="38"/>
    </row>
    <row r="21" spans="2:20" ht="39.950000000000003" customHeight="1" thickBot="1" x14ac:dyDescent="0.25">
      <c r="B21" s="3">
        <v>10</v>
      </c>
      <c r="C21" s="11">
        <f>B7</f>
        <v>9000</v>
      </c>
      <c r="D21" s="11">
        <f t="shared" si="0"/>
        <v>90000</v>
      </c>
      <c r="E21" s="12">
        <f>MIN(D7,F7)*H7</f>
        <v>720</v>
      </c>
      <c r="F21" s="12">
        <f>MIN(D7,F7)*I7+J7</f>
        <v>183</v>
      </c>
      <c r="G21" s="12">
        <f>MIN(D7,F7)*K7</f>
        <v>18</v>
      </c>
      <c r="H21" s="12">
        <f>MIN(E7,G7)*L7</f>
        <v>1080</v>
      </c>
      <c r="I21" s="12">
        <f t="shared" si="1"/>
        <v>20010</v>
      </c>
      <c r="J21" s="9">
        <f>(N7+O7+P7+Q7+R7+S7)*B21</f>
        <v>15000</v>
      </c>
      <c r="K21" s="10">
        <f>T7*B21</f>
        <v>50000</v>
      </c>
      <c r="L21" s="8">
        <f t="shared" si="2"/>
        <v>4990</v>
      </c>
      <c r="M21" s="8">
        <f t="shared" si="3"/>
        <v>0.03</v>
      </c>
      <c r="N21" s="8">
        <f t="shared" si="4"/>
        <v>0</v>
      </c>
      <c r="O21" s="8">
        <f>L21*M21-N21-O20-O19-O18-O17-O16-O15-O14-O13-O12</f>
        <v>14.969999999999999</v>
      </c>
      <c r="P21" s="6">
        <f t="shared" si="5"/>
        <v>6984.03</v>
      </c>
      <c r="Q21" s="63">
        <f>P21+H21+MIN(E7, G7)*M7</f>
        <v>9144.0299999999988</v>
      </c>
      <c r="R21" s="63"/>
      <c r="S21" s="37"/>
      <c r="T21" s="38"/>
    </row>
    <row r="22" spans="2:20" ht="39.950000000000003" customHeight="1" thickBot="1" x14ac:dyDescent="0.25">
      <c r="B22" s="3">
        <v>11</v>
      </c>
      <c r="C22" s="11">
        <f>B7</f>
        <v>9000</v>
      </c>
      <c r="D22" s="11">
        <f t="shared" si="0"/>
        <v>99000</v>
      </c>
      <c r="E22" s="12">
        <f>MIN(D7,F7)*H7</f>
        <v>720</v>
      </c>
      <c r="F22" s="12">
        <f>MIN(D7,F7)*I7+J7</f>
        <v>183</v>
      </c>
      <c r="G22" s="12">
        <f>MIN(D7,F7)*K7</f>
        <v>18</v>
      </c>
      <c r="H22" s="12">
        <f>MIN(E7,G7)*L7</f>
        <v>1080</v>
      </c>
      <c r="I22" s="12">
        <f t="shared" si="1"/>
        <v>22011</v>
      </c>
      <c r="J22" s="9">
        <f>(N7+O7+P7+Q7+R7+S7)*B22</f>
        <v>16500</v>
      </c>
      <c r="K22" s="10">
        <f>T7*B22</f>
        <v>55000</v>
      </c>
      <c r="L22" s="8">
        <f t="shared" si="2"/>
        <v>5489</v>
      </c>
      <c r="M22" s="8">
        <f t="shared" si="3"/>
        <v>0.03</v>
      </c>
      <c r="N22" s="8">
        <f t="shared" si="4"/>
        <v>0</v>
      </c>
      <c r="O22" s="8">
        <f>L22*M22-N22-O21-O20-O19-O18-O17-O16-O15-O14-O13-O12</f>
        <v>14.969999999999999</v>
      </c>
      <c r="P22" s="6">
        <f t="shared" si="5"/>
        <v>6984.03</v>
      </c>
      <c r="Q22" s="63">
        <f>P22+H22+MIN(E7, G7)*M7</f>
        <v>9144.0299999999988</v>
      </c>
      <c r="R22" s="63"/>
      <c r="S22" s="37"/>
      <c r="T22" s="38"/>
    </row>
    <row r="23" spans="2:20" ht="39.950000000000003" customHeight="1" thickBot="1" x14ac:dyDescent="0.25">
      <c r="B23" s="3">
        <v>12</v>
      </c>
      <c r="C23" s="11">
        <f>B7</f>
        <v>9000</v>
      </c>
      <c r="D23" s="11">
        <f t="shared" si="0"/>
        <v>108000</v>
      </c>
      <c r="E23" s="12">
        <f>MIN(D7,F7)*H7</f>
        <v>720</v>
      </c>
      <c r="F23" s="12">
        <f>MIN(D7,F7)*I7+J7</f>
        <v>183</v>
      </c>
      <c r="G23" s="12">
        <f>MIN(D7,F7)*K7</f>
        <v>18</v>
      </c>
      <c r="H23" s="12">
        <f>MIN(E7,G7)*L7</f>
        <v>1080</v>
      </c>
      <c r="I23" s="12">
        <f t="shared" si="1"/>
        <v>24012</v>
      </c>
      <c r="J23" s="9">
        <f>(N7+O7+P7+Q7+R7+S7)*B23</f>
        <v>18000</v>
      </c>
      <c r="K23" s="10">
        <f>T7*B23</f>
        <v>60000</v>
      </c>
      <c r="L23" s="8">
        <f t="shared" si="2"/>
        <v>5988</v>
      </c>
      <c r="M23" s="8">
        <f t="shared" si="3"/>
        <v>0.03</v>
      </c>
      <c r="N23" s="8">
        <f t="shared" si="4"/>
        <v>0</v>
      </c>
      <c r="O23" s="8">
        <f>L23*M23-N23-O22-O21-O20-O19-O18-O17-O16-O15-O14-O13-O12</f>
        <v>14.969999999999999</v>
      </c>
      <c r="P23" s="6">
        <f t="shared" si="5"/>
        <v>6984.03</v>
      </c>
      <c r="Q23" s="63">
        <f>P23+H23+MIN(E7, G7)*M7</f>
        <v>9144.0299999999988</v>
      </c>
      <c r="R23" s="63"/>
      <c r="S23" s="37"/>
      <c r="T23" s="38"/>
    </row>
    <row r="24" spans="2:20" ht="39.950000000000003" customHeight="1" thickBot="1" x14ac:dyDescent="0.25">
      <c r="B24" s="7" t="s">
        <v>3</v>
      </c>
      <c r="C24" s="11">
        <f>C7</f>
        <v>20000</v>
      </c>
      <c r="D24" s="11">
        <f>D23+C7</f>
        <v>128000</v>
      </c>
      <c r="E24" s="12"/>
      <c r="F24" s="12"/>
      <c r="G24" s="12"/>
      <c r="H24" s="12"/>
      <c r="I24" s="12"/>
      <c r="J24" s="9"/>
      <c r="K24" s="13"/>
      <c r="L24" s="5">
        <f>L23+C7</f>
        <v>25988</v>
      </c>
      <c r="M24" s="5">
        <f t="shared" si="3"/>
        <v>0.03</v>
      </c>
      <c r="N24" s="5">
        <f t="shared" si="4"/>
        <v>0</v>
      </c>
      <c r="O24" s="8">
        <f>L24*M24-N24-O23-O22-O21-O20-O19-O18-O17-O16-O15-O14-O13-O12</f>
        <v>599.99999999999966</v>
      </c>
      <c r="P24" s="6">
        <f>C7-O24</f>
        <v>19400</v>
      </c>
      <c r="Q24" s="63">
        <f>P24</f>
        <v>19400</v>
      </c>
      <c r="R24" s="63"/>
      <c r="S24" s="37"/>
      <c r="T24" s="38"/>
    </row>
    <row r="25" spans="2:20" ht="39.950000000000003" customHeight="1" thickBot="1" x14ac:dyDescent="0.25">
      <c r="B25" s="41"/>
      <c r="C25" s="42"/>
      <c r="D25" s="42"/>
      <c r="E25" s="42"/>
      <c r="F25" s="42"/>
      <c r="G25" s="42"/>
      <c r="H25" s="42"/>
      <c r="I25" s="42"/>
      <c r="J25" s="43"/>
      <c r="K25" s="50"/>
      <c r="L25" s="51"/>
      <c r="M25" s="51"/>
      <c r="N25" s="52"/>
      <c r="O25" s="25" t="s">
        <v>42</v>
      </c>
      <c r="P25" s="24">
        <f>SUM(P12:P23)</f>
        <v>83808.36</v>
      </c>
      <c r="Q25" s="59">
        <f>SUM(Q12:Q23)</f>
        <v>109728.35999999999</v>
      </c>
      <c r="R25" s="59"/>
      <c r="S25" s="37"/>
      <c r="T25" s="38"/>
    </row>
    <row r="26" spans="2:20" ht="39.950000000000003" customHeight="1" thickBot="1" x14ac:dyDescent="0.25">
      <c r="B26" s="44"/>
      <c r="C26" s="45"/>
      <c r="D26" s="45"/>
      <c r="E26" s="45"/>
      <c r="F26" s="45"/>
      <c r="G26" s="45"/>
      <c r="H26" s="45"/>
      <c r="I26" s="45"/>
      <c r="J26" s="46"/>
      <c r="K26" s="25" t="s">
        <v>36</v>
      </c>
      <c r="L26" s="24">
        <f>C7</f>
        <v>20000</v>
      </c>
      <c r="M26" s="25" t="s">
        <v>35</v>
      </c>
      <c r="N26" s="24">
        <f>P24</f>
        <v>19400</v>
      </c>
      <c r="O26" s="25" t="s">
        <v>43</v>
      </c>
      <c r="P26" s="24">
        <f>SUM(P12:P24)</f>
        <v>103208.36</v>
      </c>
      <c r="Q26" s="59">
        <f>SUM(Q12:Q24)</f>
        <v>129128.35999999999</v>
      </c>
      <c r="R26" s="59"/>
      <c r="S26" s="37"/>
      <c r="T26" s="38"/>
    </row>
    <row r="27" spans="2:20" ht="39.950000000000003" customHeight="1" thickBot="1" x14ac:dyDescent="0.25">
      <c r="B27" s="47"/>
      <c r="C27" s="48"/>
      <c r="D27" s="48"/>
      <c r="E27" s="48"/>
      <c r="F27" s="48"/>
      <c r="G27" s="48"/>
      <c r="H27" s="48"/>
      <c r="I27" s="48"/>
      <c r="J27" s="49"/>
      <c r="K27" s="50"/>
      <c r="L27" s="51"/>
      <c r="M27" s="51"/>
      <c r="N27" s="51"/>
      <c r="O27" s="51"/>
      <c r="P27" s="51"/>
      <c r="Q27" s="51"/>
      <c r="R27" s="52"/>
      <c r="S27" s="37"/>
      <c r="T27" s="38"/>
    </row>
    <row r="28" spans="2:20" ht="30" customHeight="1" thickBot="1" x14ac:dyDescent="0.25">
      <c r="B28" s="53" t="s">
        <v>46</v>
      </c>
      <c r="C28" s="54"/>
      <c r="D28" s="54"/>
      <c r="E28" s="54"/>
      <c r="F28" s="55">
        <f>P25</f>
        <v>83808.36</v>
      </c>
      <c r="G28" s="55"/>
      <c r="H28" s="57" t="s">
        <v>38</v>
      </c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37"/>
      <c r="T28" s="38"/>
    </row>
    <row r="29" spans="2:20" ht="30" customHeight="1" thickBot="1" x14ac:dyDescent="0.25">
      <c r="B29" s="53"/>
      <c r="C29" s="54"/>
      <c r="D29" s="54"/>
      <c r="E29" s="54"/>
      <c r="F29" s="55"/>
      <c r="G29" s="55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37"/>
      <c r="T29" s="38"/>
    </row>
    <row r="30" spans="2:20" ht="30" customHeight="1" thickBot="1" x14ac:dyDescent="0.25">
      <c r="B30" s="53"/>
      <c r="C30" s="54"/>
      <c r="D30" s="54"/>
      <c r="E30" s="54"/>
      <c r="F30" s="55"/>
      <c r="G30" s="55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37"/>
      <c r="T30" s="38"/>
    </row>
    <row r="31" spans="2:20" ht="30" customHeight="1" thickBot="1" x14ac:dyDescent="0.25">
      <c r="B31" s="53" t="s">
        <v>47</v>
      </c>
      <c r="C31" s="54"/>
      <c r="D31" s="54"/>
      <c r="E31" s="54"/>
      <c r="F31" s="55">
        <f>P26</f>
        <v>103208.36</v>
      </c>
      <c r="G31" s="55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37"/>
      <c r="T31" s="38"/>
    </row>
    <row r="32" spans="2:20" ht="30" customHeight="1" thickBot="1" x14ac:dyDescent="0.25">
      <c r="B32" s="53"/>
      <c r="C32" s="54"/>
      <c r="D32" s="54"/>
      <c r="E32" s="54"/>
      <c r="F32" s="55"/>
      <c r="G32" s="55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37"/>
      <c r="T32" s="38"/>
    </row>
    <row r="33" spans="2:20" ht="30" customHeight="1" thickBot="1" x14ac:dyDescent="0.25">
      <c r="B33" s="53"/>
      <c r="C33" s="54"/>
      <c r="D33" s="54"/>
      <c r="E33" s="54"/>
      <c r="F33" s="55"/>
      <c r="G33" s="55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37"/>
      <c r="T33" s="38"/>
    </row>
    <row r="34" spans="2:20" ht="30" customHeight="1" thickBot="1" x14ac:dyDescent="0.25">
      <c r="B34" s="53" t="s">
        <v>41</v>
      </c>
      <c r="C34" s="54"/>
      <c r="D34" s="54"/>
      <c r="E34" s="54"/>
      <c r="F34" s="55">
        <f>Q25-P25</f>
        <v>25919.999999999985</v>
      </c>
      <c r="G34" s="55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37"/>
      <c r="T34" s="38"/>
    </row>
    <row r="35" spans="2:20" ht="30" customHeight="1" thickBot="1" x14ac:dyDescent="0.25">
      <c r="B35" s="53"/>
      <c r="C35" s="54"/>
      <c r="D35" s="54"/>
      <c r="E35" s="54"/>
      <c r="F35" s="55"/>
      <c r="G35" s="55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37"/>
      <c r="T35" s="38"/>
    </row>
    <row r="36" spans="2:20" ht="30" customHeight="1" thickBot="1" x14ac:dyDescent="0.25">
      <c r="B36" s="53"/>
      <c r="C36" s="54"/>
      <c r="D36" s="54"/>
      <c r="E36" s="54"/>
      <c r="F36" s="55"/>
      <c r="G36" s="55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37"/>
      <c r="T36" s="38"/>
    </row>
    <row r="37" spans="2:20" ht="30" customHeight="1" thickBot="1" x14ac:dyDescent="0.25">
      <c r="B37" s="53" t="s">
        <v>48</v>
      </c>
      <c r="C37" s="54"/>
      <c r="D37" s="54"/>
      <c r="E37" s="54"/>
      <c r="F37" s="55">
        <f>F31+F34</f>
        <v>129128.35999999999</v>
      </c>
      <c r="G37" s="55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37"/>
      <c r="T37" s="38"/>
    </row>
    <row r="38" spans="2:20" ht="30" customHeight="1" thickBot="1" x14ac:dyDescent="0.25">
      <c r="B38" s="53"/>
      <c r="C38" s="54"/>
      <c r="D38" s="54"/>
      <c r="E38" s="54"/>
      <c r="F38" s="55"/>
      <c r="G38" s="55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37"/>
      <c r="T38" s="38"/>
    </row>
    <row r="39" spans="2:20" ht="30" customHeight="1" thickBot="1" x14ac:dyDescent="0.25">
      <c r="B39" s="53"/>
      <c r="C39" s="54"/>
      <c r="D39" s="54"/>
      <c r="E39" s="54"/>
      <c r="F39" s="55"/>
      <c r="G39" s="55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37"/>
      <c r="T39" s="38"/>
    </row>
    <row r="40" spans="2:20" ht="30" customHeight="1" thickBot="1" x14ac:dyDescent="0.25">
      <c r="B40" s="53" t="s">
        <v>37</v>
      </c>
      <c r="C40" s="54"/>
      <c r="D40" s="54"/>
      <c r="E40" s="54"/>
      <c r="F40" s="55">
        <f>SUM(O12:O24)</f>
        <v>779.63999999999965</v>
      </c>
      <c r="G40" s="55"/>
      <c r="H40" s="56" t="s">
        <v>52</v>
      </c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37"/>
      <c r="T40" s="38"/>
    </row>
    <row r="41" spans="2:20" ht="30" customHeight="1" thickBot="1" x14ac:dyDescent="0.25">
      <c r="B41" s="53"/>
      <c r="C41" s="54"/>
      <c r="D41" s="54"/>
      <c r="E41" s="54"/>
      <c r="F41" s="55"/>
      <c r="G41" s="55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37"/>
      <c r="T41" s="38"/>
    </row>
    <row r="42" spans="2:20" ht="54.75" customHeight="1" thickBot="1" x14ac:dyDescent="0.25">
      <c r="B42" s="60"/>
      <c r="C42" s="61"/>
      <c r="D42" s="61"/>
      <c r="E42" s="61"/>
      <c r="F42" s="62"/>
      <c r="G42" s="62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39"/>
      <c r="T42" s="40"/>
    </row>
    <row r="43" spans="2:20" ht="21" thickTop="1" x14ac:dyDescent="0.2"/>
  </sheetData>
  <mergeCells count="58">
    <mergeCell ref="B4:T4"/>
    <mergeCell ref="B9:T9"/>
    <mergeCell ref="Q13:R13"/>
    <mergeCell ref="B5:B6"/>
    <mergeCell ref="H5:K5"/>
    <mergeCell ref="L5:M5"/>
    <mergeCell ref="N5:S5"/>
    <mergeCell ref="G5:G6"/>
    <mergeCell ref="N10:N11"/>
    <mergeCell ref="F5:F6"/>
    <mergeCell ref="D10:D11"/>
    <mergeCell ref="E10:G10"/>
    <mergeCell ref="H10:H11"/>
    <mergeCell ref="I10:I11"/>
    <mergeCell ref="M10:M11"/>
    <mergeCell ref="C10:C11"/>
    <mergeCell ref="T5:T6"/>
    <mergeCell ref="C5:C6"/>
    <mergeCell ref="Q10:R11"/>
    <mergeCell ref="Q12:R12"/>
    <mergeCell ref="B10:B11"/>
    <mergeCell ref="L10:L11"/>
    <mergeCell ref="O10:O11"/>
    <mergeCell ref="J10:J11"/>
    <mergeCell ref="K10:K11"/>
    <mergeCell ref="D5:D6"/>
    <mergeCell ref="E5:E6"/>
    <mergeCell ref="P10:P11"/>
    <mergeCell ref="F37:G39"/>
    <mergeCell ref="H28:R39"/>
    <mergeCell ref="Q25:R25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B2:T3"/>
    <mergeCell ref="S10:T42"/>
    <mergeCell ref="B25:J27"/>
    <mergeCell ref="K27:R27"/>
    <mergeCell ref="K25:N25"/>
    <mergeCell ref="B34:E36"/>
    <mergeCell ref="F34:G36"/>
    <mergeCell ref="H40:R42"/>
    <mergeCell ref="Q26:R26"/>
    <mergeCell ref="B28:E30"/>
    <mergeCell ref="B31:E33"/>
    <mergeCell ref="B40:E42"/>
    <mergeCell ref="F28:G30"/>
    <mergeCell ref="F31:G33"/>
    <mergeCell ref="F40:G42"/>
    <mergeCell ref="B37:E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lzbqrr</dc:creator>
  <cp:lastModifiedBy>lzbqrr</cp:lastModifiedBy>
  <dcterms:created xsi:type="dcterms:W3CDTF">2021-10-29T05:17:39Z</dcterms:created>
  <dcterms:modified xsi:type="dcterms:W3CDTF">2021-10-29T10:37:51Z</dcterms:modified>
</cp:coreProperties>
</file>