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40" sheetId="11" r:id="rId1"/>
    <sheet name="50" sheetId="12" r:id="rId2"/>
    <sheet name="60" sheetId="10" r:id="rId3"/>
    <sheet name="80" sheetId="13" r:id="rId4"/>
    <sheet name="90" sheetId="14" r:id="rId5"/>
    <sheet name="100" sheetId="1" r:id="rId6"/>
    <sheet name="120" sheetId="2" r:id="rId7"/>
    <sheet name="150" sheetId="3" r:id="rId8"/>
    <sheet name="200" sheetId="4" r:id="rId9"/>
    <sheet name="250" sheetId="5" r:id="rId10"/>
    <sheet name="300" sheetId="6" r:id="rId11"/>
    <sheet name="350" sheetId="7" r:id="rId12"/>
    <sheet name="400 " sheetId="9" r:id="rId13"/>
    <sheet name="500" sheetId="8" r:id="rId14"/>
    <sheet name="获得感" sheetId="16" r:id="rId15"/>
  </sheets>
  <calcPr calcId="144525"/>
</workbook>
</file>

<file path=xl/sharedStrings.xml><?xml version="1.0" encoding="utf-8"?>
<sst xmlns="http://schemas.openxmlformats.org/spreadsheetml/2006/main" count="58">
  <si>
    <t>税后工资计算器</t>
  </si>
  <si>
    <t>请根据个人情况修改此表</t>
  </si>
  <si>
    <t>税前月薪</t>
  </si>
  <si>
    <t>年终奖</t>
  </si>
  <si>
    <t>社保缴费基数</t>
  </si>
  <si>
    <t>公积金缴费基数</t>
  </si>
  <si>
    <t>社保缴费上限</t>
  </si>
  <si>
    <t>公积金缴费上限</t>
  </si>
  <si>
    <t>个人社保(三险)缴费比例</t>
  </si>
  <si>
    <t>公积金缴费比例</t>
  </si>
  <si>
    <t>专项附加扣除</t>
  </si>
  <si>
    <t>个税起征点</t>
  </si>
  <si>
    <t>养老保险比例</t>
  </si>
  <si>
    <t>医疗保险比例</t>
  </si>
  <si>
    <t>医疗大病统筹/元</t>
  </si>
  <si>
    <t>失业保险比例</t>
  </si>
  <si>
    <t>个人公积金比例</t>
  </si>
  <si>
    <t>企业公积金比例</t>
  </si>
  <si>
    <t>继续教育</t>
  </si>
  <si>
    <t>赡养老人(60岁以上)</t>
  </si>
  <si>
    <t>子女抚养(3岁以上)</t>
  </si>
  <si>
    <t>房贷还款</t>
  </si>
  <si>
    <t>租房</t>
  </si>
  <si>
    <t>大病</t>
  </si>
  <si>
    <t>此表自动计算不要修改</t>
  </si>
  <si>
    <t>月份</t>
  </si>
  <si>
    <t>当月税前月薪</t>
  </si>
  <si>
    <t>累计税前月薪</t>
  </si>
  <si>
    <t>个人当月社保扣除</t>
  </si>
  <si>
    <t>个人当月公积金扣除</t>
  </si>
  <si>
    <t>个人累计五险一金扣除</t>
  </si>
  <si>
    <t>累计专项附加扣除</t>
  </si>
  <si>
    <t>累计起征点扣除</t>
  </si>
  <si>
    <t>累计应纳税所得额</t>
  </si>
  <si>
    <t>累计应纳税所得额
对应税率表</t>
  </si>
  <si>
    <t>累计应纳税所得额
对应速算扣除数</t>
  </si>
  <si>
    <t>当月个税</t>
  </si>
  <si>
    <t>当月税后</t>
  </si>
  <si>
    <t>税后+
公司和个人公积金</t>
  </si>
  <si>
    <t>艰苦奋斗</t>
  </si>
  <si>
    <t>养老</t>
  </si>
  <si>
    <t>医疗</t>
  </si>
  <si>
    <t>失业</t>
  </si>
  <si>
    <t>不算年终，年税后收入：</t>
  </si>
  <si>
    <t>税前年终奖：</t>
  </si>
  <si>
    <t>税后年终奖：</t>
  </si>
  <si>
    <t>算年终奖，年税后收入：</t>
  </si>
  <si>
    <t>您的税后工资收入(无公积金、不含年终奖)：</t>
  </si>
  <si>
    <t>为国纳税，无限光荣！</t>
  </si>
  <si>
    <t>您的税后工资收入(无公积金、含年终奖)：</t>
  </si>
  <si>
    <t>另有公积金(个人+公司)：</t>
  </si>
  <si>
    <t>您的税后全部收入(工资+年终+公积金)：</t>
  </si>
  <si>
    <t>您今年为国纳税：</t>
  </si>
  <si>
    <t>李展博 2021.10.29
lzbqrr@163.com
项目地址：https://github.com/LZBUAV/MakeMoreMoney</t>
  </si>
  <si>
    <t>税前</t>
  </si>
  <si>
    <t>税后</t>
  </si>
  <si>
    <t>获得感</t>
  </si>
  <si>
    <t>66.03.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</si>
</sst>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_);[Red]\(0\)"/>
    <numFmt numFmtId="178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宋体"/>
      <charset val="134"/>
    </font>
    <font>
      <sz val="72"/>
      <color theme="1"/>
      <name val="宋体"/>
      <charset val="134"/>
    </font>
    <font>
      <b/>
      <sz val="36"/>
      <color rgb="FFFF0000"/>
      <name val="宋体"/>
      <charset val="134"/>
    </font>
    <font>
      <sz val="26"/>
      <color rgb="FFFF0000"/>
      <name val="宋体"/>
      <charset val="134"/>
    </font>
    <font>
      <sz val="16"/>
      <color rgb="FF00B050"/>
      <name val="宋体"/>
      <charset val="134"/>
    </font>
    <font>
      <sz val="20"/>
      <color theme="1"/>
      <name val="宋体"/>
      <charset val="134"/>
    </font>
    <font>
      <sz val="28"/>
      <color rgb="FFFF0000"/>
      <name val="宋体"/>
      <charset val="134"/>
    </font>
    <font>
      <sz val="72"/>
      <color rgb="FFFF0000"/>
      <name val="宋体"/>
      <charset val="134"/>
    </font>
    <font>
      <b/>
      <sz val="72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5" fillId="28" borderId="42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9" fillId="25" borderId="42" applyNumberFormat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27" borderId="41" applyNumberFormat="0" applyAlignment="0" applyProtection="0">
      <alignment vertical="center"/>
    </xf>
    <xf numFmtId="0" fontId="22" fillId="25" borderId="40" applyNumberFormat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0" borderId="3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35" applyNumberFormat="0" applyFill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center" vertical="center"/>
    </xf>
    <xf numFmtId="178" fontId="5" fillId="2" borderId="5" xfId="0" applyNumberFormat="1" applyFont="1" applyFill="1" applyBorder="1" applyAlignment="1">
      <alignment horizontal="center" vertical="center"/>
    </xf>
    <xf numFmtId="178" fontId="6" fillId="2" borderId="6" xfId="0" applyNumberFormat="1" applyFont="1" applyFill="1" applyBorder="1" applyAlignment="1">
      <alignment horizontal="center" vertical="center"/>
    </xf>
    <xf numFmtId="178" fontId="3" fillId="3" borderId="7" xfId="0" applyNumberFormat="1" applyFont="1" applyFill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178" fontId="3" fillId="4" borderId="8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78" fontId="3" fillId="4" borderId="10" xfId="0" applyNumberFormat="1" applyFont="1" applyFill="1" applyBorder="1" applyAlignment="1">
      <alignment horizontal="center" vertical="center"/>
    </xf>
    <xf numFmtId="178" fontId="3" fillId="3" borderId="5" xfId="0" applyNumberFormat="1" applyFont="1" applyFill="1" applyBorder="1" applyAlignment="1">
      <alignment horizontal="center" vertical="center"/>
    </xf>
    <xf numFmtId="178" fontId="3" fillId="3" borderId="6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178" fontId="7" fillId="5" borderId="11" xfId="0" applyNumberFormat="1" applyFont="1" applyFill="1" applyBorder="1" applyAlignment="1">
      <alignment vertical="center"/>
    </xf>
    <xf numFmtId="178" fontId="7" fillId="5" borderId="12" xfId="0" applyNumberFormat="1" applyFont="1" applyFill="1" applyBorder="1" applyAlignment="1">
      <alignment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/>
    </xf>
    <xf numFmtId="178" fontId="3" fillId="5" borderId="9" xfId="0" applyNumberFormat="1" applyFon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177" fontId="3" fillId="5" borderId="9" xfId="0" applyNumberFormat="1" applyFont="1" applyFill="1" applyBorder="1" applyAlignment="1">
      <alignment horizontal="center" vertical="center"/>
    </xf>
    <xf numFmtId="178" fontId="8" fillId="8" borderId="13" xfId="0" applyNumberFormat="1" applyFont="1" applyFill="1" applyBorder="1" applyAlignment="1">
      <alignment horizontal="center" vertical="center"/>
    </xf>
    <xf numFmtId="178" fontId="8" fillId="8" borderId="14" xfId="0" applyNumberFormat="1" applyFont="1" applyFill="1" applyBorder="1" applyAlignment="1">
      <alignment horizontal="center" vertical="center"/>
    </xf>
    <xf numFmtId="178" fontId="8" fillId="8" borderId="15" xfId="0" applyNumberFormat="1" applyFont="1" applyFill="1" applyBorder="1" applyAlignment="1">
      <alignment horizontal="center" vertical="center"/>
    </xf>
    <xf numFmtId="178" fontId="8" fillId="8" borderId="0" xfId="0" applyNumberFormat="1" applyFont="1" applyFill="1" applyBorder="1" applyAlignment="1">
      <alignment horizontal="center" vertical="center"/>
    </xf>
    <xf numFmtId="178" fontId="8" fillId="8" borderId="16" xfId="0" applyNumberFormat="1" applyFont="1" applyFill="1" applyBorder="1" applyAlignment="1">
      <alignment horizontal="center" vertical="center"/>
    </xf>
    <xf numFmtId="178" fontId="8" fillId="8" borderId="17" xfId="0" applyNumberFormat="1" applyFont="1" applyFill="1" applyBorder="1" applyAlignment="1">
      <alignment horizontal="center" vertical="center"/>
    </xf>
    <xf numFmtId="178" fontId="9" fillId="6" borderId="9" xfId="0" applyNumberFormat="1" applyFont="1" applyFill="1" applyBorder="1" applyAlignment="1">
      <alignment horizontal="right" vertical="center"/>
    </xf>
    <xf numFmtId="178" fontId="9" fillId="6" borderId="10" xfId="0" applyNumberFormat="1" applyFont="1" applyFill="1" applyBorder="1" applyAlignment="1">
      <alignment horizontal="right" vertical="center"/>
    </xf>
    <xf numFmtId="178" fontId="9" fillId="6" borderId="5" xfId="0" applyNumberFormat="1" applyFont="1" applyFill="1" applyBorder="1" applyAlignment="1">
      <alignment horizontal="right" vertical="center"/>
    </xf>
    <xf numFmtId="178" fontId="9" fillId="6" borderId="6" xfId="0" applyNumberFormat="1" applyFont="1" applyFill="1" applyBorder="1" applyAlignment="1">
      <alignment horizontal="right" vertical="center"/>
    </xf>
    <xf numFmtId="178" fontId="3" fillId="9" borderId="8" xfId="0" applyNumberFormat="1" applyFont="1" applyFill="1" applyBorder="1" applyAlignment="1">
      <alignment horizontal="center" vertical="center"/>
    </xf>
    <xf numFmtId="178" fontId="3" fillId="10" borderId="8" xfId="0" applyNumberFormat="1" applyFont="1" applyFill="1" applyBorder="1" applyAlignment="1">
      <alignment horizontal="center" vertical="center"/>
    </xf>
    <xf numFmtId="178" fontId="3" fillId="9" borderId="10" xfId="0" applyNumberFormat="1" applyFont="1" applyFill="1" applyBorder="1" applyAlignment="1">
      <alignment horizontal="center" vertical="center"/>
    </xf>
    <xf numFmtId="178" fontId="3" fillId="10" borderId="10" xfId="0" applyNumberFormat="1" applyFont="1" applyFill="1" applyBorder="1" applyAlignment="1">
      <alignment horizontal="center" vertical="center"/>
    </xf>
    <xf numFmtId="178" fontId="3" fillId="9" borderId="6" xfId="0" applyNumberFormat="1" applyFont="1" applyFill="1" applyBorder="1" applyAlignment="1">
      <alignment horizontal="center" vertical="center"/>
    </xf>
    <xf numFmtId="176" fontId="3" fillId="10" borderId="6" xfId="0" applyNumberFormat="1" applyFont="1" applyFill="1" applyBorder="1" applyAlignment="1">
      <alignment horizontal="center" vertical="center"/>
    </xf>
    <xf numFmtId="178" fontId="3" fillId="11" borderId="10" xfId="0" applyNumberFormat="1" applyFont="1" applyFill="1" applyBorder="1" applyAlignment="1">
      <alignment horizontal="center" vertical="center"/>
    </xf>
    <xf numFmtId="178" fontId="9" fillId="6" borderId="10" xfId="0" applyNumberFormat="1" applyFont="1" applyFill="1" applyBorder="1" applyAlignment="1">
      <alignment horizontal="center" vertical="center"/>
    </xf>
    <xf numFmtId="0" fontId="10" fillId="6" borderId="10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 wrapText="1"/>
    </xf>
    <xf numFmtId="178" fontId="9" fillId="6" borderId="6" xfId="0" applyNumberFormat="1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/>
    </xf>
    <xf numFmtId="178" fontId="3" fillId="12" borderId="8" xfId="0" applyNumberFormat="1" applyFont="1" applyFill="1" applyBorder="1" applyAlignment="1">
      <alignment horizontal="center" vertical="center"/>
    </xf>
    <xf numFmtId="178" fontId="3" fillId="12" borderId="10" xfId="0" applyNumberFormat="1" applyFont="1" applyFill="1" applyBorder="1" applyAlignment="1">
      <alignment horizontal="center" vertical="center"/>
    </xf>
    <xf numFmtId="178" fontId="3" fillId="10" borderId="6" xfId="0" applyNumberFormat="1" applyFont="1" applyFill="1" applyBorder="1" applyAlignment="1">
      <alignment horizontal="center" vertical="center"/>
    </xf>
    <xf numFmtId="176" fontId="3" fillId="12" borderId="6" xfId="0" applyNumberFormat="1" applyFont="1" applyFill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 vertical="center"/>
    </xf>
    <xf numFmtId="178" fontId="3" fillId="13" borderId="10" xfId="0" applyNumberFormat="1" applyFont="1" applyFill="1" applyBorder="1" applyAlignment="1">
      <alignment horizontal="center" vertical="center"/>
    </xf>
    <xf numFmtId="178" fontId="3" fillId="14" borderId="10" xfId="0" applyNumberFormat="1" applyFont="1" applyFill="1" applyBorder="1" applyAlignment="1">
      <alignment horizontal="center" vertical="center"/>
    </xf>
    <xf numFmtId="178" fontId="3" fillId="13" borderId="10" xfId="0" applyNumberFormat="1" applyFont="1" applyFill="1" applyBorder="1" applyAlignment="1">
      <alignment horizontal="right" vertical="center"/>
    </xf>
    <xf numFmtId="178" fontId="3" fillId="15" borderId="10" xfId="0" applyNumberFormat="1" applyFont="1" applyFill="1" applyBorder="1" applyAlignment="1">
      <alignment horizontal="center" vertical="center"/>
    </xf>
    <xf numFmtId="178" fontId="8" fillId="8" borderId="18" xfId="0" applyNumberFormat="1" applyFont="1" applyFill="1" applyBorder="1" applyAlignment="1">
      <alignment horizontal="center" vertical="center"/>
    </xf>
    <xf numFmtId="178" fontId="8" fillId="8" borderId="19" xfId="0" applyNumberFormat="1" applyFont="1" applyFill="1" applyBorder="1" applyAlignment="1">
      <alignment horizontal="center" vertical="center"/>
    </xf>
    <xf numFmtId="178" fontId="8" fillId="8" borderId="4" xfId="0" applyNumberFormat="1" applyFont="1" applyFill="1" applyBorder="1" applyAlignment="1">
      <alignment horizontal="center" vertical="center"/>
    </xf>
    <xf numFmtId="178" fontId="8" fillId="8" borderId="20" xfId="0" applyNumberFormat="1" applyFont="1" applyFill="1" applyBorder="1" applyAlignment="1">
      <alignment horizontal="center" vertical="center"/>
    </xf>
    <xf numFmtId="178" fontId="8" fillId="8" borderId="10" xfId="0" applyNumberFormat="1" applyFont="1" applyFill="1" applyBorder="1" applyAlignment="1">
      <alignment horizontal="right" vertical="center"/>
    </xf>
    <xf numFmtId="178" fontId="8" fillId="8" borderId="10" xfId="0" applyNumberFormat="1" applyFont="1" applyFill="1" applyBorder="1" applyAlignment="1">
      <alignment horizontal="center" vertical="center"/>
    </xf>
    <xf numFmtId="178" fontId="8" fillId="8" borderId="21" xfId="0" applyNumberFormat="1" applyFont="1" applyFill="1" applyBorder="1" applyAlignment="1">
      <alignment horizontal="center" vertical="center"/>
    </xf>
    <xf numFmtId="178" fontId="3" fillId="7" borderId="8" xfId="0" applyNumberFormat="1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14" borderId="10" xfId="0" applyNumberFormat="1" applyFont="1" applyFill="1" applyBorder="1" applyAlignment="1">
      <alignment horizontal="center" vertical="center" wrapText="1"/>
    </xf>
    <xf numFmtId="178" fontId="3" fillId="16" borderId="10" xfId="0" applyNumberFormat="1" applyFont="1" applyFill="1" applyBorder="1" applyAlignment="1">
      <alignment horizontal="center" vertical="center"/>
    </xf>
    <xf numFmtId="178" fontId="8" fillId="8" borderId="22" xfId="0" applyNumberFormat="1" applyFont="1" applyFill="1" applyBorder="1" applyAlignment="1">
      <alignment horizontal="center" vertical="center"/>
    </xf>
    <xf numFmtId="178" fontId="3" fillId="2" borderId="23" xfId="0" applyNumberFormat="1" applyFont="1" applyFill="1" applyBorder="1" applyAlignment="1">
      <alignment horizontal="center" vertical="center"/>
    </xf>
    <xf numFmtId="178" fontId="3" fillId="2" borderId="24" xfId="0" applyNumberFormat="1" applyFont="1" applyFill="1" applyBorder="1" applyAlignment="1">
      <alignment horizontal="center" vertical="center"/>
    </xf>
    <xf numFmtId="178" fontId="6" fillId="2" borderId="25" xfId="0" applyNumberFormat="1" applyFont="1" applyFill="1" applyBorder="1" applyAlignment="1">
      <alignment horizontal="center" vertical="center"/>
    </xf>
    <xf numFmtId="178" fontId="3" fillId="11" borderId="26" xfId="0" applyNumberFormat="1" applyFont="1" applyFill="1" applyBorder="1" applyAlignment="1">
      <alignment horizontal="center" vertical="center"/>
    </xf>
    <xf numFmtId="178" fontId="3" fillId="11" borderId="27" xfId="0" applyNumberFormat="1" applyFont="1" applyFill="1" applyBorder="1" applyAlignment="1">
      <alignment horizontal="center" vertical="center"/>
    </xf>
    <xf numFmtId="178" fontId="3" fillId="11" borderId="25" xfId="0" applyNumberFormat="1" applyFont="1" applyFill="1" applyBorder="1" applyAlignment="1">
      <alignment horizontal="center" vertical="center"/>
    </xf>
    <xf numFmtId="178" fontId="7" fillId="5" borderId="28" xfId="0" applyNumberFormat="1" applyFont="1" applyFill="1" applyBorder="1" applyAlignment="1">
      <alignment vertical="center"/>
    </xf>
    <xf numFmtId="178" fontId="5" fillId="6" borderId="23" xfId="0" applyNumberFormat="1" applyFont="1" applyFill="1" applyBorder="1" applyAlignment="1">
      <alignment horizontal="center" vertical="center"/>
    </xf>
    <xf numFmtId="178" fontId="3" fillId="16" borderId="10" xfId="0" applyNumberFormat="1" applyFont="1" applyFill="1" applyBorder="1" applyAlignment="1">
      <alignment horizontal="center" vertical="center" wrapText="1"/>
    </xf>
    <xf numFmtId="178" fontId="11" fillId="6" borderId="29" xfId="0" applyNumberFormat="1" applyFont="1" applyFill="1" applyBorder="1" applyAlignment="1">
      <alignment horizontal="center" vertical="center" textRotation="255"/>
    </xf>
    <xf numFmtId="178" fontId="11" fillId="6" borderId="30" xfId="0" applyNumberFormat="1" applyFont="1" applyFill="1" applyBorder="1" applyAlignment="1">
      <alignment horizontal="center" vertical="center" textRotation="255"/>
    </xf>
    <xf numFmtId="178" fontId="11" fillId="6" borderId="31" xfId="0" applyNumberFormat="1" applyFont="1" applyFill="1" applyBorder="1" applyAlignment="1">
      <alignment horizontal="center" vertical="center" textRotation="255"/>
    </xf>
    <xf numFmtId="178" fontId="11" fillId="6" borderId="32" xfId="0" applyNumberFormat="1" applyFont="1" applyFill="1" applyBorder="1" applyAlignment="1">
      <alignment horizontal="center" vertical="center" textRotation="255"/>
    </xf>
    <xf numFmtId="178" fontId="11" fillId="6" borderId="33" xfId="0" applyNumberFormat="1" applyFont="1" applyFill="1" applyBorder="1" applyAlignment="1">
      <alignment horizontal="center" vertical="center" textRotation="255"/>
    </xf>
    <xf numFmtId="178" fontId="11" fillId="6" borderId="34" xfId="0" applyNumberFormat="1" applyFont="1" applyFill="1" applyBorder="1" applyAlignment="1">
      <alignment horizontal="center" vertical="center" textRotation="255"/>
    </xf>
    <xf numFmtId="178" fontId="3" fillId="0" borderId="0" xfId="0" applyNumberFormat="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tabSelected="1" zoomScale="55" zoomScaleNormal="55" workbookViewId="0">
      <selection activeCell="B2" sqref="B2:T3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33333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33333</v>
      </c>
      <c r="D12" s="26">
        <f t="shared" ref="D12:D23" si="0">C12*B12</f>
        <v>33333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21975.988</v>
      </c>
      <c r="M12" s="56">
        <f t="shared" ref="M12:M24" si="3">IF(L12&lt;=0,0,IF(L12&lt;=36000,3%,IF(L12&lt;=144000,10%,IF(L12&lt;=300000,20%,IF(L12&lt;=420000,25%,IF(L12&lt;=660000,30%,IF(L12&lt;=960000,35%,45%)))))))</f>
        <v>0.03</v>
      </c>
      <c r="N12" s="56">
        <f t="shared" ref="N12:N24" si="4">IF(L12&lt;=36000,0,IF(L12&lt;=144000,2520,IF(L12&lt;=300000,16920,IF(L12&lt;=420000,31920,IF(L12&lt;=660000,52920,IF(L12&lt;=960000,85920,181920))))))</f>
        <v>0</v>
      </c>
      <c r="O12" s="56">
        <f>L12*M12-N12</f>
        <v>659.27964</v>
      </c>
      <c r="P12" s="69">
        <f t="shared" ref="P12:P23" si="5">C12-E12-F12-G12-H12-O12</f>
        <v>27816.70836</v>
      </c>
      <c r="Q12" s="69">
        <f>P12+H12+MIN(E7,G7)*M7</f>
        <v>31767.64836</v>
      </c>
      <c r="R12" s="69"/>
      <c r="S12" s="82"/>
      <c r="T12" s="83"/>
    </row>
    <row r="13" ht="39.95" customHeight="1" spans="2:20">
      <c r="B13" s="27">
        <v>2</v>
      </c>
      <c r="C13" s="26">
        <f>B7</f>
        <v>33333</v>
      </c>
      <c r="D13" s="26">
        <f t="shared" si="0"/>
        <v>66666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43951.976</v>
      </c>
      <c r="M13" s="56">
        <f t="shared" si="3"/>
        <v>0.1</v>
      </c>
      <c r="N13" s="56">
        <f t="shared" si="4"/>
        <v>2520</v>
      </c>
      <c r="O13" s="56">
        <f>L13*M13-N13-O12</f>
        <v>1215.91796</v>
      </c>
      <c r="P13" s="69">
        <f t="shared" si="5"/>
        <v>27260.07004</v>
      </c>
      <c r="Q13" s="69">
        <f>P13+H13+MIN(E7,G7)*M7</f>
        <v>31211.01004</v>
      </c>
      <c r="R13" s="69"/>
      <c r="S13" s="82"/>
      <c r="T13" s="83"/>
    </row>
    <row r="14" ht="39.95" customHeight="1" spans="2:20">
      <c r="B14" s="27">
        <v>3</v>
      </c>
      <c r="C14" s="26">
        <f>B7</f>
        <v>33333</v>
      </c>
      <c r="D14" s="26">
        <f t="shared" si="0"/>
        <v>99999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65927.964</v>
      </c>
      <c r="M14" s="56">
        <f t="shared" si="3"/>
        <v>0.1</v>
      </c>
      <c r="N14" s="56">
        <f t="shared" si="4"/>
        <v>2520</v>
      </c>
      <c r="O14" s="56">
        <f>L14*M14-N14-O13-O12</f>
        <v>2197.5988</v>
      </c>
      <c r="P14" s="69">
        <f t="shared" si="5"/>
        <v>26278.3892</v>
      </c>
      <c r="Q14" s="69">
        <f>P14+H14+MIN(E7,G7)*M7</f>
        <v>30229.3292</v>
      </c>
      <c r="R14" s="69"/>
      <c r="S14" s="82"/>
      <c r="T14" s="83"/>
    </row>
    <row r="15" ht="39.95" customHeight="1" spans="2:20">
      <c r="B15" s="27">
        <v>4</v>
      </c>
      <c r="C15" s="26">
        <f>B7</f>
        <v>33333</v>
      </c>
      <c r="D15" s="26">
        <f t="shared" si="0"/>
        <v>133332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87903.952</v>
      </c>
      <c r="M15" s="56">
        <f t="shared" si="3"/>
        <v>0.1</v>
      </c>
      <c r="N15" s="56">
        <f t="shared" si="4"/>
        <v>2520</v>
      </c>
      <c r="O15" s="56">
        <f>L15*M15-N15-O14-O13-O12</f>
        <v>2197.5988</v>
      </c>
      <c r="P15" s="69">
        <f t="shared" si="5"/>
        <v>26278.3892</v>
      </c>
      <c r="Q15" s="69">
        <f>P15+H15+MIN(E7,G7)*M7</f>
        <v>30229.3292</v>
      </c>
      <c r="R15" s="69"/>
      <c r="S15" s="82"/>
      <c r="T15" s="83"/>
    </row>
    <row r="16" ht="39.95" customHeight="1" spans="2:20">
      <c r="B16" s="27">
        <v>5</v>
      </c>
      <c r="C16" s="26">
        <f>B7</f>
        <v>33333</v>
      </c>
      <c r="D16" s="26">
        <f t="shared" si="0"/>
        <v>166665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109879.94</v>
      </c>
      <c r="M16" s="56">
        <f t="shared" si="3"/>
        <v>0.1</v>
      </c>
      <c r="N16" s="56">
        <f t="shared" si="4"/>
        <v>2520</v>
      </c>
      <c r="O16" s="56">
        <f>L16*M16-N16-O15-O14-O13-O12</f>
        <v>2197.5988</v>
      </c>
      <c r="P16" s="69">
        <f t="shared" si="5"/>
        <v>26278.3892</v>
      </c>
      <c r="Q16" s="69">
        <f>P16+H16+MIN(E7,G7)*M7</f>
        <v>30229.3292</v>
      </c>
      <c r="R16" s="69"/>
      <c r="S16" s="82"/>
      <c r="T16" s="83"/>
    </row>
    <row r="17" ht="39.95" customHeight="1" spans="2:20">
      <c r="B17" s="27">
        <v>6</v>
      </c>
      <c r="C17" s="26">
        <f>B7</f>
        <v>33333</v>
      </c>
      <c r="D17" s="26">
        <f t="shared" si="0"/>
        <v>199998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131855.928</v>
      </c>
      <c r="M17" s="56">
        <f t="shared" si="3"/>
        <v>0.1</v>
      </c>
      <c r="N17" s="56">
        <f t="shared" si="4"/>
        <v>2520</v>
      </c>
      <c r="O17" s="56">
        <f>L17*M17-N17-O16-O15-O14-O13-O12</f>
        <v>2197.5988</v>
      </c>
      <c r="P17" s="69">
        <f t="shared" si="5"/>
        <v>26278.3892</v>
      </c>
      <c r="Q17" s="69">
        <f>P17+H17+MIN(E7,G7)*M7</f>
        <v>30229.3292</v>
      </c>
      <c r="R17" s="69"/>
      <c r="S17" s="82"/>
      <c r="T17" s="83"/>
    </row>
    <row r="18" ht="39.95" customHeight="1" spans="2:20">
      <c r="B18" s="27">
        <v>7</v>
      </c>
      <c r="C18" s="26">
        <f>B7</f>
        <v>33333</v>
      </c>
      <c r="D18" s="26">
        <f t="shared" si="0"/>
        <v>233331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153831.916</v>
      </c>
      <c r="M18" s="56">
        <f t="shared" si="3"/>
        <v>0.2</v>
      </c>
      <c r="N18" s="56">
        <f t="shared" si="4"/>
        <v>16920</v>
      </c>
      <c r="O18" s="56">
        <f>L18*M18-N18-O17-O16-O15-O14-O13-O12</f>
        <v>3180.7904</v>
      </c>
      <c r="P18" s="69">
        <f t="shared" si="5"/>
        <v>25295.1976</v>
      </c>
      <c r="Q18" s="69">
        <f>P18+H18+MIN(E7,G7)*M7</f>
        <v>29246.1376</v>
      </c>
      <c r="R18" s="69"/>
      <c r="S18" s="82"/>
      <c r="T18" s="83"/>
    </row>
    <row r="19" ht="39.95" customHeight="1" spans="2:20">
      <c r="B19" s="27">
        <v>8</v>
      </c>
      <c r="C19" s="26">
        <f>B7</f>
        <v>33333</v>
      </c>
      <c r="D19" s="26">
        <f t="shared" si="0"/>
        <v>266664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175807.904</v>
      </c>
      <c r="M19" s="56">
        <f t="shared" si="3"/>
        <v>0.2</v>
      </c>
      <c r="N19" s="56">
        <f t="shared" si="4"/>
        <v>16920</v>
      </c>
      <c r="O19" s="56">
        <f>L19*M19-N19-O18-O17-O16-O15-O14-O13-O12</f>
        <v>4395.1976</v>
      </c>
      <c r="P19" s="69">
        <f t="shared" si="5"/>
        <v>24080.7904</v>
      </c>
      <c r="Q19" s="69">
        <f>P19+H19+MIN(E7,G7)*M7</f>
        <v>28031.7304</v>
      </c>
      <c r="R19" s="69"/>
      <c r="S19" s="82"/>
      <c r="T19" s="83"/>
    </row>
    <row r="20" ht="39.95" customHeight="1" spans="2:20">
      <c r="B20" s="27">
        <v>9</v>
      </c>
      <c r="C20" s="26">
        <f>B7</f>
        <v>33333</v>
      </c>
      <c r="D20" s="26">
        <f t="shared" si="0"/>
        <v>299997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197783.892</v>
      </c>
      <c r="M20" s="56">
        <f t="shared" si="3"/>
        <v>0.2</v>
      </c>
      <c r="N20" s="56">
        <f t="shared" si="4"/>
        <v>16920</v>
      </c>
      <c r="O20" s="56">
        <f>L20*M20-N20-O19-O18-O17-O16-O15-O14-O13-O12</f>
        <v>4395.19760000001</v>
      </c>
      <c r="P20" s="69">
        <f t="shared" si="5"/>
        <v>24080.7904</v>
      </c>
      <c r="Q20" s="69">
        <f>P20+H20+MIN(E7,G7)*M7</f>
        <v>28031.7304</v>
      </c>
      <c r="R20" s="69"/>
      <c r="S20" s="82"/>
      <c r="T20" s="83"/>
    </row>
    <row r="21" ht="39.95" customHeight="1" spans="2:20">
      <c r="B21" s="27">
        <v>10</v>
      </c>
      <c r="C21" s="26">
        <f>B7</f>
        <v>33333</v>
      </c>
      <c r="D21" s="26">
        <f t="shared" si="0"/>
        <v>333330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219759.88</v>
      </c>
      <c r="M21" s="56">
        <f t="shared" si="3"/>
        <v>0.2</v>
      </c>
      <c r="N21" s="56">
        <f t="shared" si="4"/>
        <v>16920</v>
      </c>
      <c r="O21" s="56">
        <f>L21*M21-N21-O20-O19-O18-O17-O16-O15-O14-O13-O12</f>
        <v>4395.1976</v>
      </c>
      <c r="P21" s="69">
        <f t="shared" si="5"/>
        <v>24080.7904</v>
      </c>
      <c r="Q21" s="69">
        <f>P21+H21+MIN(E7,G7)*M7</f>
        <v>28031.7304</v>
      </c>
      <c r="R21" s="69"/>
      <c r="S21" s="82"/>
      <c r="T21" s="83"/>
    </row>
    <row r="22" ht="39.95" customHeight="1" spans="2:20">
      <c r="B22" s="27">
        <v>11</v>
      </c>
      <c r="C22" s="26">
        <f>B7</f>
        <v>33333</v>
      </c>
      <c r="D22" s="26">
        <f t="shared" si="0"/>
        <v>366663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241735.868</v>
      </c>
      <c r="M22" s="56">
        <f t="shared" si="3"/>
        <v>0.2</v>
      </c>
      <c r="N22" s="56">
        <f t="shared" si="4"/>
        <v>16920</v>
      </c>
      <c r="O22" s="56">
        <f>L22*M22-N22-O21-O20-O19-O18-O17-O16-O15-O14-O13-O12</f>
        <v>4395.19760000001</v>
      </c>
      <c r="P22" s="69">
        <f t="shared" si="5"/>
        <v>24080.7904</v>
      </c>
      <c r="Q22" s="69">
        <f>P22+H22+MIN(E7,G7)*M7</f>
        <v>28031.7304</v>
      </c>
      <c r="R22" s="69"/>
      <c r="S22" s="82"/>
      <c r="T22" s="83"/>
    </row>
    <row r="23" ht="39.95" customHeight="1" spans="2:20">
      <c r="B23" s="27">
        <v>12</v>
      </c>
      <c r="C23" s="26">
        <f>B7</f>
        <v>33333</v>
      </c>
      <c r="D23" s="26">
        <f t="shared" si="0"/>
        <v>399996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263711.856</v>
      </c>
      <c r="M23" s="56">
        <f t="shared" si="3"/>
        <v>0.2</v>
      </c>
      <c r="N23" s="56">
        <f t="shared" si="4"/>
        <v>16920</v>
      </c>
      <c r="O23" s="56">
        <f>L23*M23-N23-O22-O21-O20-O19-O18-O17-O16-O15-O14-O13-O12</f>
        <v>4395.19759999998</v>
      </c>
      <c r="P23" s="69">
        <f t="shared" si="5"/>
        <v>24080.7904</v>
      </c>
      <c r="Q23" s="69">
        <f>P23+H23+MIN(E7,G7)*M7</f>
        <v>28031.7304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399996</v>
      </c>
      <c r="E24" s="44"/>
      <c r="F24" s="44"/>
      <c r="G24" s="44"/>
      <c r="H24" s="44"/>
      <c r="I24" s="44"/>
      <c r="J24" s="54"/>
      <c r="K24" s="57"/>
      <c r="L24" s="58">
        <f>L23+C7</f>
        <v>263711.856</v>
      </c>
      <c r="M24" s="58">
        <f t="shared" si="3"/>
        <v>0.2</v>
      </c>
      <c r="N24" s="58">
        <f t="shared" si="4"/>
        <v>16920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305889.4848</v>
      </c>
      <c r="Q25" s="64">
        <f>SUM(Q12:Q23)</f>
        <v>353300.7648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305889.4848</v>
      </c>
      <c r="Q26" s="64">
        <f>SUM(Q12:Q24)</f>
        <v>353300.7648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305889.4848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305889.4848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353300.7648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35822.3712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4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208333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208333</v>
      </c>
      <c r="D12" s="26">
        <f t="shared" ref="D12:D23" si="0">C12*B12</f>
        <v>208333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196975.988</v>
      </c>
      <c r="M12" s="56">
        <f t="shared" ref="M12:M24" si="3">IF(L12&lt;=0,0,IF(L12&lt;=36000,3%,IF(L12&lt;=144000,10%,IF(L12&lt;=300000,20%,IF(L12&lt;=420000,25%,IF(L12&lt;=660000,30%,IF(L12&lt;=960000,35%,45%)))))))</f>
        <v>0.2</v>
      </c>
      <c r="N12" s="56">
        <f t="shared" ref="N12:N24" si="4">IF(L12&lt;=36000,0,IF(L12&lt;=144000,2520,IF(L12&lt;=300000,16920,IF(L12&lt;=420000,31920,IF(L12&lt;=660000,52920,IF(L12&lt;=960000,85920,181920))))))</f>
        <v>16920</v>
      </c>
      <c r="O12" s="56">
        <f>L12*M12-N12</f>
        <v>22475.1976</v>
      </c>
      <c r="P12" s="69">
        <f t="shared" ref="P12:P23" si="5">C12-E12-F12-G12-H12-O12</f>
        <v>181000.7904</v>
      </c>
      <c r="Q12" s="69">
        <f>P12+H12+MIN(E7,G7)*M7</f>
        <v>184951.7304</v>
      </c>
      <c r="R12" s="69"/>
      <c r="S12" s="82"/>
      <c r="T12" s="83"/>
    </row>
    <row r="13" ht="39.95" customHeight="1" spans="2:20">
      <c r="B13" s="27">
        <v>2</v>
      </c>
      <c r="C13" s="26">
        <f>B7</f>
        <v>208333</v>
      </c>
      <c r="D13" s="26">
        <f t="shared" si="0"/>
        <v>416666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393951.976</v>
      </c>
      <c r="M13" s="56">
        <f t="shared" si="3"/>
        <v>0.25</v>
      </c>
      <c r="N13" s="56">
        <f t="shared" si="4"/>
        <v>31920</v>
      </c>
      <c r="O13" s="56">
        <f>L13*M13-N13-O12</f>
        <v>44092.7964</v>
      </c>
      <c r="P13" s="69">
        <f t="shared" si="5"/>
        <v>159383.1916</v>
      </c>
      <c r="Q13" s="69">
        <f>P13+H13+MIN(E7,G7)*M7</f>
        <v>163334.1316</v>
      </c>
      <c r="R13" s="69"/>
      <c r="S13" s="82"/>
      <c r="T13" s="83"/>
    </row>
    <row r="14" ht="39.95" customHeight="1" spans="2:20">
      <c r="B14" s="27">
        <v>3</v>
      </c>
      <c r="C14" s="26">
        <f>B7</f>
        <v>208333</v>
      </c>
      <c r="D14" s="26">
        <f t="shared" si="0"/>
        <v>624999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590927.964</v>
      </c>
      <c r="M14" s="56">
        <f t="shared" si="3"/>
        <v>0.3</v>
      </c>
      <c r="N14" s="56">
        <f t="shared" si="4"/>
        <v>52920</v>
      </c>
      <c r="O14" s="56">
        <f>L14*M14-N14-O13-O12</f>
        <v>57790.3952</v>
      </c>
      <c r="P14" s="69">
        <f t="shared" si="5"/>
        <v>145685.5928</v>
      </c>
      <c r="Q14" s="69">
        <f>P14+H14+MIN(E7,G7)*M7</f>
        <v>149636.5328</v>
      </c>
      <c r="R14" s="69"/>
      <c r="S14" s="82"/>
      <c r="T14" s="83"/>
    </row>
    <row r="15" ht="39.95" customHeight="1" spans="2:20">
      <c r="B15" s="27">
        <v>4</v>
      </c>
      <c r="C15" s="26">
        <f>B7</f>
        <v>208333</v>
      </c>
      <c r="D15" s="26">
        <f t="shared" si="0"/>
        <v>833332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787903.952</v>
      </c>
      <c r="M15" s="56">
        <f t="shared" si="3"/>
        <v>0.35</v>
      </c>
      <c r="N15" s="56">
        <f t="shared" si="4"/>
        <v>85920</v>
      </c>
      <c r="O15" s="56">
        <f>L15*M15-N15-O14-O13-O12</f>
        <v>65487.994</v>
      </c>
      <c r="P15" s="69">
        <f t="shared" si="5"/>
        <v>137987.994</v>
      </c>
      <c r="Q15" s="69">
        <f>P15+H15+MIN(E7,G7)*M7</f>
        <v>141938.934</v>
      </c>
      <c r="R15" s="69"/>
      <c r="S15" s="82"/>
      <c r="T15" s="83"/>
    </row>
    <row r="16" ht="39.95" customHeight="1" spans="2:20">
      <c r="B16" s="27">
        <v>5</v>
      </c>
      <c r="C16" s="26">
        <f>B7</f>
        <v>208333</v>
      </c>
      <c r="D16" s="26">
        <f t="shared" si="0"/>
        <v>1041665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984879.94</v>
      </c>
      <c r="M16" s="56">
        <f t="shared" si="3"/>
        <v>0.45</v>
      </c>
      <c r="N16" s="56">
        <f t="shared" si="4"/>
        <v>181920</v>
      </c>
      <c r="O16" s="56">
        <f>L16*M16-N16-O15-O14-O13-O12</f>
        <v>71429.5898</v>
      </c>
      <c r="P16" s="69">
        <f t="shared" si="5"/>
        <v>132046.3982</v>
      </c>
      <c r="Q16" s="69">
        <f>P16+H16+MIN(E7,G7)*M7</f>
        <v>135997.3382</v>
      </c>
      <c r="R16" s="69"/>
      <c r="S16" s="82"/>
      <c r="T16" s="83"/>
    </row>
    <row r="17" ht="39.95" customHeight="1" spans="2:20">
      <c r="B17" s="27">
        <v>6</v>
      </c>
      <c r="C17" s="26">
        <f>B7</f>
        <v>208333</v>
      </c>
      <c r="D17" s="26">
        <f t="shared" si="0"/>
        <v>1249998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1181855.928</v>
      </c>
      <c r="M17" s="56">
        <f t="shared" si="3"/>
        <v>0.45</v>
      </c>
      <c r="N17" s="56">
        <f t="shared" si="4"/>
        <v>181920</v>
      </c>
      <c r="O17" s="56">
        <f>L17*M17-N17-O16-O15-O14-O13-O12</f>
        <v>88639.1946</v>
      </c>
      <c r="P17" s="69">
        <f t="shared" si="5"/>
        <v>114836.7934</v>
      </c>
      <c r="Q17" s="69">
        <f>P17+H17+MIN(E7,G7)*M7</f>
        <v>118787.7334</v>
      </c>
      <c r="R17" s="69"/>
      <c r="S17" s="82"/>
      <c r="T17" s="83"/>
    </row>
    <row r="18" ht="39.95" customHeight="1" spans="2:20">
      <c r="B18" s="27">
        <v>7</v>
      </c>
      <c r="C18" s="26">
        <f>B7</f>
        <v>208333</v>
      </c>
      <c r="D18" s="26">
        <f t="shared" si="0"/>
        <v>1458331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1378831.916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88639.1945999999</v>
      </c>
      <c r="P18" s="69">
        <f t="shared" si="5"/>
        <v>114836.7934</v>
      </c>
      <c r="Q18" s="69">
        <f>P18+H18+MIN(E7,G7)*M7</f>
        <v>118787.7334</v>
      </c>
      <c r="R18" s="69"/>
      <c r="S18" s="82"/>
      <c r="T18" s="83"/>
    </row>
    <row r="19" ht="39.95" customHeight="1" spans="2:20">
      <c r="B19" s="27">
        <v>8</v>
      </c>
      <c r="C19" s="26">
        <f>B7</f>
        <v>208333</v>
      </c>
      <c r="D19" s="26">
        <f t="shared" si="0"/>
        <v>1666664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1575807.904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88639.1946</v>
      </c>
      <c r="P19" s="69">
        <f t="shared" si="5"/>
        <v>114836.7934</v>
      </c>
      <c r="Q19" s="69">
        <f>P19+H19+MIN(E7,G7)*M7</f>
        <v>118787.7334</v>
      </c>
      <c r="R19" s="69"/>
      <c r="S19" s="82"/>
      <c r="T19" s="83"/>
    </row>
    <row r="20" ht="39.95" customHeight="1" spans="2:20">
      <c r="B20" s="27">
        <v>9</v>
      </c>
      <c r="C20" s="26">
        <f>B7</f>
        <v>208333</v>
      </c>
      <c r="D20" s="26">
        <f t="shared" si="0"/>
        <v>1874997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1772783.892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88639.1946</v>
      </c>
      <c r="P20" s="69">
        <f t="shared" si="5"/>
        <v>114836.7934</v>
      </c>
      <c r="Q20" s="69">
        <f>P20+H20+MIN(E7,G7)*M7</f>
        <v>118787.7334</v>
      </c>
      <c r="R20" s="69"/>
      <c r="S20" s="82"/>
      <c r="T20" s="83"/>
    </row>
    <row r="21" ht="39.95" customHeight="1" spans="2:20">
      <c r="B21" s="27">
        <v>10</v>
      </c>
      <c r="C21" s="26">
        <f>B7</f>
        <v>208333</v>
      </c>
      <c r="D21" s="26">
        <f t="shared" si="0"/>
        <v>2083330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1969759.88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88639.1945999999</v>
      </c>
      <c r="P21" s="69">
        <f t="shared" si="5"/>
        <v>114836.7934</v>
      </c>
      <c r="Q21" s="69">
        <f>P21+H21+MIN(E7,G7)*M7</f>
        <v>118787.7334</v>
      </c>
      <c r="R21" s="69"/>
      <c r="S21" s="82"/>
      <c r="T21" s="83"/>
    </row>
    <row r="22" ht="39.95" customHeight="1" spans="2:20">
      <c r="B22" s="27">
        <v>11</v>
      </c>
      <c r="C22" s="26">
        <f>B7</f>
        <v>208333</v>
      </c>
      <c r="D22" s="26">
        <f t="shared" si="0"/>
        <v>2291663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2166735.868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88639.1945999999</v>
      </c>
      <c r="P22" s="69">
        <f t="shared" si="5"/>
        <v>114836.7934</v>
      </c>
      <c r="Q22" s="69">
        <f>P22+H22+MIN(E7,G7)*M7</f>
        <v>118787.7334</v>
      </c>
      <c r="R22" s="69"/>
      <c r="S22" s="82"/>
      <c r="T22" s="83"/>
    </row>
    <row r="23" ht="39.95" customHeight="1" spans="2:20">
      <c r="B23" s="27">
        <v>12</v>
      </c>
      <c r="C23" s="26">
        <f>B7</f>
        <v>208333</v>
      </c>
      <c r="D23" s="26">
        <f t="shared" si="0"/>
        <v>2499996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2363711.856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88639.1946000002</v>
      </c>
      <c r="P23" s="69">
        <f t="shared" si="5"/>
        <v>114836.7934</v>
      </c>
      <c r="Q23" s="69">
        <f>P23+H23+MIN(E7,G7)*M7</f>
        <v>118787.7334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2499996</v>
      </c>
      <c r="E24" s="44"/>
      <c r="F24" s="44"/>
      <c r="G24" s="44"/>
      <c r="H24" s="44"/>
      <c r="I24" s="44"/>
      <c r="J24" s="54"/>
      <c r="K24" s="57"/>
      <c r="L24" s="58">
        <f>L23+C7</f>
        <v>2363711.856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1559961.5208</v>
      </c>
      <c r="Q25" s="64">
        <f>SUM(Q12:Q23)</f>
        <v>1607372.8008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1559961.5208</v>
      </c>
      <c r="Q26" s="64">
        <f>SUM(Q12:Q24)</f>
        <v>1607372.8008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1559961.5208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1559961.5208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1607372.8008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881750.3352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6" workbookViewId="0">
      <selection activeCell="B9" sqref="B9:T9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250000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250000</v>
      </c>
      <c r="D12" s="26">
        <f t="shared" ref="D12:D23" si="0">C12*B12</f>
        <v>250000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238642.988</v>
      </c>
      <c r="M12" s="56">
        <f t="shared" ref="M12:M24" si="3">IF(L12&lt;=0,0,IF(L12&lt;=36000,3%,IF(L12&lt;=144000,10%,IF(L12&lt;=300000,20%,IF(L12&lt;=420000,25%,IF(L12&lt;=660000,30%,IF(L12&lt;=960000,35%,45%)))))))</f>
        <v>0.2</v>
      </c>
      <c r="N12" s="56">
        <f t="shared" ref="N12:N24" si="4">IF(L12&lt;=36000,0,IF(L12&lt;=144000,2520,IF(L12&lt;=300000,16920,IF(L12&lt;=420000,31920,IF(L12&lt;=660000,52920,IF(L12&lt;=960000,85920,181920))))))</f>
        <v>16920</v>
      </c>
      <c r="O12" s="56">
        <f>L12*M12-N12</f>
        <v>30808.5976</v>
      </c>
      <c r="P12" s="69">
        <f t="shared" ref="P12:P23" si="5">C12-E12-F12-G12-H12-O12</f>
        <v>214334.3904</v>
      </c>
      <c r="Q12" s="69">
        <f>P12+H12+MIN(E7,G7)*M7</f>
        <v>218285.3304</v>
      </c>
      <c r="R12" s="69"/>
      <c r="S12" s="82"/>
      <c r="T12" s="83"/>
    </row>
    <row r="13" ht="39.95" customHeight="1" spans="2:20">
      <c r="B13" s="27">
        <v>2</v>
      </c>
      <c r="C13" s="26">
        <f>B7</f>
        <v>250000</v>
      </c>
      <c r="D13" s="26">
        <f t="shared" si="0"/>
        <v>500000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477285.976</v>
      </c>
      <c r="M13" s="56">
        <f t="shared" si="3"/>
        <v>0.3</v>
      </c>
      <c r="N13" s="56">
        <f t="shared" si="4"/>
        <v>52920</v>
      </c>
      <c r="O13" s="56">
        <f>L13*M13-N13-O12</f>
        <v>59457.1952</v>
      </c>
      <c r="P13" s="69">
        <f t="shared" si="5"/>
        <v>185685.7928</v>
      </c>
      <c r="Q13" s="69">
        <f>P13+H13+MIN(E7,G7)*M7</f>
        <v>189636.7328</v>
      </c>
      <c r="R13" s="69"/>
      <c r="S13" s="82"/>
      <c r="T13" s="83"/>
    </row>
    <row r="14" ht="39.95" customHeight="1" spans="2:20">
      <c r="B14" s="27">
        <v>3</v>
      </c>
      <c r="C14" s="26">
        <f>B7</f>
        <v>250000</v>
      </c>
      <c r="D14" s="26">
        <f t="shared" si="0"/>
        <v>750000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715928.964</v>
      </c>
      <c r="M14" s="56">
        <f t="shared" si="3"/>
        <v>0.35</v>
      </c>
      <c r="N14" s="56">
        <f t="shared" si="4"/>
        <v>85920</v>
      </c>
      <c r="O14" s="56">
        <f>L14*M14-N14-O13-O12</f>
        <v>74389.3446</v>
      </c>
      <c r="P14" s="69">
        <f t="shared" si="5"/>
        <v>170753.6434</v>
      </c>
      <c r="Q14" s="69">
        <f>P14+H14+MIN(E7,G7)*M7</f>
        <v>174704.5834</v>
      </c>
      <c r="R14" s="69"/>
      <c r="S14" s="82"/>
      <c r="T14" s="83"/>
    </row>
    <row r="15" ht="39.95" customHeight="1" spans="2:20">
      <c r="B15" s="27">
        <v>4</v>
      </c>
      <c r="C15" s="26">
        <f>B7</f>
        <v>250000</v>
      </c>
      <c r="D15" s="26">
        <f t="shared" si="0"/>
        <v>1000000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954571.952</v>
      </c>
      <c r="M15" s="56">
        <f t="shared" si="3"/>
        <v>0.35</v>
      </c>
      <c r="N15" s="56">
        <f t="shared" si="4"/>
        <v>85920</v>
      </c>
      <c r="O15" s="56">
        <f>L15*M15-N15-O14-O13-O12</f>
        <v>83525.0458</v>
      </c>
      <c r="P15" s="69">
        <f t="shared" si="5"/>
        <v>161617.9422</v>
      </c>
      <c r="Q15" s="69">
        <f>P15+H15+MIN(E7,G7)*M7</f>
        <v>165568.8822</v>
      </c>
      <c r="R15" s="69"/>
      <c r="S15" s="82"/>
      <c r="T15" s="83"/>
    </row>
    <row r="16" ht="39.95" customHeight="1" spans="2:20">
      <c r="B16" s="27">
        <v>5</v>
      </c>
      <c r="C16" s="26">
        <f>B7</f>
        <v>250000</v>
      </c>
      <c r="D16" s="26">
        <f t="shared" si="0"/>
        <v>1250000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1193214.94</v>
      </c>
      <c r="M16" s="56">
        <f t="shared" si="3"/>
        <v>0.45</v>
      </c>
      <c r="N16" s="56">
        <f t="shared" si="4"/>
        <v>181920</v>
      </c>
      <c r="O16" s="56">
        <f>L16*M16-N16-O15-O14-O13-O12</f>
        <v>106846.5398</v>
      </c>
      <c r="P16" s="69">
        <f t="shared" si="5"/>
        <v>138296.4482</v>
      </c>
      <c r="Q16" s="69">
        <f>P16+H16+MIN(E7,G7)*M7</f>
        <v>142247.3882</v>
      </c>
      <c r="R16" s="69"/>
      <c r="S16" s="82"/>
      <c r="T16" s="83"/>
    </row>
    <row r="17" ht="39.95" customHeight="1" spans="2:20">
      <c r="B17" s="27">
        <v>6</v>
      </c>
      <c r="C17" s="26">
        <f>B7</f>
        <v>250000</v>
      </c>
      <c r="D17" s="26">
        <f t="shared" si="0"/>
        <v>1500000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1431857.928</v>
      </c>
      <c r="M17" s="56">
        <f t="shared" si="3"/>
        <v>0.45</v>
      </c>
      <c r="N17" s="56">
        <f t="shared" si="4"/>
        <v>181920</v>
      </c>
      <c r="O17" s="56">
        <f>L17*M17-N17-O16-O15-O14-O13-O12</f>
        <v>107389.3446</v>
      </c>
      <c r="P17" s="69">
        <f t="shared" si="5"/>
        <v>137753.6434</v>
      </c>
      <c r="Q17" s="69">
        <f>P17+H17+MIN(E7,G7)*M7</f>
        <v>141704.5834</v>
      </c>
      <c r="R17" s="69"/>
      <c r="S17" s="82"/>
      <c r="T17" s="83"/>
    </row>
    <row r="18" ht="39.95" customHeight="1" spans="2:20">
      <c r="B18" s="27">
        <v>7</v>
      </c>
      <c r="C18" s="26">
        <f>B7</f>
        <v>250000</v>
      </c>
      <c r="D18" s="26">
        <f t="shared" si="0"/>
        <v>1750000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1670500.916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107389.3446</v>
      </c>
      <c r="P18" s="69">
        <f t="shared" si="5"/>
        <v>137753.6434</v>
      </c>
      <c r="Q18" s="69">
        <f>P18+H18+MIN(E7,G7)*M7</f>
        <v>141704.5834</v>
      </c>
      <c r="R18" s="69"/>
      <c r="S18" s="82"/>
      <c r="T18" s="83"/>
    </row>
    <row r="19" ht="39.95" customHeight="1" spans="2:20">
      <c r="B19" s="27">
        <v>8</v>
      </c>
      <c r="C19" s="26">
        <f>B7</f>
        <v>250000</v>
      </c>
      <c r="D19" s="26">
        <f t="shared" si="0"/>
        <v>2000000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1909143.904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107389.3446</v>
      </c>
      <c r="P19" s="69">
        <f t="shared" si="5"/>
        <v>137753.6434</v>
      </c>
      <c r="Q19" s="69">
        <f>P19+H19+MIN(E7,G7)*M7</f>
        <v>141704.5834</v>
      </c>
      <c r="R19" s="69"/>
      <c r="S19" s="82"/>
      <c r="T19" s="83"/>
    </row>
    <row r="20" ht="39.95" customHeight="1" spans="2:20">
      <c r="B20" s="27">
        <v>9</v>
      </c>
      <c r="C20" s="26">
        <f>B7</f>
        <v>250000</v>
      </c>
      <c r="D20" s="26">
        <f t="shared" si="0"/>
        <v>2250000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2147786.892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107389.3446</v>
      </c>
      <c r="P20" s="69">
        <f t="shared" si="5"/>
        <v>137753.6434</v>
      </c>
      <c r="Q20" s="69">
        <f>P20+H20+MIN(E7,G7)*M7</f>
        <v>141704.5834</v>
      </c>
      <c r="R20" s="69"/>
      <c r="S20" s="82"/>
      <c r="T20" s="83"/>
    </row>
    <row r="21" ht="39.95" customHeight="1" spans="2:20">
      <c r="B21" s="27">
        <v>10</v>
      </c>
      <c r="C21" s="26">
        <f>B7</f>
        <v>250000</v>
      </c>
      <c r="D21" s="26">
        <f t="shared" si="0"/>
        <v>2500000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2386429.88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107389.3446</v>
      </c>
      <c r="P21" s="69">
        <f t="shared" si="5"/>
        <v>137753.6434</v>
      </c>
      <c r="Q21" s="69">
        <f>P21+H21+MIN(E7,G7)*M7</f>
        <v>141704.5834</v>
      </c>
      <c r="R21" s="69"/>
      <c r="S21" s="82"/>
      <c r="T21" s="83"/>
    </row>
    <row r="22" ht="39.95" customHeight="1" spans="2:20">
      <c r="B22" s="27">
        <v>11</v>
      </c>
      <c r="C22" s="26">
        <f>B7</f>
        <v>250000</v>
      </c>
      <c r="D22" s="26">
        <f t="shared" si="0"/>
        <v>2750000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2625072.868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107389.3446</v>
      </c>
      <c r="P22" s="69">
        <f t="shared" si="5"/>
        <v>137753.6434</v>
      </c>
      <c r="Q22" s="69">
        <f>P22+H22+MIN(E7,G7)*M7</f>
        <v>141704.5834</v>
      </c>
      <c r="R22" s="69"/>
      <c r="S22" s="82"/>
      <c r="T22" s="83"/>
    </row>
    <row r="23" ht="39.95" customHeight="1" spans="2:20">
      <c r="B23" s="27">
        <v>12</v>
      </c>
      <c r="C23" s="26">
        <f>B7</f>
        <v>250000</v>
      </c>
      <c r="D23" s="26">
        <f t="shared" si="0"/>
        <v>3000000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2863715.856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107389.3446</v>
      </c>
      <c r="P23" s="69">
        <f t="shared" si="5"/>
        <v>137753.6434</v>
      </c>
      <c r="Q23" s="69">
        <f>P23+H23+MIN(E7,G7)*M7</f>
        <v>141704.5834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3000000</v>
      </c>
      <c r="E24" s="44"/>
      <c r="F24" s="44"/>
      <c r="G24" s="44"/>
      <c r="H24" s="44"/>
      <c r="I24" s="44"/>
      <c r="J24" s="54"/>
      <c r="K24" s="57"/>
      <c r="L24" s="58">
        <f>L23+C7</f>
        <v>2863715.856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1834963.7208</v>
      </c>
      <c r="Q25" s="64">
        <f>SUM(Q12:Q23)</f>
        <v>1882375.0008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1834963.7208</v>
      </c>
      <c r="Q26" s="64">
        <f>SUM(Q12:Q24)</f>
        <v>1882375.0008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1834963.7208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1834963.7208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47411.2800000007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1882375.0008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1106752.1352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0" workbookViewId="0">
      <selection activeCell="H28" sqref="H28:R39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291666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291666</v>
      </c>
      <c r="D12" s="26">
        <f t="shared" ref="D12:D23" si="0">C12*B12</f>
        <v>291666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280308.988</v>
      </c>
      <c r="M12" s="56">
        <f t="shared" ref="M12:M24" si="3">IF(L12&lt;=0,0,IF(L12&lt;=36000,3%,IF(L12&lt;=144000,10%,IF(L12&lt;=300000,20%,IF(L12&lt;=420000,25%,IF(L12&lt;=660000,30%,IF(L12&lt;=960000,35%,45%)))))))</f>
        <v>0.2</v>
      </c>
      <c r="N12" s="56">
        <f t="shared" ref="N12:N24" si="4">IF(L12&lt;=36000,0,IF(L12&lt;=144000,2520,IF(L12&lt;=300000,16920,IF(L12&lt;=420000,31920,IF(L12&lt;=660000,52920,IF(L12&lt;=960000,85920,181920))))))</f>
        <v>16920</v>
      </c>
      <c r="O12" s="56">
        <f>L12*M12-N12</f>
        <v>39141.7976</v>
      </c>
      <c r="P12" s="69">
        <f t="shared" ref="P12:P23" si="5">C12-E12-F12-G12-H12-O12</f>
        <v>247667.1904</v>
      </c>
      <c r="Q12" s="69">
        <f>P12+H12+MIN(E7,G7)*M7</f>
        <v>251618.1304</v>
      </c>
      <c r="R12" s="69"/>
      <c r="S12" s="82"/>
      <c r="T12" s="83"/>
    </row>
    <row r="13" ht="39.95" customHeight="1" spans="2:20">
      <c r="B13" s="27">
        <v>2</v>
      </c>
      <c r="C13" s="26">
        <f>B7</f>
        <v>291666</v>
      </c>
      <c r="D13" s="26">
        <f t="shared" si="0"/>
        <v>583332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560617.976</v>
      </c>
      <c r="M13" s="56">
        <f t="shared" si="3"/>
        <v>0.3</v>
      </c>
      <c r="N13" s="56">
        <f t="shared" si="4"/>
        <v>52920</v>
      </c>
      <c r="O13" s="56">
        <f>L13*M13-N13-O12</f>
        <v>76123.5952</v>
      </c>
      <c r="P13" s="69">
        <f t="shared" si="5"/>
        <v>210685.3928</v>
      </c>
      <c r="Q13" s="69">
        <f>P13+H13+MIN(E7,G7)*M7</f>
        <v>214636.3328</v>
      </c>
      <c r="R13" s="69"/>
      <c r="S13" s="82"/>
      <c r="T13" s="83"/>
    </row>
    <row r="14" ht="39.95" customHeight="1" spans="2:20">
      <c r="B14" s="27">
        <v>3</v>
      </c>
      <c r="C14" s="26">
        <f>B7</f>
        <v>291666</v>
      </c>
      <c r="D14" s="26">
        <f t="shared" si="0"/>
        <v>874998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840926.964</v>
      </c>
      <c r="M14" s="56">
        <f t="shared" si="3"/>
        <v>0.35</v>
      </c>
      <c r="N14" s="56">
        <f t="shared" si="4"/>
        <v>85920</v>
      </c>
      <c r="O14" s="56">
        <f>L14*M14-N14-O13-O12</f>
        <v>93139.0446</v>
      </c>
      <c r="P14" s="69">
        <f t="shared" si="5"/>
        <v>193669.9434</v>
      </c>
      <c r="Q14" s="69">
        <f>P14+H14+MIN(E7,G7)*M7</f>
        <v>197620.8834</v>
      </c>
      <c r="R14" s="69"/>
      <c r="S14" s="82"/>
      <c r="T14" s="83"/>
    </row>
    <row r="15" ht="39.95" customHeight="1" spans="2:20">
      <c r="B15" s="27">
        <v>4</v>
      </c>
      <c r="C15" s="26">
        <f>B7</f>
        <v>291666</v>
      </c>
      <c r="D15" s="26">
        <f t="shared" si="0"/>
        <v>1166664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1121235.952</v>
      </c>
      <c r="M15" s="56">
        <f t="shared" si="3"/>
        <v>0.45</v>
      </c>
      <c r="N15" s="56">
        <f t="shared" si="4"/>
        <v>181920</v>
      </c>
      <c r="O15" s="56">
        <f>L15*M15-N15-O14-O13-O12</f>
        <v>114231.741</v>
      </c>
      <c r="P15" s="69">
        <f t="shared" si="5"/>
        <v>172577.247</v>
      </c>
      <c r="Q15" s="69">
        <f>P15+H15+MIN(E7,G7)*M7</f>
        <v>176528.187</v>
      </c>
      <c r="R15" s="69"/>
      <c r="S15" s="82"/>
      <c r="T15" s="83"/>
    </row>
    <row r="16" ht="39.95" customHeight="1" spans="2:20">
      <c r="B16" s="27">
        <v>5</v>
      </c>
      <c r="C16" s="26">
        <f>B7</f>
        <v>291666</v>
      </c>
      <c r="D16" s="26">
        <f t="shared" si="0"/>
        <v>1458330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1401544.94</v>
      </c>
      <c r="M16" s="56">
        <f t="shared" si="3"/>
        <v>0.45</v>
      </c>
      <c r="N16" s="56">
        <f t="shared" si="4"/>
        <v>181920</v>
      </c>
      <c r="O16" s="56">
        <f>L16*M16-N16-O15-O14-O13-O12</f>
        <v>126139.0446</v>
      </c>
      <c r="P16" s="69">
        <f t="shared" si="5"/>
        <v>160669.9434</v>
      </c>
      <c r="Q16" s="69">
        <f>P16+H16+MIN(E7,G7)*M7</f>
        <v>164620.8834</v>
      </c>
      <c r="R16" s="69"/>
      <c r="S16" s="82"/>
      <c r="T16" s="83"/>
    </row>
    <row r="17" ht="39.95" customHeight="1" spans="2:20">
      <c r="B17" s="27">
        <v>6</v>
      </c>
      <c r="C17" s="26">
        <f>B7</f>
        <v>291666</v>
      </c>
      <c r="D17" s="26">
        <f t="shared" si="0"/>
        <v>1749996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1681853.928</v>
      </c>
      <c r="M17" s="56">
        <f t="shared" si="3"/>
        <v>0.45</v>
      </c>
      <c r="N17" s="56">
        <f t="shared" si="4"/>
        <v>181920</v>
      </c>
      <c r="O17" s="56">
        <f>L17*M17-N17-O16-O15-O14-O13-O12</f>
        <v>126139.0446</v>
      </c>
      <c r="P17" s="69">
        <f t="shared" si="5"/>
        <v>160669.9434</v>
      </c>
      <c r="Q17" s="69">
        <f>P17+H17+MIN(E7,G7)*M7</f>
        <v>164620.8834</v>
      </c>
      <c r="R17" s="69"/>
      <c r="S17" s="82"/>
      <c r="T17" s="83"/>
    </row>
    <row r="18" ht="39.95" customHeight="1" spans="2:20">
      <c r="B18" s="27">
        <v>7</v>
      </c>
      <c r="C18" s="26">
        <f>B7</f>
        <v>291666</v>
      </c>
      <c r="D18" s="26">
        <f t="shared" si="0"/>
        <v>2041662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1962162.916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126139.0446</v>
      </c>
      <c r="P18" s="69">
        <f t="shared" si="5"/>
        <v>160669.9434</v>
      </c>
      <c r="Q18" s="69">
        <f>P18+H18+MIN(E7,G7)*M7</f>
        <v>164620.8834</v>
      </c>
      <c r="R18" s="69"/>
      <c r="S18" s="82"/>
      <c r="T18" s="83"/>
    </row>
    <row r="19" ht="39.95" customHeight="1" spans="2:20">
      <c r="B19" s="27">
        <v>8</v>
      </c>
      <c r="C19" s="26">
        <f>B7</f>
        <v>291666</v>
      </c>
      <c r="D19" s="26">
        <f t="shared" si="0"/>
        <v>2333328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2242471.904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126139.0446</v>
      </c>
      <c r="P19" s="69">
        <f t="shared" si="5"/>
        <v>160669.9434</v>
      </c>
      <c r="Q19" s="69">
        <f>P19+H19+MIN(E7,G7)*M7</f>
        <v>164620.8834</v>
      </c>
      <c r="R19" s="69"/>
      <c r="S19" s="82"/>
      <c r="T19" s="83"/>
    </row>
    <row r="20" ht="39.95" customHeight="1" spans="2:20">
      <c r="B20" s="27">
        <v>9</v>
      </c>
      <c r="C20" s="26">
        <f>B7</f>
        <v>291666</v>
      </c>
      <c r="D20" s="26">
        <f t="shared" si="0"/>
        <v>2624994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2522780.892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126139.0446</v>
      </c>
      <c r="P20" s="69">
        <f t="shared" si="5"/>
        <v>160669.9434</v>
      </c>
      <c r="Q20" s="69">
        <f>P20+H20+MIN(E7,G7)*M7</f>
        <v>164620.8834</v>
      </c>
      <c r="R20" s="69"/>
      <c r="S20" s="82"/>
      <c r="T20" s="83"/>
    </row>
    <row r="21" ht="39.95" customHeight="1" spans="2:20">
      <c r="B21" s="27">
        <v>10</v>
      </c>
      <c r="C21" s="26">
        <f>B7</f>
        <v>291666</v>
      </c>
      <c r="D21" s="26">
        <f t="shared" si="0"/>
        <v>2916660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2803089.88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126139.0446</v>
      </c>
      <c r="P21" s="69">
        <f t="shared" si="5"/>
        <v>160669.9434</v>
      </c>
      <c r="Q21" s="69">
        <f>P21+H21+MIN(E7,G7)*M7</f>
        <v>164620.8834</v>
      </c>
      <c r="R21" s="69"/>
      <c r="S21" s="82"/>
      <c r="T21" s="83"/>
    </row>
    <row r="22" ht="39.95" customHeight="1" spans="2:20">
      <c r="B22" s="27">
        <v>11</v>
      </c>
      <c r="C22" s="26">
        <f>B7</f>
        <v>291666</v>
      </c>
      <c r="D22" s="26">
        <f t="shared" si="0"/>
        <v>3208326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3083398.868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126139.0446</v>
      </c>
      <c r="P22" s="69">
        <f t="shared" si="5"/>
        <v>160669.9434</v>
      </c>
      <c r="Q22" s="69">
        <f>P22+H22+MIN(E7,G7)*M7</f>
        <v>164620.8834</v>
      </c>
      <c r="R22" s="69"/>
      <c r="S22" s="82"/>
      <c r="T22" s="83"/>
    </row>
    <row r="23" ht="39.95" customHeight="1" spans="2:20">
      <c r="B23" s="27">
        <v>12</v>
      </c>
      <c r="C23" s="26">
        <f>B7</f>
        <v>291666</v>
      </c>
      <c r="D23" s="26">
        <f t="shared" si="0"/>
        <v>3499992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3363707.856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126139.0446</v>
      </c>
      <c r="P23" s="69">
        <f t="shared" si="5"/>
        <v>160669.9434</v>
      </c>
      <c r="Q23" s="69">
        <f>P23+H23+MIN(E7,G7)*M7</f>
        <v>164620.8834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3499992</v>
      </c>
      <c r="E24" s="44"/>
      <c r="F24" s="44"/>
      <c r="G24" s="44"/>
      <c r="H24" s="44"/>
      <c r="I24" s="44"/>
      <c r="J24" s="54"/>
      <c r="K24" s="57"/>
      <c r="L24" s="58">
        <f>L23+C7</f>
        <v>3363707.856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2109959.3208</v>
      </c>
      <c r="Q25" s="64">
        <f>SUM(Q12:Q23)</f>
        <v>2157370.6008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2109959.3208</v>
      </c>
      <c r="Q26" s="64">
        <f>SUM(Q12:Q24)</f>
        <v>2157370.6008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2109959.3208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2109959.3208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47411.2800000003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2157370.6008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1331748.5352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17" workbookViewId="0">
      <selection activeCell="C7" sqref="C7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333333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333333</v>
      </c>
      <c r="D12" s="26">
        <f t="shared" ref="D12:D23" si="0">C12*B12</f>
        <v>333333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321975.988</v>
      </c>
      <c r="M12" s="56">
        <f t="shared" ref="M12:M24" si="3">IF(L12&lt;=0,0,IF(L12&lt;=36000,3%,IF(L12&lt;=144000,10%,IF(L12&lt;=300000,20%,IF(L12&lt;=420000,25%,IF(L12&lt;=660000,30%,IF(L12&lt;=960000,35%,45%)))))))</f>
        <v>0.25</v>
      </c>
      <c r="N12" s="56">
        <f t="shared" ref="N12:N24" si="4">IF(L12&lt;=36000,0,IF(L12&lt;=144000,2520,IF(L12&lt;=300000,16920,IF(L12&lt;=420000,31920,IF(L12&lt;=660000,52920,IF(L12&lt;=960000,85920,181920))))))</f>
        <v>31920</v>
      </c>
      <c r="O12" s="56">
        <f>L12*M12-N12</f>
        <v>48573.997</v>
      </c>
      <c r="P12" s="69">
        <f t="shared" ref="P12:P23" si="5">C12-E12-F12-G12-H12-O12</f>
        <v>279901.991</v>
      </c>
      <c r="Q12" s="69">
        <f>P12+H12+MIN(E7,G7)*M7</f>
        <v>283852.931</v>
      </c>
      <c r="R12" s="69"/>
      <c r="S12" s="82"/>
      <c r="T12" s="83"/>
    </row>
    <row r="13" ht="39.95" customHeight="1" spans="2:20">
      <c r="B13" s="27">
        <v>2</v>
      </c>
      <c r="C13" s="26">
        <f>B7</f>
        <v>333333</v>
      </c>
      <c r="D13" s="26">
        <f t="shared" si="0"/>
        <v>666666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643951.976</v>
      </c>
      <c r="M13" s="56">
        <f t="shared" si="3"/>
        <v>0.3</v>
      </c>
      <c r="N13" s="56">
        <f t="shared" si="4"/>
        <v>52920</v>
      </c>
      <c r="O13" s="56">
        <f>L13*M13-N13-O12</f>
        <v>91691.5958</v>
      </c>
      <c r="P13" s="69">
        <f t="shared" si="5"/>
        <v>236784.3922</v>
      </c>
      <c r="Q13" s="69">
        <f>P13+H13+MIN(E7,G7)*M7</f>
        <v>240735.3322</v>
      </c>
      <c r="R13" s="69"/>
      <c r="S13" s="82"/>
      <c r="T13" s="83"/>
    </row>
    <row r="14" ht="39.95" customHeight="1" spans="2:20">
      <c r="B14" s="27">
        <v>3</v>
      </c>
      <c r="C14" s="26">
        <f>B7</f>
        <v>333333</v>
      </c>
      <c r="D14" s="26">
        <f t="shared" si="0"/>
        <v>999999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965927.964</v>
      </c>
      <c r="M14" s="56">
        <f t="shared" si="3"/>
        <v>0.45</v>
      </c>
      <c r="N14" s="56">
        <f t="shared" si="4"/>
        <v>181920</v>
      </c>
      <c r="O14" s="56">
        <f>L14*M14-N14-O13-O12</f>
        <v>112481.991</v>
      </c>
      <c r="P14" s="69">
        <f t="shared" si="5"/>
        <v>215993.997</v>
      </c>
      <c r="Q14" s="69">
        <f>P14+H14+MIN(E7,G7)*M7</f>
        <v>219944.937</v>
      </c>
      <c r="R14" s="69"/>
      <c r="S14" s="82"/>
      <c r="T14" s="83"/>
    </row>
    <row r="15" ht="39.95" customHeight="1" spans="2:20">
      <c r="B15" s="27">
        <v>4</v>
      </c>
      <c r="C15" s="26">
        <f>B7</f>
        <v>333333</v>
      </c>
      <c r="D15" s="26">
        <f t="shared" si="0"/>
        <v>1333332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1287903.952</v>
      </c>
      <c r="M15" s="56">
        <f t="shared" si="3"/>
        <v>0.45</v>
      </c>
      <c r="N15" s="56">
        <f t="shared" si="4"/>
        <v>181920</v>
      </c>
      <c r="O15" s="56">
        <f>L15*M15-N15-O14-O13-O12</f>
        <v>144889.1946</v>
      </c>
      <c r="P15" s="69">
        <f t="shared" si="5"/>
        <v>183586.7934</v>
      </c>
      <c r="Q15" s="69">
        <f>P15+H15+MIN(E7,G7)*M7</f>
        <v>187537.7334</v>
      </c>
      <c r="R15" s="69"/>
      <c r="S15" s="82"/>
      <c r="T15" s="83"/>
    </row>
    <row r="16" ht="39.95" customHeight="1" spans="2:20">
      <c r="B16" s="27">
        <v>5</v>
      </c>
      <c r="C16" s="26">
        <f>B7</f>
        <v>333333</v>
      </c>
      <c r="D16" s="26">
        <f t="shared" si="0"/>
        <v>1666665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1609879.94</v>
      </c>
      <c r="M16" s="56">
        <f t="shared" si="3"/>
        <v>0.45</v>
      </c>
      <c r="N16" s="56">
        <f t="shared" si="4"/>
        <v>181920</v>
      </c>
      <c r="O16" s="56">
        <f>L16*M16-N16-O15-O14-O13-O12</f>
        <v>144889.1946</v>
      </c>
      <c r="P16" s="69">
        <f t="shared" si="5"/>
        <v>183586.7934</v>
      </c>
      <c r="Q16" s="69">
        <f>P16+H16+MIN(E7,G7)*M7</f>
        <v>187537.7334</v>
      </c>
      <c r="R16" s="69"/>
      <c r="S16" s="82"/>
      <c r="T16" s="83"/>
    </row>
    <row r="17" ht="39.95" customHeight="1" spans="2:20">
      <c r="B17" s="27">
        <v>6</v>
      </c>
      <c r="C17" s="26">
        <f>B7</f>
        <v>333333</v>
      </c>
      <c r="D17" s="26">
        <f t="shared" si="0"/>
        <v>1999998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1931855.928</v>
      </c>
      <c r="M17" s="56">
        <f t="shared" si="3"/>
        <v>0.45</v>
      </c>
      <c r="N17" s="56">
        <f t="shared" si="4"/>
        <v>181920</v>
      </c>
      <c r="O17" s="56">
        <f>L17*M17-N17-O16-O15-O14-O13-O12</f>
        <v>144889.1946</v>
      </c>
      <c r="P17" s="69">
        <f t="shared" si="5"/>
        <v>183586.7934</v>
      </c>
      <c r="Q17" s="69">
        <f>P17+H17+MIN(E7,G7)*M7</f>
        <v>187537.7334</v>
      </c>
      <c r="R17" s="69"/>
      <c r="S17" s="82"/>
      <c r="T17" s="83"/>
    </row>
    <row r="18" ht="39.95" customHeight="1" spans="2:20">
      <c r="B18" s="27">
        <v>7</v>
      </c>
      <c r="C18" s="26">
        <f>B7</f>
        <v>333333</v>
      </c>
      <c r="D18" s="26">
        <f t="shared" si="0"/>
        <v>2333331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2253831.916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144889.1946</v>
      </c>
      <c r="P18" s="69">
        <f t="shared" si="5"/>
        <v>183586.7934</v>
      </c>
      <c r="Q18" s="69">
        <f>P18+H18+MIN(E7,G7)*M7</f>
        <v>187537.7334</v>
      </c>
      <c r="R18" s="69"/>
      <c r="S18" s="82"/>
      <c r="T18" s="83"/>
    </row>
    <row r="19" ht="39.95" customHeight="1" spans="2:20">
      <c r="B19" s="27">
        <v>8</v>
      </c>
      <c r="C19" s="26">
        <f>B7</f>
        <v>333333</v>
      </c>
      <c r="D19" s="26">
        <f t="shared" si="0"/>
        <v>2666664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2575807.904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144889.1946</v>
      </c>
      <c r="P19" s="69">
        <f t="shared" si="5"/>
        <v>183586.7934</v>
      </c>
      <c r="Q19" s="69">
        <f>P19+H19+MIN(E7,G7)*M7</f>
        <v>187537.7334</v>
      </c>
      <c r="R19" s="69"/>
      <c r="S19" s="82"/>
      <c r="T19" s="83"/>
    </row>
    <row r="20" ht="39.95" customHeight="1" spans="2:20">
      <c r="B20" s="27">
        <v>9</v>
      </c>
      <c r="C20" s="26">
        <f>B7</f>
        <v>333333</v>
      </c>
      <c r="D20" s="26">
        <f t="shared" si="0"/>
        <v>2999997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2897783.892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144889.1946</v>
      </c>
      <c r="P20" s="69">
        <f t="shared" si="5"/>
        <v>183586.7934</v>
      </c>
      <c r="Q20" s="69">
        <f>P20+H20+MIN(E7,G7)*M7</f>
        <v>187537.7334</v>
      </c>
      <c r="R20" s="69"/>
      <c r="S20" s="82"/>
      <c r="T20" s="83"/>
    </row>
    <row r="21" ht="39.95" customHeight="1" spans="2:20">
      <c r="B21" s="27">
        <v>10</v>
      </c>
      <c r="C21" s="26">
        <f>B7</f>
        <v>333333</v>
      </c>
      <c r="D21" s="26">
        <f t="shared" si="0"/>
        <v>3333330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3219759.88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144889.1946</v>
      </c>
      <c r="P21" s="69">
        <f t="shared" si="5"/>
        <v>183586.7934</v>
      </c>
      <c r="Q21" s="69">
        <f>P21+H21+MIN(E7,G7)*M7</f>
        <v>187537.7334</v>
      </c>
      <c r="R21" s="69"/>
      <c r="S21" s="82"/>
      <c r="T21" s="83"/>
    </row>
    <row r="22" ht="39.95" customHeight="1" spans="2:20">
      <c r="B22" s="27">
        <v>11</v>
      </c>
      <c r="C22" s="26">
        <f>B7</f>
        <v>333333</v>
      </c>
      <c r="D22" s="26">
        <f t="shared" si="0"/>
        <v>3666663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3541735.868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144889.1946</v>
      </c>
      <c r="P22" s="69">
        <f t="shared" si="5"/>
        <v>183586.7934</v>
      </c>
      <c r="Q22" s="69">
        <f>P22+H22+MIN(E7,G7)*M7</f>
        <v>187537.7334</v>
      </c>
      <c r="R22" s="69"/>
      <c r="S22" s="82"/>
      <c r="T22" s="83"/>
    </row>
    <row r="23" ht="39.95" customHeight="1" spans="2:20">
      <c r="B23" s="27">
        <v>12</v>
      </c>
      <c r="C23" s="26">
        <f>B7</f>
        <v>333333</v>
      </c>
      <c r="D23" s="26">
        <f t="shared" si="0"/>
        <v>3999996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3863711.856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144889.1946</v>
      </c>
      <c r="P23" s="69">
        <f t="shared" si="5"/>
        <v>183586.7934</v>
      </c>
      <c r="Q23" s="69">
        <f>P23+H23+MIN(E7,G7)*M7</f>
        <v>187537.7334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3999996</v>
      </c>
      <c r="E24" s="44"/>
      <c r="F24" s="44"/>
      <c r="G24" s="44"/>
      <c r="H24" s="44"/>
      <c r="I24" s="44"/>
      <c r="J24" s="54"/>
      <c r="K24" s="57"/>
      <c r="L24" s="58">
        <f>L23+C7</f>
        <v>3863711.856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2384961.5208</v>
      </c>
      <c r="Q25" s="64">
        <f>SUM(Q12:Q23)</f>
        <v>2432372.8008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2384961.5208</v>
      </c>
      <c r="Q26" s="64">
        <f>SUM(Q12:Q24)</f>
        <v>2432372.8008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2384961.5208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2384961.5208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47411.2800000003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2432372.8008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1556750.3352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2" workbookViewId="0">
      <selection activeCell="C7" sqref="C7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416666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416666</v>
      </c>
      <c r="D12" s="26">
        <f t="shared" ref="D12:D23" si="0">C12*B12</f>
        <v>416666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405308.988</v>
      </c>
      <c r="M12" s="56">
        <f t="shared" ref="M12:M24" si="3">IF(L12&lt;=0,0,IF(L12&lt;=36000,3%,IF(L12&lt;=144000,10%,IF(L12&lt;=300000,20%,IF(L12&lt;=420000,25%,IF(L12&lt;=660000,30%,IF(L12&lt;=960000,35%,45%)))))))</f>
        <v>0.25</v>
      </c>
      <c r="N12" s="56">
        <f t="shared" ref="N12:N24" si="4">IF(L12&lt;=36000,0,IF(L12&lt;=144000,2520,IF(L12&lt;=300000,16920,IF(L12&lt;=420000,31920,IF(L12&lt;=660000,52920,IF(L12&lt;=960000,85920,181920))))))</f>
        <v>31920</v>
      </c>
      <c r="O12" s="56">
        <f>L12*M12-N12</f>
        <v>69407.247</v>
      </c>
      <c r="P12" s="69">
        <f t="shared" ref="P12:P23" si="5">C12-E12-F12-G12-H12-O12</f>
        <v>342401.741</v>
      </c>
      <c r="Q12" s="69">
        <f>P12+H12+MIN(E7,G7)*M7</f>
        <v>346352.681</v>
      </c>
      <c r="R12" s="69"/>
      <c r="S12" s="82"/>
      <c r="T12" s="83"/>
    </row>
    <row r="13" ht="39.95" customHeight="1" spans="2:20">
      <c r="B13" s="27">
        <v>2</v>
      </c>
      <c r="C13" s="26">
        <f>B7</f>
        <v>416666</v>
      </c>
      <c r="D13" s="26">
        <f t="shared" si="0"/>
        <v>833332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810617.976</v>
      </c>
      <c r="M13" s="56">
        <f t="shared" si="3"/>
        <v>0.35</v>
      </c>
      <c r="N13" s="56">
        <f t="shared" si="4"/>
        <v>85920</v>
      </c>
      <c r="O13" s="56">
        <f>L13*M13-N13-O12</f>
        <v>128389.0446</v>
      </c>
      <c r="P13" s="69">
        <f t="shared" si="5"/>
        <v>283419.9434</v>
      </c>
      <c r="Q13" s="69">
        <f>P13+H13+MIN(E7,G7)*M7</f>
        <v>287370.8834</v>
      </c>
      <c r="R13" s="69"/>
      <c r="S13" s="82"/>
      <c r="T13" s="83"/>
    </row>
    <row r="14" ht="39.95" customHeight="1" spans="2:20">
      <c r="B14" s="27">
        <v>3</v>
      </c>
      <c r="C14" s="26">
        <f>B7</f>
        <v>416666</v>
      </c>
      <c r="D14" s="26">
        <f t="shared" si="0"/>
        <v>1249998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1215926.964</v>
      </c>
      <c r="M14" s="56">
        <f t="shared" si="3"/>
        <v>0.45</v>
      </c>
      <c r="N14" s="56">
        <f t="shared" si="4"/>
        <v>181920</v>
      </c>
      <c r="O14" s="56">
        <f>L14*M14-N14-O13-O12</f>
        <v>167450.8422</v>
      </c>
      <c r="P14" s="69">
        <f t="shared" si="5"/>
        <v>244358.1458</v>
      </c>
      <c r="Q14" s="69">
        <f>P14+H14+MIN(E7,G7)*M7</f>
        <v>248309.0858</v>
      </c>
      <c r="R14" s="69"/>
      <c r="S14" s="82"/>
      <c r="T14" s="83"/>
    </row>
    <row r="15" ht="39.95" customHeight="1" spans="2:20">
      <c r="B15" s="27">
        <v>4</v>
      </c>
      <c r="C15" s="26">
        <f>B7</f>
        <v>416666</v>
      </c>
      <c r="D15" s="26">
        <f t="shared" si="0"/>
        <v>1666664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1621235.952</v>
      </c>
      <c r="M15" s="56">
        <f t="shared" si="3"/>
        <v>0.45</v>
      </c>
      <c r="N15" s="56">
        <f t="shared" si="4"/>
        <v>181920</v>
      </c>
      <c r="O15" s="56">
        <f>L15*M15-N15-O14-O13-O12</f>
        <v>182389.0446</v>
      </c>
      <c r="P15" s="69">
        <f t="shared" si="5"/>
        <v>229419.9434</v>
      </c>
      <c r="Q15" s="69">
        <f>P15+H15+MIN(E7,G7)*M7</f>
        <v>233370.8834</v>
      </c>
      <c r="R15" s="69"/>
      <c r="S15" s="82"/>
      <c r="T15" s="83"/>
    </row>
    <row r="16" ht="39.95" customHeight="1" spans="2:20">
      <c r="B16" s="27">
        <v>5</v>
      </c>
      <c r="C16" s="26">
        <f>B7</f>
        <v>416666</v>
      </c>
      <c r="D16" s="26">
        <f t="shared" si="0"/>
        <v>2083330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2026544.94</v>
      </c>
      <c r="M16" s="56">
        <f t="shared" si="3"/>
        <v>0.45</v>
      </c>
      <c r="N16" s="56">
        <f t="shared" si="4"/>
        <v>181920</v>
      </c>
      <c r="O16" s="56">
        <f>L16*M16-N16-O15-O14-O13-O12</f>
        <v>182389.0446</v>
      </c>
      <c r="P16" s="69">
        <f t="shared" si="5"/>
        <v>229419.9434</v>
      </c>
      <c r="Q16" s="69">
        <f>P16+H16+MIN(E7,G7)*M7</f>
        <v>233370.8834</v>
      </c>
      <c r="R16" s="69"/>
      <c r="S16" s="82"/>
      <c r="T16" s="83"/>
    </row>
    <row r="17" ht="39.95" customHeight="1" spans="2:20">
      <c r="B17" s="27">
        <v>6</v>
      </c>
      <c r="C17" s="26">
        <f>B7</f>
        <v>416666</v>
      </c>
      <c r="D17" s="26">
        <f t="shared" si="0"/>
        <v>2499996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2431853.928</v>
      </c>
      <c r="M17" s="56">
        <f t="shared" si="3"/>
        <v>0.45</v>
      </c>
      <c r="N17" s="56">
        <f t="shared" si="4"/>
        <v>181920</v>
      </c>
      <c r="O17" s="56">
        <f>L17*M17-N17-O16-O15-O14-O13-O12</f>
        <v>182389.0446</v>
      </c>
      <c r="P17" s="69">
        <f t="shared" si="5"/>
        <v>229419.9434</v>
      </c>
      <c r="Q17" s="69">
        <f>P17+H17+MIN(E7,G7)*M7</f>
        <v>233370.8834</v>
      </c>
      <c r="R17" s="69"/>
      <c r="S17" s="82"/>
      <c r="T17" s="83"/>
    </row>
    <row r="18" ht="39.95" customHeight="1" spans="2:20">
      <c r="B18" s="27">
        <v>7</v>
      </c>
      <c r="C18" s="26">
        <f>B7</f>
        <v>416666</v>
      </c>
      <c r="D18" s="26">
        <f t="shared" si="0"/>
        <v>2916662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2837162.916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182389.0446</v>
      </c>
      <c r="P18" s="69">
        <f t="shared" si="5"/>
        <v>229419.9434</v>
      </c>
      <c r="Q18" s="69">
        <f>P18+H18+MIN(E7,G7)*M7</f>
        <v>233370.8834</v>
      </c>
      <c r="R18" s="69"/>
      <c r="S18" s="82"/>
      <c r="T18" s="83"/>
    </row>
    <row r="19" ht="39.95" customHeight="1" spans="2:20">
      <c r="B19" s="27">
        <v>8</v>
      </c>
      <c r="C19" s="26">
        <f>B7</f>
        <v>416666</v>
      </c>
      <c r="D19" s="26">
        <f t="shared" si="0"/>
        <v>3333328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3242471.904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182389.0446</v>
      </c>
      <c r="P19" s="69">
        <f t="shared" si="5"/>
        <v>229419.9434</v>
      </c>
      <c r="Q19" s="69">
        <f>P19+H19+MIN(E7,G7)*M7</f>
        <v>233370.8834</v>
      </c>
      <c r="R19" s="69"/>
      <c r="S19" s="82"/>
      <c r="T19" s="83"/>
    </row>
    <row r="20" ht="39.95" customHeight="1" spans="2:20">
      <c r="B20" s="27">
        <v>9</v>
      </c>
      <c r="C20" s="26">
        <f>B7</f>
        <v>416666</v>
      </c>
      <c r="D20" s="26">
        <f t="shared" si="0"/>
        <v>3749994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3647780.892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182389.0446</v>
      </c>
      <c r="P20" s="69">
        <f t="shared" si="5"/>
        <v>229419.9434</v>
      </c>
      <c r="Q20" s="69">
        <f>P20+H20+MIN(E7,G7)*M7</f>
        <v>233370.8834</v>
      </c>
      <c r="R20" s="69"/>
      <c r="S20" s="82"/>
      <c r="T20" s="83"/>
    </row>
    <row r="21" ht="39.95" customHeight="1" spans="2:20">
      <c r="B21" s="27">
        <v>10</v>
      </c>
      <c r="C21" s="26">
        <f>B7</f>
        <v>416666</v>
      </c>
      <c r="D21" s="26">
        <f t="shared" si="0"/>
        <v>4166660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4053089.88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182389.0446</v>
      </c>
      <c r="P21" s="69">
        <f t="shared" si="5"/>
        <v>229419.9434</v>
      </c>
      <c r="Q21" s="69">
        <f>P21+H21+MIN(E7,G7)*M7</f>
        <v>233370.8834</v>
      </c>
      <c r="R21" s="69"/>
      <c r="S21" s="82"/>
      <c r="T21" s="83"/>
    </row>
    <row r="22" ht="39.95" customHeight="1" spans="2:20">
      <c r="B22" s="27">
        <v>11</v>
      </c>
      <c r="C22" s="26">
        <f>B7</f>
        <v>416666</v>
      </c>
      <c r="D22" s="26">
        <f t="shared" si="0"/>
        <v>4583326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4458398.868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182389.0446</v>
      </c>
      <c r="P22" s="69">
        <f t="shared" si="5"/>
        <v>229419.9434</v>
      </c>
      <c r="Q22" s="69">
        <f>P22+H22+MIN(E7,G7)*M7</f>
        <v>233370.8834</v>
      </c>
      <c r="R22" s="69"/>
      <c r="S22" s="82"/>
      <c r="T22" s="83"/>
    </row>
    <row r="23" ht="39.95" customHeight="1" spans="2:20">
      <c r="B23" s="27">
        <v>12</v>
      </c>
      <c r="C23" s="26">
        <f>B7</f>
        <v>416666</v>
      </c>
      <c r="D23" s="26">
        <f t="shared" si="0"/>
        <v>4999992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4863707.856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182389.0446</v>
      </c>
      <c r="P23" s="69">
        <f t="shared" si="5"/>
        <v>229419.9434</v>
      </c>
      <c r="Q23" s="69">
        <f>P23+H23+MIN(E7,G7)*M7</f>
        <v>233370.8834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4999992</v>
      </c>
      <c r="E24" s="44"/>
      <c r="F24" s="44"/>
      <c r="G24" s="44"/>
      <c r="H24" s="44"/>
      <c r="I24" s="44"/>
      <c r="J24" s="54"/>
      <c r="K24" s="57"/>
      <c r="L24" s="58">
        <f>L23+C7</f>
        <v>4863707.856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2934959.3208</v>
      </c>
      <c r="Q25" s="64">
        <f>SUM(Q12:Q23)</f>
        <v>2982370.6008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2934959.3208</v>
      </c>
      <c r="Q26" s="64">
        <f>SUM(Q12:Q24)</f>
        <v>2982370.6008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2934959.3208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2934959.3208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47411.2799999998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2982370.6008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2006748.5352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D8" sqref="D8"/>
    </sheetView>
  </sheetViews>
  <sheetFormatPr defaultColWidth="9.14285714285714" defaultRowHeight="12.4" outlineLevelCol="2"/>
  <cols>
    <col min="1" max="1" width="17.8482142857143" customWidth="1"/>
    <col min="2" max="2" width="13.5446428571429" customWidth="1"/>
    <col min="3" max="3" width="17.5535714285714" customWidth="1"/>
  </cols>
  <sheetData>
    <row r="1" ht="21" customHeight="1" spans="1:3">
      <c r="A1" s="1" t="s">
        <v>54</v>
      </c>
      <c r="B1" s="1" t="s">
        <v>55</v>
      </c>
      <c r="C1" s="1" t="s">
        <v>56</v>
      </c>
    </row>
    <row r="2" ht="15.2" spans="1:3">
      <c r="A2" s="2">
        <v>40</v>
      </c>
      <c r="B2" s="2">
        <v>30.58</v>
      </c>
      <c r="C2" s="3">
        <v>0.7647</v>
      </c>
    </row>
    <row r="3" ht="15.2" spans="1:3">
      <c r="A3" s="2">
        <v>50</v>
      </c>
      <c r="B3" s="2">
        <v>38.27</v>
      </c>
      <c r="C3" s="2">
        <v>76.54</v>
      </c>
    </row>
    <row r="4" ht="15.2" spans="1:3">
      <c r="A4" s="2">
        <v>60</v>
      </c>
      <c r="B4" s="2">
        <v>45.55</v>
      </c>
      <c r="C4" s="3">
        <v>0.759</v>
      </c>
    </row>
    <row r="5" ht="15.2" spans="1:3">
      <c r="A5" s="2">
        <v>80</v>
      </c>
      <c r="B5" s="2">
        <v>59.533</v>
      </c>
      <c r="C5" s="3">
        <v>0.744</v>
      </c>
    </row>
    <row r="6" ht="15.2" spans="1:3">
      <c r="A6" s="2">
        <v>90</v>
      </c>
      <c r="B6" s="4" t="s">
        <v>57</v>
      </c>
      <c r="C6" s="3">
        <v>0.7336</v>
      </c>
    </row>
    <row r="7" ht="15.2" spans="1:3">
      <c r="A7" s="2">
        <v>100</v>
      </c>
      <c r="B7" s="2">
        <v>72.53</v>
      </c>
      <c r="C7" s="3">
        <v>0.7253</v>
      </c>
    </row>
    <row r="8" ht="15.2" spans="1:3">
      <c r="A8" s="2">
        <v>120</v>
      </c>
      <c r="B8" s="2">
        <v>84.49</v>
      </c>
      <c r="C8" s="2">
        <v>70.4</v>
      </c>
    </row>
    <row r="9" ht="15.2" spans="1:3">
      <c r="A9" s="2">
        <v>150</v>
      </c>
      <c r="B9" s="2">
        <v>100.09</v>
      </c>
      <c r="C9" s="3">
        <v>0.6672</v>
      </c>
    </row>
    <row r="10" ht="15.2" spans="1:3">
      <c r="A10" s="2">
        <v>200</v>
      </c>
      <c r="B10" s="2">
        <v>128.49</v>
      </c>
      <c r="C10" s="3">
        <v>0.642</v>
      </c>
    </row>
    <row r="11" ht="15.2" spans="1:3">
      <c r="A11" s="2">
        <v>250</v>
      </c>
      <c r="B11" s="2">
        <v>155.99</v>
      </c>
      <c r="C11" s="3">
        <v>0.62396</v>
      </c>
    </row>
    <row r="12" ht="15.2" spans="1:3">
      <c r="A12" s="2">
        <v>300</v>
      </c>
      <c r="B12" s="2">
        <v>183.49</v>
      </c>
      <c r="C12" s="3">
        <v>0.6116</v>
      </c>
    </row>
    <row r="13" ht="15.2" spans="1:3">
      <c r="A13" s="2">
        <v>350</v>
      </c>
      <c r="B13" s="2">
        <v>210.99</v>
      </c>
      <c r="C13" s="3">
        <v>0.6028</v>
      </c>
    </row>
    <row r="14" ht="15.2" spans="1:3">
      <c r="A14" s="2">
        <v>400</v>
      </c>
      <c r="B14" s="2">
        <v>238.496</v>
      </c>
      <c r="C14" s="3">
        <v>0.59624</v>
      </c>
    </row>
    <row r="15" ht="15.2" spans="1:3">
      <c r="A15" s="2">
        <v>500</v>
      </c>
      <c r="B15" s="2">
        <v>293.49</v>
      </c>
      <c r="C15" s="3">
        <v>0.58698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workbookViewId="0">
      <selection activeCell="F28" sqref="F28:G30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41666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41666</v>
      </c>
      <c r="D12" s="26">
        <f t="shared" ref="D12:D23" si="0">C12*B12</f>
        <v>41666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30308.988</v>
      </c>
      <c r="M12" s="56">
        <f t="shared" ref="M12:M24" si="3">IF(L12&lt;=0,0,IF(L12&lt;=36000,3%,IF(L12&lt;=144000,10%,IF(L12&lt;=300000,20%,IF(L12&lt;=420000,25%,IF(L12&lt;=660000,30%,IF(L12&lt;=960000,35%,45%)))))))</f>
        <v>0.03</v>
      </c>
      <c r="N12" s="56">
        <f t="shared" ref="N12:N24" si="4">IF(L12&lt;=36000,0,IF(L12&lt;=144000,2520,IF(L12&lt;=300000,16920,IF(L12&lt;=420000,31920,IF(L12&lt;=660000,52920,IF(L12&lt;=960000,85920,181920))))))</f>
        <v>0</v>
      </c>
      <c r="O12" s="56">
        <f>L12*M12-N12</f>
        <v>909.26964</v>
      </c>
      <c r="P12" s="69">
        <f t="shared" ref="P12:P23" si="5">C12-E12-F12-G12-H12-O12</f>
        <v>35899.71836</v>
      </c>
      <c r="Q12" s="69">
        <f>P12+H12+MIN(E7,G7)*M7</f>
        <v>39850.65836</v>
      </c>
      <c r="R12" s="69"/>
      <c r="S12" s="82"/>
      <c r="T12" s="83"/>
    </row>
    <row r="13" ht="39.95" customHeight="1" spans="2:20">
      <c r="B13" s="27">
        <v>2</v>
      </c>
      <c r="C13" s="26">
        <f>B7</f>
        <v>41666</v>
      </c>
      <c r="D13" s="26">
        <f t="shared" si="0"/>
        <v>83332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60617.976</v>
      </c>
      <c r="M13" s="56">
        <f t="shared" si="3"/>
        <v>0.1</v>
      </c>
      <c r="N13" s="56">
        <f t="shared" si="4"/>
        <v>2520</v>
      </c>
      <c r="O13" s="56">
        <f>L13*M13-N13-O12</f>
        <v>2632.52796</v>
      </c>
      <c r="P13" s="69">
        <f t="shared" si="5"/>
        <v>34176.46004</v>
      </c>
      <c r="Q13" s="69">
        <f>P13+H13+MIN(E7,G7)*M7</f>
        <v>38127.40004</v>
      </c>
      <c r="R13" s="69"/>
      <c r="S13" s="82"/>
      <c r="T13" s="83"/>
    </row>
    <row r="14" ht="39.95" customHeight="1" spans="2:20">
      <c r="B14" s="27">
        <v>3</v>
      </c>
      <c r="C14" s="26">
        <f>B7</f>
        <v>41666</v>
      </c>
      <c r="D14" s="26">
        <f t="shared" si="0"/>
        <v>124998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90926.964</v>
      </c>
      <c r="M14" s="56">
        <f t="shared" si="3"/>
        <v>0.1</v>
      </c>
      <c r="N14" s="56">
        <f t="shared" si="4"/>
        <v>2520</v>
      </c>
      <c r="O14" s="56">
        <f>L14*M14-N14-O13-O12</f>
        <v>3030.8988</v>
      </c>
      <c r="P14" s="69">
        <f t="shared" si="5"/>
        <v>33778.0892</v>
      </c>
      <c r="Q14" s="69">
        <f>P14+H14+MIN(E7,G7)*M7</f>
        <v>37729.0292</v>
      </c>
      <c r="R14" s="69"/>
      <c r="S14" s="82"/>
      <c r="T14" s="83"/>
    </row>
    <row r="15" ht="39.95" customHeight="1" spans="2:20">
      <c r="B15" s="27">
        <v>4</v>
      </c>
      <c r="C15" s="26">
        <f>B7</f>
        <v>41666</v>
      </c>
      <c r="D15" s="26">
        <f t="shared" si="0"/>
        <v>166664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121235.952</v>
      </c>
      <c r="M15" s="56">
        <f t="shared" si="3"/>
        <v>0.1</v>
      </c>
      <c r="N15" s="56">
        <f t="shared" si="4"/>
        <v>2520</v>
      </c>
      <c r="O15" s="56">
        <f>L15*M15-N15-O14-O13-O12</f>
        <v>3030.8988</v>
      </c>
      <c r="P15" s="69">
        <f t="shared" si="5"/>
        <v>33778.0892</v>
      </c>
      <c r="Q15" s="69">
        <f>P15+H15+MIN(E7,G7)*M7</f>
        <v>37729.0292</v>
      </c>
      <c r="R15" s="69"/>
      <c r="S15" s="82"/>
      <c r="T15" s="83"/>
    </row>
    <row r="16" ht="39.95" customHeight="1" spans="2:20">
      <c r="B16" s="27">
        <v>5</v>
      </c>
      <c r="C16" s="26">
        <f>B7</f>
        <v>41666</v>
      </c>
      <c r="D16" s="26">
        <f t="shared" si="0"/>
        <v>208330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151544.94</v>
      </c>
      <c r="M16" s="56">
        <f t="shared" si="3"/>
        <v>0.2</v>
      </c>
      <c r="N16" s="56">
        <f t="shared" si="4"/>
        <v>16920</v>
      </c>
      <c r="O16" s="56">
        <f>L16*M16-N16-O15-O14-O13-O12</f>
        <v>3785.3928</v>
      </c>
      <c r="P16" s="69">
        <f t="shared" si="5"/>
        <v>33023.5952</v>
      </c>
      <c r="Q16" s="69">
        <f>P16+H16+MIN(E7,G7)*M7</f>
        <v>36974.5352</v>
      </c>
      <c r="R16" s="69"/>
      <c r="S16" s="82"/>
      <c r="T16" s="83"/>
    </row>
    <row r="17" ht="39.95" customHeight="1" spans="2:20">
      <c r="B17" s="27">
        <v>6</v>
      </c>
      <c r="C17" s="26">
        <f>B7</f>
        <v>41666</v>
      </c>
      <c r="D17" s="26">
        <f t="shared" si="0"/>
        <v>249996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181853.928</v>
      </c>
      <c r="M17" s="56">
        <f t="shared" si="3"/>
        <v>0.2</v>
      </c>
      <c r="N17" s="56">
        <f t="shared" si="4"/>
        <v>16920</v>
      </c>
      <c r="O17" s="56">
        <f>L17*M17-N17-O16-O15-O14-O13-O12</f>
        <v>6061.7976</v>
      </c>
      <c r="P17" s="69">
        <f t="shared" si="5"/>
        <v>30747.1904</v>
      </c>
      <c r="Q17" s="69">
        <f>P17+H17+MIN(E7,G7)*M7</f>
        <v>34698.1304</v>
      </c>
      <c r="R17" s="69"/>
      <c r="S17" s="82"/>
      <c r="T17" s="83"/>
    </row>
    <row r="18" ht="39.95" customHeight="1" spans="2:20">
      <c r="B18" s="27">
        <v>7</v>
      </c>
      <c r="C18" s="26">
        <f>B7</f>
        <v>41666</v>
      </c>
      <c r="D18" s="26">
        <f t="shared" si="0"/>
        <v>291662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212162.916</v>
      </c>
      <c r="M18" s="56">
        <f t="shared" si="3"/>
        <v>0.2</v>
      </c>
      <c r="N18" s="56">
        <f t="shared" si="4"/>
        <v>16920</v>
      </c>
      <c r="O18" s="56">
        <f>L18*M18-N18-O17-O16-O15-O14-O13-O12</f>
        <v>6061.79760000001</v>
      </c>
      <c r="P18" s="69">
        <f t="shared" si="5"/>
        <v>30747.1904</v>
      </c>
      <c r="Q18" s="69">
        <f>P18+H18+MIN(E7,G7)*M7</f>
        <v>34698.1304</v>
      </c>
      <c r="R18" s="69"/>
      <c r="S18" s="82"/>
      <c r="T18" s="83"/>
    </row>
    <row r="19" ht="39.95" customHeight="1" spans="2:20">
      <c r="B19" s="27">
        <v>8</v>
      </c>
      <c r="C19" s="26">
        <f>B7</f>
        <v>41666</v>
      </c>
      <c r="D19" s="26">
        <f t="shared" si="0"/>
        <v>333328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242471.904</v>
      </c>
      <c r="M19" s="56">
        <f t="shared" si="3"/>
        <v>0.2</v>
      </c>
      <c r="N19" s="56">
        <f t="shared" si="4"/>
        <v>16920</v>
      </c>
      <c r="O19" s="56">
        <f>L19*M19-N19-O18-O17-O16-O15-O14-O13-O12</f>
        <v>6061.7976</v>
      </c>
      <c r="P19" s="69">
        <f t="shared" si="5"/>
        <v>30747.1904</v>
      </c>
      <c r="Q19" s="69">
        <f>P19+H19+MIN(E7,G7)*M7</f>
        <v>34698.1304</v>
      </c>
      <c r="R19" s="69"/>
      <c r="S19" s="82"/>
      <c r="T19" s="83"/>
    </row>
    <row r="20" ht="39.95" customHeight="1" spans="2:20">
      <c r="B20" s="27">
        <v>9</v>
      </c>
      <c r="C20" s="26">
        <f>B7</f>
        <v>41666</v>
      </c>
      <c r="D20" s="26">
        <f t="shared" si="0"/>
        <v>374994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272780.892</v>
      </c>
      <c r="M20" s="56">
        <f t="shared" si="3"/>
        <v>0.2</v>
      </c>
      <c r="N20" s="56">
        <f t="shared" si="4"/>
        <v>16920</v>
      </c>
      <c r="O20" s="56">
        <f>L20*M20-N20-O19-O18-O17-O16-O15-O14-O13-O12</f>
        <v>6061.79760000001</v>
      </c>
      <c r="P20" s="69">
        <f t="shared" si="5"/>
        <v>30747.1904</v>
      </c>
      <c r="Q20" s="69">
        <f>P20+H20+MIN(E7,G7)*M7</f>
        <v>34698.1304</v>
      </c>
      <c r="R20" s="69"/>
      <c r="S20" s="82"/>
      <c r="T20" s="83"/>
    </row>
    <row r="21" ht="39.95" customHeight="1" spans="2:20">
      <c r="B21" s="27">
        <v>10</v>
      </c>
      <c r="C21" s="26">
        <f>B7</f>
        <v>41666</v>
      </c>
      <c r="D21" s="26">
        <f t="shared" si="0"/>
        <v>416660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303089.88</v>
      </c>
      <c r="M21" s="56">
        <f t="shared" si="3"/>
        <v>0.25</v>
      </c>
      <c r="N21" s="56">
        <f t="shared" si="4"/>
        <v>31920</v>
      </c>
      <c r="O21" s="56">
        <f>L21*M21-N21-O20-O19-O18-O17-O16-O15-O14-O13-O12</f>
        <v>6216.2916</v>
      </c>
      <c r="P21" s="69">
        <f t="shared" si="5"/>
        <v>30592.6964</v>
      </c>
      <c r="Q21" s="69">
        <f>P21+H21+MIN(E7,G7)*M7</f>
        <v>34543.6364</v>
      </c>
      <c r="R21" s="69"/>
      <c r="S21" s="82"/>
      <c r="T21" s="83"/>
    </row>
    <row r="22" ht="39.95" customHeight="1" spans="2:20">
      <c r="B22" s="27">
        <v>11</v>
      </c>
      <c r="C22" s="26">
        <f>B7</f>
        <v>41666</v>
      </c>
      <c r="D22" s="26">
        <f t="shared" si="0"/>
        <v>458326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333398.868</v>
      </c>
      <c r="M22" s="56">
        <f t="shared" si="3"/>
        <v>0.25</v>
      </c>
      <c r="N22" s="56">
        <f t="shared" si="4"/>
        <v>31920</v>
      </c>
      <c r="O22" s="56">
        <f>L22*M22-N22-O21-O20-O19-O18-O17-O16-O15-O14-O13-O12</f>
        <v>7577.247</v>
      </c>
      <c r="P22" s="69">
        <f t="shared" si="5"/>
        <v>29231.741</v>
      </c>
      <c r="Q22" s="69">
        <f>P22+H22+MIN(E7,G7)*M7</f>
        <v>33182.681</v>
      </c>
      <c r="R22" s="69"/>
      <c r="S22" s="82"/>
      <c r="T22" s="83"/>
    </row>
    <row r="23" ht="39.95" customHeight="1" spans="2:20">
      <c r="B23" s="27">
        <v>12</v>
      </c>
      <c r="C23" s="26">
        <f>B7</f>
        <v>41666</v>
      </c>
      <c r="D23" s="26">
        <f t="shared" si="0"/>
        <v>499992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363707.856</v>
      </c>
      <c r="M23" s="56">
        <f t="shared" si="3"/>
        <v>0.25</v>
      </c>
      <c r="N23" s="56">
        <f t="shared" si="4"/>
        <v>31920</v>
      </c>
      <c r="O23" s="56">
        <f>L23*M23-N23-O22-O21-O20-O19-O18-O17-O16-O15-O14-O13-O12</f>
        <v>7577.24699999999</v>
      </c>
      <c r="P23" s="69">
        <f t="shared" si="5"/>
        <v>29231.741</v>
      </c>
      <c r="Q23" s="69">
        <f>P23+H23+MIN(E7,G7)*M7</f>
        <v>33182.681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499992</v>
      </c>
      <c r="E24" s="44"/>
      <c r="F24" s="44"/>
      <c r="G24" s="44"/>
      <c r="H24" s="44"/>
      <c r="I24" s="44"/>
      <c r="J24" s="54"/>
      <c r="K24" s="57"/>
      <c r="L24" s="58">
        <f>L23+C7</f>
        <v>363707.856</v>
      </c>
      <c r="M24" s="58">
        <f t="shared" si="3"/>
        <v>0.25</v>
      </c>
      <c r="N24" s="58">
        <f t="shared" si="4"/>
        <v>31920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382700.892</v>
      </c>
      <c r="Q25" s="64">
        <f>SUM(Q12:Q23)</f>
        <v>430112.172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382700.892</v>
      </c>
      <c r="Q26" s="64">
        <f>SUM(Q12:Q24)</f>
        <v>430112.172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382700.892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382700.892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430112.172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59006.964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5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50000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50000</v>
      </c>
      <c r="D12" s="26">
        <f t="shared" ref="D12:D23" si="0">C12*B12</f>
        <v>50000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38642.988</v>
      </c>
      <c r="M12" s="56">
        <f t="shared" ref="M12:M24" si="3">IF(L12&lt;=0,0,IF(L12&lt;=36000,3%,IF(L12&lt;=144000,10%,IF(L12&lt;=300000,20%,IF(L12&lt;=420000,25%,IF(L12&lt;=660000,30%,IF(L12&lt;=960000,35%,45%)))))))</f>
        <v>0.1</v>
      </c>
      <c r="N12" s="56">
        <f t="shared" ref="N12:N24" si="4">IF(L12&lt;=36000,0,IF(L12&lt;=144000,2520,IF(L12&lt;=300000,16920,IF(L12&lt;=420000,31920,IF(L12&lt;=660000,52920,IF(L12&lt;=960000,85920,181920))))))</f>
        <v>2520</v>
      </c>
      <c r="O12" s="56">
        <f>L12*M12-N12</f>
        <v>1344.2988</v>
      </c>
      <c r="P12" s="69">
        <f t="shared" ref="P12:P23" si="5">C12-E12-F12-G12-H12-O12</f>
        <v>43798.6892</v>
      </c>
      <c r="Q12" s="69">
        <f>P12+H12+MIN(E7,G7)*M7</f>
        <v>47749.6292</v>
      </c>
      <c r="R12" s="69"/>
      <c r="S12" s="82"/>
      <c r="T12" s="83"/>
    </row>
    <row r="13" ht="39.95" customHeight="1" spans="2:20">
      <c r="B13" s="27">
        <v>2</v>
      </c>
      <c r="C13" s="26">
        <f>B7</f>
        <v>50000</v>
      </c>
      <c r="D13" s="26">
        <f t="shared" si="0"/>
        <v>100000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77285.976</v>
      </c>
      <c r="M13" s="56">
        <f t="shared" si="3"/>
        <v>0.1</v>
      </c>
      <c r="N13" s="56">
        <f t="shared" si="4"/>
        <v>2520</v>
      </c>
      <c r="O13" s="56">
        <f>L13*M13-N13-O12</f>
        <v>3864.2988</v>
      </c>
      <c r="P13" s="69">
        <f t="shared" si="5"/>
        <v>41278.6892</v>
      </c>
      <c r="Q13" s="69">
        <f>P13+H13+MIN(E7,G7)*M7</f>
        <v>45229.6292</v>
      </c>
      <c r="R13" s="69"/>
      <c r="S13" s="82"/>
      <c r="T13" s="83"/>
    </row>
    <row r="14" ht="39.95" customHeight="1" spans="2:20">
      <c r="B14" s="27">
        <v>3</v>
      </c>
      <c r="C14" s="26">
        <f>B7</f>
        <v>50000</v>
      </c>
      <c r="D14" s="26">
        <f t="shared" si="0"/>
        <v>150000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115928.964</v>
      </c>
      <c r="M14" s="56">
        <f t="shared" si="3"/>
        <v>0.1</v>
      </c>
      <c r="N14" s="56">
        <f t="shared" si="4"/>
        <v>2520</v>
      </c>
      <c r="O14" s="56">
        <f>L14*M14-N14-O13-O12</f>
        <v>3864.2988</v>
      </c>
      <c r="P14" s="69">
        <f t="shared" si="5"/>
        <v>41278.6892</v>
      </c>
      <c r="Q14" s="69">
        <f>P14+H14+MIN(E7,G7)*M7</f>
        <v>45229.6292</v>
      </c>
      <c r="R14" s="69"/>
      <c r="S14" s="82"/>
      <c r="T14" s="83"/>
    </row>
    <row r="15" ht="39.95" customHeight="1" spans="2:20">
      <c r="B15" s="27">
        <v>4</v>
      </c>
      <c r="C15" s="26">
        <f>B7</f>
        <v>50000</v>
      </c>
      <c r="D15" s="26">
        <f t="shared" si="0"/>
        <v>200000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154571.952</v>
      </c>
      <c r="M15" s="56">
        <f t="shared" si="3"/>
        <v>0.2</v>
      </c>
      <c r="N15" s="56">
        <f t="shared" si="4"/>
        <v>16920</v>
      </c>
      <c r="O15" s="56">
        <f>L15*M15-N15-O14-O13-O12</f>
        <v>4921.494</v>
      </c>
      <c r="P15" s="69">
        <f t="shared" si="5"/>
        <v>40221.494</v>
      </c>
      <c r="Q15" s="69">
        <f>P15+H15+MIN(E7,G7)*M7</f>
        <v>44172.434</v>
      </c>
      <c r="R15" s="69"/>
      <c r="S15" s="82"/>
      <c r="T15" s="83"/>
    </row>
    <row r="16" ht="39.95" customHeight="1" spans="2:20">
      <c r="B16" s="27">
        <v>5</v>
      </c>
      <c r="C16" s="26">
        <f>B7</f>
        <v>50000</v>
      </c>
      <c r="D16" s="26">
        <f t="shared" si="0"/>
        <v>250000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193214.94</v>
      </c>
      <c r="M16" s="56">
        <f t="shared" si="3"/>
        <v>0.2</v>
      </c>
      <c r="N16" s="56">
        <f t="shared" si="4"/>
        <v>16920</v>
      </c>
      <c r="O16" s="56">
        <f>L16*M16-N16-O15-O14-O13-O12</f>
        <v>7728.5976</v>
      </c>
      <c r="P16" s="69">
        <f t="shared" si="5"/>
        <v>37414.3904</v>
      </c>
      <c r="Q16" s="69">
        <f>P16+H16+MIN(E7,G7)*M7</f>
        <v>41365.3304</v>
      </c>
      <c r="R16" s="69"/>
      <c r="S16" s="82"/>
      <c r="T16" s="83"/>
    </row>
    <row r="17" ht="39.95" customHeight="1" spans="2:20">
      <c r="B17" s="27">
        <v>6</v>
      </c>
      <c r="C17" s="26">
        <f>B7</f>
        <v>50000</v>
      </c>
      <c r="D17" s="26">
        <f t="shared" si="0"/>
        <v>300000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231857.928</v>
      </c>
      <c r="M17" s="56">
        <f t="shared" si="3"/>
        <v>0.2</v>
      </c>
      <c r="N17" s="56">
        <f t="shared" si="4"/>
        <v>16920</v>
      </c>
      <c r="O17" s="56">
        <f>L17*M17-N17-O16-O15-O14-O13-O12</f>
        <v>7728.5976</v>
      </c>
      <c r="P17" s="69">
        <f t="shared" si="5"/>
        <v>37414.3904</v>
      </c>
      <c r="Q17" s="69">
        <f>P17+H17+MIN(E7,G7)*M7</f>
        <v>41365.3304</v>
      </c>
      <c r="R17" s="69"/>
      <c r="S17" s="82"/>
      <c r="T17" s="83"/>
    </row>
    <row r="18" ht="39.95" customHeight="1" spans="2:20">
      <c r="B18" s="27">
        <v>7</v>
      </c>
      <c r="C18" s="26">
        <f>B7</f>
        <v>50000</v>
      </c>
      <c r="D18" s="26">
        <f t="shared" si="0"/>
        <v>350000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270500.916</v>
      </c>
      <c r="M18" s="56">
        <f t="shared" si="3"/>
        <v>0.2</v>
      </c>
      <c r="N18" s="56">
        <f t="shared" si="4"/>
        <v>16920</v>
      </c>
      <c r="O18" s="56">
        <f>L18*M18-N18-O17-O16-O15-O14-O13-O12</f>
        <v>7728.59759999999</v>
      </c>
      <c r="P18" s="69">
        <f t="shared" si="5"/>
        <v>37414.3904</v>
      </c>
      <c r="Q18" s="69">
        <f>P18+H18+MIN(E7,G7)*M7</f>
        <v>41365.3304</v>
      </c>
      <c r="R18" s="69"/>
      <c r="S18" s="82"/>
      <c r="T18" s="83"/>
    </row>
    <row r="19" ht="39.95" customHeight="1" spans="2:20">
      <c r="B19" s="27">
        <v>8</v>
      </c>
      <c r="C19" s="26">
        <f>B7</f>
        <v>50000</v>
      </c>
      <c r="D19" s="26">
        <f t="shared" si="0"/>
        <v>400000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309143.904</v>
      </c>
      <c r="M19" s="56">
        <f t="shared" si="3"/>
        <v>0.25</v>
      </c>
      <c r="N19" s="56">
        <f t="shared" si="4"/>
        <v>31920</v>
      </c>
      <c r="O19" s="56">
        <f>L19*M19-N19-O18-O17-O16-O15-O14-O13-O12</f>
        <v>8185.7928</v>
      </c>
      <c r="P19" s="69">
        <f t="shared" si="5"/>
        <v>36957.1952</v>
      </c>
      <c r="Q19" s="69">
        <f>P19+H19+MIN(E7,G7)*M7</f>
        <v>40908.1352</v>
      </c>
      <c r="R19" s="69"/>
      <c r="S19" s="82"/>
      <c r="T19" s="83"/>
    </row>
    <row r="20" ht="39.95" customHeight="1" spans="2:20">
      <c r="B20" s="27">
        <v>9</v>
      </c>
      <c r="C20" s="26">
        <f>B7</f>
        <v>50000</v>
      </c>
      <c r="D20" s="26">
        <f t="shared" si="0"/>
        <v>450000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347786.892</v>
      </c>
      <c r="M20" s="56">
        <f t="shared" si="3"/>
        <v>0.25</v>
      </c>
      <c r="N20" s="56">
        <f t="shared" si="4"/>
        <v>31920</v>
      </c>
      <c r="O20" s="56">
        <f>L20*M20-N20-O19-O18-O17-O16-O15-O14-O13-O12</f>
        <v>9660.747</v>
      </c>
      <c r="P20" s="69">
        <f t="shared" si="5"/>
        <v>35482.241</v>
      </c>
      <c r="Q20" s="69">
        <f>P20+H20+MIN(E7,G7)*M7</f>
        <v>39433.181</v>
      </c>
      <c r="R20" s="69"/>
      <c r="S20" s="82"/>
      <c r="T20" s="83"/>
    </row>
    <row r="21" ht="39.95" customHeight="1" spans="2:20">
      <c r="B21" s="27">
        <v>10</v>
      </c>
      <c r="C21" s="26">
        <f>B7</f>
        <v>50000</v>
      </c>
      <c r="D21" s="26">
        <f t="shared" si="0"/>
        <v>500000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386429.88</v>
      </c>
      <c r="M21" s="56">
        <f t="shared" si="3"/>
        <v>0.25</v>
      </c>
      <c r="N21" s="56">
        <f t="shared" si="4"/>
        <v>31920</v>
      </c>
      <c r="O21" s="56">
        <f>L21*M21-N21-O20-O19-O18-O17-O16-O15-O14-O13-O12</f>
        <v>9660.747</v>
      </c>
      <c r="P21" s="69">
        <f t="shared" si="5"/>
        <v>35482.241</v>
      </c>
      <c r="Q21" s="69">
        <f>P21+H21+MIN(E7,G7)*M7</f>
        <v>39433.181</v>
      </c>
      <c r="R21" s="69"/>
      <c r="S21" s="82"/>
      <c r="T21" s="83"/>
    </row>
    <row r="22" ht="39.95" customHeight="1" spans="2:20">
      <c r="B22" s="27">
        <v>11</v>
      </c>
      <c r="C22" s="26">
        <f>B7</f>
        <v>50000</v>
      </c>
      <c r="D22" s="26">
        <f t="shared" si="0"/>
        <v>550000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425072.868</v>
      </c>
      <c r="M22" s="56">
        <f t="shared" si="3"/>
        <v>0.3</v>
      </c>
      <c r="N22" s="56">
        <f t="shared" si="4"/>
        <v>52920</v>
      </c>
      <c r="O22" s="56">
        <f>L22*M22-N22-O21-O20-O19-O18-O17-O16-O15-O14-O13-O12</f>
        <v>9914.3904</v>
      </c>
      <c r="P22" s="69">
        <f t="shared" si="5"/>
        <v>35228.5976</v>
      </c>
      <c r="Q22" s="69">
        <f>P22+H22+MIN(E7,G7)*M7</f>
        <v>39179.5376</v>
      </c>
      <c r="R22" s="69"/>
      <c r="S22" s="82"/>
      <c r="T22" s="83"/>
    </row>
    <row r="23" ht="39.95" customHeight="1" spans="2:20">
      <c r="B23" s="27">
        <v>12</v>
      </c>
      <c r="C23" s="26">
        <f>B7</f>
        <v>50000</v>
      </c>
      <c r="D23" s="26">
        <f t="shared" si="0"/>
        <v>600000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463715.856</v>
      </c>
      <c r="M23" s="56">
        <f t="shared" si="3"/>
        <v>0.3</v>
      </c>
      <c r="N23" s="56">
        <f t="shared" si="4"/>
        <v>52920</v>
      </c>
      <c r="O23" s="56">
        <f>L23*M23-N23-O22-O21-O20-O19-O18-O17-O16-O15-O14-O13-O12</f>
        <v>11592.8964</v>
      </c>
      <c r="P23" s="69">
        <f t="shared" si="5"/>
        <v>33550.0916</v>
      </c>
      <c r="Q23" s="69">
        <f>P23+H23+MIN(E7,G7)*M7</f>
        <v>37501.0316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600000</v>
      </c>
      <c r="E24" s="44"/>
      <c r="F24" s="44"/>
      <c r="G24" s="44"/>
      <c r="H24" s="44"/>
      <c r="I24" s="44"/>
      <c r="J24" s="54"/>
      <c r="K24" s="57"/>
      <c r="L24" s="58">
        <f>L23+C7</f>
        <v>463715.856</v>
      </c>
      <c r="M24" s="58">
        <f t="shared" si="3"/>
        <v>0.3</v>
      </c>
      <c r="N24" s="58">
        <f t="shared" si="4"/>
        <v>52920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455521.0992</v>
      </c>
      <c r="Q25" s="64">
        <f>SUM(Q12:Q23)</f>
        <v>502932.3792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455521.0992</v>
      </c>
      <c r="Q26" s="64">
        <f>SUM(Q12:Q24)</f>
        <v>502932.3792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455521.0992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455521.0992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502932.3792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86194.7568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7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66666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66666</v>
      </c>
      <c r="D12" s="26">
        <f t="shared" ref="D12:D23" si="0">C12*B12</f>
        <v>66666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55308.988</v>
      </c>
      <c r="M12" s="56">
        <f t="shared" ref="M12:M24" si="3">IF(L12&lt;=0,0,IF(L12&lt;=36000,3%,IF(L12&lt;=144000,10%,IF(L12&lt;=300000,20%,IF(L12&lt;=420000,25%,IF(L12&lt;=660000,30%,IF(L12&lt;=960000,35%,45%)))))))</f>
        <v>0.1</v>
      </c>
      <c r="N12" s="56">
        <f t="shared" ref="N12:N24" si="4">IF(L12&lt;=36000,0,IF(L12&lt;=144000,2520,IF(L12&lt;=300000,16920,IF(L12&lt;=420000,31920,IF(L12&lt;=660000,52920,IF(L12&lt;=960000,85920,181920))))))</f>
        <v>2520</v>
      </c>
      <c r="O12" s="56">
        <f>L12*M12-N12</f>
        <v>3010.8988</v>
      </c>
      <c r="P12" s="69">
        <f t="shared" ref="P12:P23" si="5">C12-E12-F12-G12-H12-O12</f>
        <v>58798.0892</v>
      </c>
      <c r="Q12" s="69">
        <f>P12+H12+MIN(E7,G7)*M7</f>
        <v>62749.0292</v>
      </c>
      <c r="R12" s="69"/>
      <c r="S12" s="82"/>
      <c r="T12" s="83"/>
    </row>
    <row r="13" ht="39.95" customHeight="1" spans="2:20">
      <c r="B13" s="27">
        <v>2</v>
      </c>
      <c r="C13" s="26">
        <f>B7</f>
        <v>66666</v>
      </c>
      <c r="D13" s="26">
        <f t="shared" si="0"/>
        <v>133332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110617.976</v>
      </c>
      <c r="M13" s="56">
        <f t="shared" si="3"/>
        <v>0.1</v>
      </c>
      <c r="N13" s="56">
        <f t="shared" si="4"/>
        <v>2520</v>
      </c>
      <c r="O13" s="56">
        <f>L13*M13-N13-O12</f>
        <v>5530.8988</v>
      </c>
      <c r="P13" s="69">
        <f t="shared" si="5"/>
        <v>56278.0892</v>
      </c>
      <c r="Q13" s="69">
        <f>P13+H13+MIN(E7,G7)*M7</f>
        <v>60229.0292</v>
      </c>
      <c r="R13" s="69"/>
      <c r="S13" s="82"/>
      <c r="T13" s="83"/>
    </row>
    <row r="14" ht="39.95" customHeight="1" spans="2:20">
      <c r="B14" s="27">
        <v>3</v>
      </c>
      <c r="C14" s="26">
        <f>B7</f>
        <v>66666</v>
      </c>
      <c r="D14" s="26">
        <f t="shared" si="0"/>
        <v>199998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165926.964</v>
      </c>
      <c r="M14" s="56">
        <f t="shared" si="3"/>
        <v>0.2</v>
      </c>
      <c r="N14" s="56">
        <f t="shared" si="4"/>
        <v>16920</v>
      </c>
      <c r="O14" s="56">
        <f>L14*M14-N14-O13-O12</f>
        <v>7723.5952</v>
      </c>
      <c r="P14" s="69">
        <f t="shared" si="5"/>
        <v>54085.3928</v>
      </c>
      <c r="Q14" s="69">
        <f>P14+H14+MIN(E7,G7)*M7</f>
        <v>58036.3328</v>
      </c>
      <c r="R14" s="69"/>
      <c r="S14" s="82"/>
      <c r="T14" s="83"/>
    </row>
    <row r="15" ht="39.95" customHeight="1" spans="2:20">
      <c r="B15" s="27">
        <v>4</v>
      </c>
      <c r="C15" s="26">
        <f>B7</f>
        <v>66666</v>
      </c>
      <c r="D15" s="26">
        <f t="shared" si="0"/>
        <v>266664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221235.952</v>
      </c>
      <c r="M15" s="56">
        <f t="shared" si="3"/>
        <v>0.2</v>
      </c>
      <c r="N15" s="56">
        <f t="shared" si="4"/>
        <v>16920</v>
      </c>
      <c r="O15" s="56">
        <f>L15*M15-N15-O14-O13-O12</f>
        <v>11061.7976</v>
      </c>
      <c r="P15" s="69">
        <f t="shared" si="5"/>
        <v>50747.1904</v>
      </c>
      <c r="Q15" s="69">
        <f>P15+H15+MIN(E7,G7)*M7</f>
        <v>54698.1304</v>
      </c>
      <c r="R15" s="69"/>
      <c r="S15" s="82"/>
      <c r="T15" s="83"/>
    </row>
    <row r="16" ht="39.95" customHeight="1" spans="2:20">
      <c r="B16" s="27">
        <v>5</v>
      </c>
      <c r="C16" s="26">
        <f>B7</f>
        <v>66666</v>
      </c>
      <c r="D16" s="26">
        <f t="shared" si="0"/>
        <v>333330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276544.94</v>
      </c>
      <c r="M16" s="56">
        <f t="shared" si="3"/>
        <v>0.2</v>
      </c>
      <c r="N16" s="56">
        <f t="shared" si="4"/>
        <v>16920</v>
      </c>
      <c r="O16" s="56">
        <f>L16*M16-N16-O15-O14-O13-O12</f>
        <v>11061.7976</v>
      </c>
      <c r="P16" s="69">
        <f t="shared" si="5"/>
        <v>50747.1904</v>
      </c>
      <c r="Q16" s="69">
        <f>P16+H16+MIN(E7,G7)*M7</f>
        <v>54698.1304</v>
      </c>
      <c r="R16" s="69"/>
      <c r="S16" s="82"/>
      <c r="T16" s="83"/>
    </row>
    <row r="17" ht="39.95" customHeight="1" spans="2:20">
      <c r="B17" s="27">
        <v>6</v>
      </c>
      <c r="C17" s="26">
        <f>B7</f>
        <v>66666</v>
      </c>
      <c r="D17" s="26">
        <f t="shared" si="0"/>
        <v>399996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331853.928</v>
      </c>
      <c r="M17" s="56">
        <f t="shared" si="3"/>
        <v>0.25</v>
      </c>
      <c r="N17" s="56">
        <f t="shared" si="4"/>
        <v>31920</v>
      </c>
      <c r="O17" s="56">
        <f>L17*M17-N17-O16-O15-O14-O13-O12</f>
        <v>12654.494</v>
      </c>
      <c r="P17" s="69">
        <f t="shared" si="5"/>
        <v>49154.494</v>
      </c>
      <c r="Q17" s="69">
        <f>P17+H17+MIN(E7,G7)*M7</f>
        <v>53105.434</v>
      </c>
      <c r="R17" s="69"/>
      <c r="S17" s="82"/>
      <c r="T17" s="83"/>
    </row>
    <row r="18" ht="39.95" customHeight="1" spans="2:20">
      <c r="B18" s="27">
        <v>7</v>
      </c>
      <c r="C18" s="26">
        <f>B7</f>
        <v>66666</v>
      </c>
      <c r="D18" s="26">
        <f t="shared" si="0"/>
        <v>466662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387162.916</v>
      </c>
      <c r="M18" s="56">
        <f t="shared" si="3"/>
        <v>0.25</v>
      </c>
      <c r="N18" s="56">
        <f t="shared" si="4"/>
        <v>31920</v>
      </c>
      <c r="O18" s="56">
        <f>L18*M18-N18-O17-O16-O15-O14-O13-O12</f>
        <v>13827.247</v>
      </c>
      <c r="P18" s="69">
        <f t="shared" si="5"/>
        <v>47981.741</v>
      </c>
      <c r="Q18" s="69">
        <f>P18+H18+MIN(E7,G7)*M7</f>
        <v>51932.681</v>
      </c>
      <c r="R18" s="69"/>
      <c r="S18" s="82"/>
      <c r="T18" s="83"/>
    </row>
    <row r="19" ht="39.95" customHeight="1" spans="2:20">
      <c r="B19" s="27">
        <v>8</v>
      </c>
      <c r="C19" s="26">
        <f>B7</f>
        <v>66666</v>
      </c>
      <c r="D19" s="26">
        <f t="shared" si="0"/>
        <v>533328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442471.904</v>
      </c>
      <c r="M19" s="56">
        <f t="shared" si="3"/>
        <v>0.3</v>
      </c>
      <c r="N19" s="56">
        <f t="shared" si="4"/>
        <v>52920</v>
      </c>
      <c r="O19" s="56">
        <f>L19*M19-N19-O18-O17-O16-O15-O14-O13-O12</f>
        <v>14950.8422</v>
      </c>
      <c r="P19" s="69">
        <f t="shared" si="5"/>
        <v>46858.1458</v>
      </c>
      <c r="Q19" s="69">
        <f>P19+H19+MIN(E7,G7)*M7</f>
        <v>50809.0858</v>
      </c>
      <c r="R19" s="69"/>
      <c r="S19" s="82"/>
      <c r="T19" s="83"/>
    </row>
    <row r="20" ht="39.95" customHeight="1" spans="2:20">
      <c r="B20" s="27">
        <v>9</v>
      </c>
      <c r="C20" s="26">
        <f>B7</f>
        <v>66666</v>
      </c>
      <c r="D20" s="26">
        <f t="shared" si="0"/>
        <v>599994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497780.892</v>
      </c>
      <c r="M20" s="56">
        <f t="shared" si="3"/>
        <v>0.3</v>
      </c>
      <c r="N20" s="56">
        <f t="shared" si="4"/>
        <v>52920</v>
      </c>
      <c r="O20" s="56">
        <f>L20*M20-N20-O19-O18-O17-O16-O15-O14-O13-O12</f>
        <v>16592.6964</v>
      </c>
      <c r="P20" s="69">
        <f t="shared" si="5"/>
        <v>45216.2916</v>
      </c>
      <c r="Q20" s="69">
        <f>P20+H20+MIN(E7,G7)*M7</f>
        <v>49167.2316</v>
      </c>
      <c r="R20" s="69"/>
      <c r="S20" s="82"/>
      <c r="T20" s="83"/>
    </row>
    <row r="21" ht="39.95" customHeight="1" spans="2:20">
      <c r="B21" s="27">
        <v>10</v>
      </c>
      <c r="C21" s="26">
        <f>B7</f>
        <v>66666</v>
      </c>
      <c r="D21" s="26">
        <f t="shared" si="0"/>
        <v>666660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553089.88</v>
      </c>
      <c r="M21" s="56">
        <f t="shared" si="3"/>
        <v>0.3</v>
      </c>
      <c r="N21" s="56">
        <f t="shared" si="4"/>
        <v>52920</v>
      </c>
      <c r="O21" s="56">
        <f>L21*M21-N21-O20-O19-O18-O17-O16-O15-O14-O13-O12</f>
        <v>16592.6964</v>
      </c>
      <c r="P21" s="69">
        <f t="shared" si="5"/>
        <v>45216.2916</v>
      </c>
      <c r="Q21" s="69">
        <f>P21+H21+MIN(E7,G7)*M7</f>
        <v>49167.2316</v>
      </c>
      <c r="R21" s="69"/>
      <c r="S21" s="82"/>
      <c r="T21" s="83"/>
    </row>
    <row r="22" ht="39.95" customHeight="1" spans="2:20">
      <c r="B22" s="27">
        <v>11</v>
      </c>
      <c r="C22" s="26">
        <f>B7</f>
        <v>66666</v>
      </c>
      <c r="D22" s="26">
        <f t="shared" si="0"/>
        <v>733326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608398.868</v>
      </c>
      <c r="M22" s="56">
        <f t="shared" si="3"/>
        <v>0.3</v>
      </c>
      <c r="N22" s="56">
        <f t="shared" si="4"/>
        <v>52920</v>
      </c>
      <c r="O22" s="56">
        <f>L22*M22-N22-O21-O20-O19-O18-O17-O16-O15-O14-O13-O12</f>
        <v>16592.6964</v>
      </c>
      <c r="P22" s="69">
        <f t="shared" si="5"/>
        <v>45216.2916</v>
      </c>
      <c r="Q22" s="69">
        <f>P22+H22+MIN(E7,G7)*M7</f>
        <v>49167.2316</v>
      </c>
      <c r="R22" s="69"/>
      <c r="S22" s="82"/>
      <c r="T22" s="83"/>
    </row>
    <row r="23" ht="39.95" customHeight="1" spans="2:20">
      <c r="B23" s="27">
        <v>12</v>
      </c>
      <c r="C23" s="26">
        <f>B7</f>
        <v>66666</v>
      </c>
      <c r="D23" s="26">
        <f t="shared" si="0"/>
        <v>799992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663707.856</v>
      </c>
      <c r="M23" s="56">
        <f t="shared" si="3"/>
        <v>0.35</v>
      </c>
      <c r="N23" s="56">
        <f t="shared" si="4"/>
        <v>85920</v>
      </c>
      <c r="O23" s="56">
        <f>L23*M23-N23-O22-O21-O20-O19-O18-O17-O16-O15-O14-O13-O12</f>
        <v>16778.0892</v>
      </c>
      <c r="P23" s="69">
        <f t="shared" si="5"/>
        <v>45030.8988</v>
      </c>
      <c r="Q23" s="69">
        <f>P23+H23+MIN(E7,G7)*M7</f>
        <v>48981.8388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799992</v>
      </c>
      <c r="E24" s="44"/>
      <c r="F24" s="44"/>
      <c r="G24" s="44"/>
      <c r="H24" s="44"/>
      <c r="I24" s="44"/>
      <c r="J24" s="54"/>
      <c r="K24" s="57"/>
      <c r="L24" s="58">
        <f>L23+C7</f>
        <v>663707.856</v>
      </c>
      <c r="M24" s="58">
        <f t="shared" si="3"/>
        <v>0.35</v>
      </c>
      <c r="N24" s="58">
        <f t="shared" si="4"/>
        <v>85920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595330.1064</v>
      </c>
      <c r="Q25" s="64">
        <f>SUM(Q12:Q23)</f>
        <v>642741.3864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595330.1064</v>
      </c>
      <c r="Q26" s="64">
        <f>SUM(Q12:Q24)</f>
        <v>642741.3864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595330.1064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595330.1064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47411.2800000001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642741.3864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146377.7496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6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75000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75000</v>
      </c>
      <c r="D12" s="26">
        <f t="shared" ref="D12:D23" si="0">C12*B12</f>
        <v>75000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63642.988</v>
      </c>
      <c r="M12" s="56">
        <f t="shared" ref="M12:M24" si="3">IF(L12&lt;=0,0,IF(L12&lt;=36000,3%,IF(L12&lt;=144000,10%,IF(L12&lt;=300000,20%,IF(L12&lt;=420000,25%,IF(L12&lt;=660000,30%,IF(L12&lt;=960000,35%,45%)))))))</f>
        <v>0.1</v>
      </c>
      <c r="N12" s="56">
        <f t="shared" ref="N12:N24" si="4">IF(L12&lt;=36000,0,IF(L12&lt;=144000,2520,IF(L12&lt;=300000,16920,IF(L12&lt;=420000,31920,IF(L12&lt;=660000,52920,IF(L12&lt;=960000,85920,181920))))))</f>
        <v>2520</v>
      </c>
      <c r="O12" s="56">
        <f>L12*M12-N12</f>
        <v>3844.2988</v>
      </c>
      <c r="P12" s="69">
        <f t="shared" ref="P12:P23" si="5">C12-E12-F12-G12-H12-O12</f>
        <v>66298.6892</v>
      </c>
      <c r="Q12" s="69">
        <f>P12+H12+MIN(E7,G7)*M7</f>
        <v>70249.6292</v>
      </c>
      <c r="R12" s="69"/>
      <c r="S12" s="82"/>
      <c r="T12" s="83"/>
    </row>
    <row r="13" ht="39.95" customHeight="1" spans="2:20">
      <c r="B13" s="27">
        <v>2</v>
      </c>
      <c r="C13" s="26">
        <f>B7</f>
        <v>75000</v>
      </c>
      <c r="D13" s="26">
        <f t="shared" si="0"/>
        <v>150000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127285.976</v>
      </c>
      <c r="M13" s="56">
        <f t="shared" si="3"/>
        <v>0.1</v>
      </c>
      <c r="N13" s="56">
        <f t="shared" si="4"/>
        <v>2520</v>
      </c>
      <c r="O13" s="56">
        <f>L13*M13-N13-O12</f>
        <v>6364.2988</v>
      </c>
      <c r="P13" s="69">
        <f t="shared" si="5"/>
        <v>63778.6892</v>
      </c>
      <c r="Q13" s="69">
        <f>P13+H13+MIN(E7,G7)*M7</f>
        <v>67729.6292</v>
      </c>
      <c r="R13" s="69"/>
      <c r="S13" s="82"/>
      <c r="T13" s="83"/>
    </row>
    <row r="14" ht="39.95" customHeight="1" spans="2:20">
      <c r="B14" s="27">
        <v>3</v>
      </c>
      <c r="C14" s="26">
        <f>B7</f>
        <v>75000</v>
      </c>
      <c r="D14" s="26">
        <f t="shared" si="0"/>
        <v>225000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190928.964</v>
      </c>
      <c r="M14" s="56">
        <f t="shared" si="3"/>
        <v>0.2</v>
      </c>
      <c r="N14" s="56">
        <f t="shared" si="4"/>
        <v>16920</v>
      </c>
      <c r="O14" s="56">
        <f>L14*M14-N14-O13-O12</f>
        <v>11057.1952</v>
      </c>
      <c r="P14" s="69">
        <f t="shared" si="5"/>
        <v>59085.7928</v>
      </c>
      <c r="Q14" s="69">
        <f>P14+H14+MIN(E7,G7)*M7</f>
        <v>63036.7328</v>
      </c>
      <c r="R14" s="69"/>
      <c r="S14" s="82"/>
      <c r="T14" s="83"/>
    </row>
    <row r="15" ht="39.95" customHeight="1" spans="2:20">
      <c r="B15" s="27">
        <v>4</v>
      </c>
      <c r="C15" s="26">
        <f>B7</f>
        <v>75000</v>
      </c>
      <c r="D15" s="26">
        <f t="shared" si="0"/>
        <v>300000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254571.952</v>
      </c>
      <c r="M15" s="56">
        <f t="shared" si="3"/>
        <v>0.2</v>
      </c>
      <c r="N15" s="56">
        <f t="shared" si="4"/>
        <v>16920</v>
      </c>
      <c r="O15" s="56">
        <f>L15*M15-N15-O14-O13-O12</f>
        <v>12728.5976</v>
      </c>
      <c r="P15" s="69">
        <f t="shared" si="5"/>
        <v>57414.3904</v>
      </c>
      <c r="Q15" s="69">
        <f>P15+H15+MIN(E7,G7)*M7</f>
        <v>61365.3304</v>
      </c>
      <c r="R15" s="69"/>
      <c r="S15" s="82"/>
      <c r="T15" s="83"/>
    </row>
    <row r="16" ht="39.95" customHeight="1" spans="2:20">
      <c r="B16" s="27">
        <v>5</v>
      </c>
      <c r="C16" s="26">
        <f>B7</f>
        <v>75000</v>
      </c>
      <c r="D16" s="26">
        <f t="shared" si="0"/>
        <v>375000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318214.94</v>
      </c>
      <c r="M16" s="56">
        <f t="shared" si="3"/>
        <v>0.25</v>
      </c>
      <c r="N16" s="56">
        <f t="shared" si="4"/>
        <v>31920</v>
      </c>
      <c r="O16" s="56">
        <f>L16*M16-N16-O15-O14-O13-O12</f>
        <v>13639.3446</v>
      </c>
      <c r="P16" s="69">
        <f t="shared" si="5"/>
        <v>56503.6434</v>
      </c>
      <c r="Q16" s="69">
        <f>P16+H16+MIN(E7,G7)*M7</f>
        <v>60454.5834</v>
      </c>
      <c r="R16" s="69"/>
      <c r="S16" s="82"/>
      <c r="T16" s="83"/>
    </row>
    <row r="17" ht="39.95" customHeight="1" spans="2:20">
      <c r="B17" s="27">
        <v>6</v>
      </c>
      <c r="C17" s="26">
        <f>B7</f>
        <v>75000</v>
      </c>
      <c r="D17" s="26">
        <f t="shared" si="0"/>
        <v>450000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381857.928</v>
      </c>
      <c r="M17" s="56">
        <f t="shared" si="3"/>
        <v>0.25</v>
      </c>
      <c r="N17" s="56">
        <f t="shared" si="4"/>
        <v>31920</v>
      </c>
      <c r="O17" s="56">
        <f>L17*M17-N17-O16-O15-O14-O13-O12</f>
        <v>15910.747</v>
      </c>
      <c r="P17" s="69">
        <f t="shared" si="5"/>
        <v>54232.241</v>
      </c>
      <c r="Q17" s="69">
        <f>P17+H17+MIN(E7,G7)*M7</f>
        <v>58183.181</v>
      </c>
      <c r="R17" s="69"/>
      <c r="S17" s="82"/>
      <c r="T17" s="83"/>
    </row>
    <row r="18" ht="39.95" customHeight="1" spans="2:20">
      <c r="B18" s="27">
        <v>7</v>
      </c>
      <c r="C18" s="26">
        <f>B7</f>
        <v>75000</v>
      </c>
      <c r="D18" s="26">
        <f t="shared" si="0"/>
        <v>525000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445500.916</v>
      </c>
      <c r="M18" s="56">
        <f t="shared" si="3"/>
        <v>0.3</v>
      </c>
      <c r="N18" s="56">
        <f t="shared" si="4"/>
        <v>52920</v>
      </c>
      <c r="O18" s="56">
        <f>L18*M18-N18-O17-O16-O15-O14-O13-O12</f>
        <v>17185.7928</v>
      </c>
      <c r="P18" s="69">
        <f t="shared" si="5"/>
        <v>52957.1952</v>
      </c>
      <c r="Q18" s="69">
        <f>P18+H18+MIN(E7,G7)*M7</f>
        <v>56908.1352</v>
      </c>
      <c r="R18" s="69"/>
      <c r="S18" s="82"/>
      <c r="T18" s="83"/>
    </row>
    <row r="19" ht="39.95" customHeight="1" spans="2:20">
      <c r="B19" s="27">
        <v>8</v>
      </c>
      <c r="C19" s="26">
        <f>B7</f>
        <v>75000</v>
      </c>
      <c r="D19" s="26">
        <f t="shared" si="0"/>
        <v>600000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509143.904</v>
      </c>
      <c r="M19" s="56">
        <f t="shared" si="3"/>
        <v>0.3</v>
      </c>
      <c r="N19" s="56">
        <f t="shared" si="4"/>
        <v>52920</v>
      </c>
      <c r="O19" s="56">
        <f>L19*M19-N19-O18-O17-O16-O15-O14-O13-O12</f>
        <v>19092.8964</v>
      </c>
      <c r="P19" s="69">
        <f t="shared" si="5"/>
        <v>51050.0916</v>
      </c>
      <c r="Q19" s="69">
        <f>P19+H19+MIN(E7,G7)*M7</f>
        <v>55001.0316</v>
      </c>
      <c r="R19" s="69"/>
      <c r="S19" s="82"/>
      <c r="T19" s="83"/>
    </row>
    <row r="20" ht="39.95" customHeight="1" spans="2:20">
      <c r="B20" s="27">
        <v>9</v>
      </c>
      <c r="C20" s="26">
        <f>B7</f>
        <v>75000</v>
      </c>
      <c r="D20" s="26">
        <f t="shared" si="0"/>
        <v>675000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572786.892</v>
      </c>
      <c r="M20" s="56">
        <f t="shared" si="3"/>
        <v>0.3</v>
      </c>
      <c r="N20" s="56">
        <f t="shared" si="4"/>
        <v>52920</v>
      </c>
      <c r="O20" s="56">
        <f>L20*M20-N20-O19-O18-O17-O16-O15-O14-O13-O12</f>
        <v>19092.8964</v>
      </c>
      <c r="P20" s="69">
        <f t="shared" si="5"/>
        <v>51050.0916</v>
      </c>
      <c r="Q20" s="69">
        <f>P20+H20+MIN(E7,G7)*M7</f>
        <v>55001.0316</v>
      </c>
      <c r="R20" s="69"/>
      <c r="S20" s="82"/>
      <c r="T20" s="83"/>
    </row>
    <row r="21" ht="39.95" customHeight="1" spans="2:20">
      <c r="B21" s="27">
        <v>10</v>
      </c>
      <c r="C21" s="26">
        <f>B7</f>
        <v>75000</v>
      </c>
      <c r="D21" s="26">
        <f t="shared" si="0"/>
        <v>750000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636429.88</v>
      </c>
      <c r="M21" s="56">
        <f t="shared" si="3"/>
        <v>0.3</v>
      </c>
      <c r="N21" s="56">
        <f t="shared" si="4"/>
        <v>52920</v>
      </c>
      <c r="O21" s="56">
        <f>L21*M21-N21-O20-O19-O18-O17-O16-O15-O14-O13-O12</f>
        <v>19092.8964</v>
      </c>
      <c r="P21" s="69">
        <f t="shared" si="5"/>
        <v>51050.0916</v>
      </c>
      <c r="Q21" s="69">
        <f>P21+H21+MIN(E7,G7)*M7</f>
        <v>55001.0316</v>
      </c>
      <c r="R21" s="69"/>
      <c r="S21" s="82"/>
      <c r="T21" s="83"/>
    </row>
    <row r="22" ht="39.95" customHeight="1" spans="2:20">
      <c r="B22" s="27">
        <v>11</v>
      </c>
      <c r="C22" s="26">
        <f>B7</f>
        <v>75000</v>
      </c>
      <c r="D22" s="26">
        <f t="shared" si="0"/>
        <v>825000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700072.868</v>
      </c>
      <c r="M22" s="56">
        <f t="shared" si="3"/>
        <v>0.35</v>
      </c>
      <c r="N22" s="56">
        <f t="shared" si="4"/>
        <v>85920</v>
      </c>
      <c r="O22" s="56">
        <f>L22*M22-N22-O21-O20-O19-O18-O17-O16-O15-O14-O13-O12</f>
        <v>21096.5398</v>
      </c>
      <c r="P22" s="69">
        <f t="shared" si="5"/>
        <v>49046.4482</v>
      </c>
      <c r="Q22" s="69">
        <f>P22+H22+MIN(E7,G7)*M7</f>
        <v>52997.3882</v>
      </c>
      <c r="R22" s="69"/>
      <c r="S22" s="82"/>
      <c r="T22" s="83"/>
    </row>
    <row r="23" ht="39.95" customHeight="1" spans="2:20">
      <c r="B23" s="27">
        <v>12</v>
      </c>
      <c r="C23" s="26">
        <f>B7</f>
        <v>75000</v>
      </c>
      <c r="D23" s="26">
        <f t="shared" si="0"/>
        <v>900000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763715.856</v>
      </c>
      <c r="M23" s="56">
        <f t="shared" si="3"/>
        <v>0.35</v>
      </c>
      <c r="N23" s="56">
        <f t="shared" si="4"/>
        <v>85920</v>
      </c>
      <c r="O23" s="56">
        <f>L23*M23-N23-O22-O21-O20-O19-O18-O17-O16-O15-O14-O13-O12</f>
        <v>22275.0458</v>
      </c>
      <c r="P23" s="69">
        <f t="shared" si="5"/>
        <v>47867.9422</v>
      </c>
      <c r="Q23" s="69">
        <f>P23+H23+MIN(E7,G7)*M7</f>
        <v>51818.8822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900000</v>
      </c>
      <c r="E24" s="44"/>
      <c r="F24" s="44"/>
      <c r="G24" s="44"/>
      <c r="H24" s="44"/>
      <c r="I24" s="44"/>
      <c r="J24" s="54"/>
      <c r="K24" s="57"/>
      <c r="L24" s="58">
        <f>L23+C7</f>
        <v>763715.856</v>
      </c>
      <c r="M24" s="58">
        <f t="shared" si="3"/>
        <v>0.35</v>
      </c>
      <c r="N24" s="58">
        <f t="shared" si="4"/>
        <v>85920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660335.3064</v>
      </c>
      <c r="Q25" s="64">
        <f>SUM(Q12:Q23)</f>
        <v>707746.5864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660335.3064</v>
      </c>
      <c r="Q26" s="64">
        <f>SUM(Q12:Q24)</f>
        <v>707746.5864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660335.3064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660335.3064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47411.2799999999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707746.5864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181380.5496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14" workbookViewId="0">
      <selection activeCell="F31" sqref="F31:G33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83333.4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83333.4</v>
      </c>
      <c r="D12" s="26">
        <f>C12*B12</f>
        <v>83333.4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>(E12+F12+G12+H12)*B12</f>
        <v>4857.012</v>
      </c>
      <c r="J12" s="54">
        <f>(N7+O7+P7+Q7+R7+S7)*B12</f>
        <v>1500</v>
      </c>
      <c r="K12" s="55">
        <f>T7*B12</f>
        <v>5000</v>
      </c>
      <c r="L12" s="56">
        <f>D12-I12-J12-K12</f>
        <v>71976.388</v>
      </c>
      <c r="M12" s="56">
        <f>IF(L12&lt;=0,0,IF(L12&lt;=36000,3%,IF(L12&lt;=144000,10%,IF(L12&lt;=300000,20%,IF(L12&lt;=420000,25%,IF(L12&lt;=660000,30%,IF(L12&lt;=960000,35%,45%)))))))</f>
        <v>0.1</v>
      </c>
      <c r="N12" s="56">
        <f>IF(L12&lt;=36000,0,IF(L12&lt;=144000,2520,IF(L12&lt;=300000,16920,IF(L12&lt;=420000,31920,IF(L12&lt;=660000,52920,IF(L12&lt;=960000,85920,181920))))))</f>
        <v>2520</v>
      </c>
      <c r="O12" s="56">
        <f>L12*M12-N12</f>
        <v>4677.6388</v>
      </c>
      <c r="P12" s="69">
        <f>C12-E12-F12-G12-H12-O12</f>
        <v>73798.7492</v>
      </c>
      <c r="Q12" s="69">
        <f>P12+H12+MIN(E7,G7)*M7</f>
        <v>77749.6892</v>
      </c>
      <c r="R12" s="69"/>
      <c r="S12" s="82"/>
      <c r="T12" s="83"/>
    </row>
    <row r="13" ht="39.95" customHeight="1" spans="2:20">
      <c r="B13" s="27">
        <v>2</v>
      </c>
      <c r="C13" s="26">
        <f>B7</f>
        <v>83333.4</v>
      </c>
      <c r="D13" s="26">
        <f t="shared" ref="D13:D23" si="0">C13*B13</f>
        <v>166666.8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ref="I13:I23" si="1">(E13+F13+G13+H13)*B13</f>
        <v>9714.024</v>
      </c>
      <c r="J13" s="54">
        <f>(N7+O7+P7+Q7+R7+S7)*B13</f>
        <v>3000</v>
      </c>
      <c r="K13" s="55">
        <f>T7*B13</f>
        <v>10000</v>
      </c>
      <c r="L13" s="56">
        <f t="shared" ref="L13:L23" si="2">D13-I13-J13-K13</f>
        <v>143952.776</v>
      </c>
      <c r="M13" s="56">
        <f t="shared" ref="M13:M24" si="3">IF(L13&lt;=0,0,IF(L13&lt;=36000,3%,IF(L13&lt;=144000,10%,IF(L13&lt;=300000,20%,IF(L13&lt;=420000,25%,IF(L13&lt;=660000,30%,IF(L13&lt;=960000,35%,45%)))))))</f>
        <v>0.1</v>
      </c>
      <c r="N13" s="56">
        <f t="shared" ref="N13:N24" si="4">IF(L13&lt;=36000,0,IF(L13&lt;=144000,2520,IF(L13&lt;=300000,16920,IF(L13&lt;=420000,31920,IF(L13&lt;=660000,52920,IF(L13&lt;=960000,85920,181920))))))</f>
        <v>2520</v>
      </c>
      <c r="O13" s="56">
        <f>L13*M13-N13-O12</f>
        <v>7197.6388</v>
      </c>
      <c r="P13" s="69">
        <f t="shared" ref="P13:P23" si="5">C13-E13-F13-G13-H13-O13</f>
        <v>71278.7492</v>
      </c>
      <c r="Q13" s="69">
        <f>P13+H13+MIN(E7,G7)*M7</f>
        <v>75229.6892</v>
      </c>
      <c r="R13" s="69"/>
      <c r="S13" s="82"/>
      <c r="T13" s="83"/>
    </row>
    <row r="14" ht="39.95" customHeight="1" spans="2:20">
      <c r="B14" s="27">
        <v>3</v>
      </c>
      <c r="C14" s="26">
        <f>B7</f>
        <v>83333.4</v>
      </c>
      <c r="D14" s="26">
        <f t="shared" si="0"/>
        <v>250000.2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215929.164</v>
      </c>
      <c r="M14" s="56">
        <f t="shared" si="3"/>
        <v>0.2</v>
      </c>
      <c r="N14" s="56">
        <f t="shared" si="4"/>
        <v>16920</v>
      </c>
      <c r="O14" s="56">
        <f>L14*M14-N14-O13-O12</f>
        <v>14390.5552</v>
      </c>
      <c r="P14" s="69">
        <f t="shared" si="5"/>
        <v>64085.8328</v>
      </c>
      <c r="Q14" s="69">
        <f>P14+H14+MIN(E7,G7)*M7</f>
        <v>68036.7728</v>
      </c>
      <c r="R14" s="69"/>
      <c r="S14" s="82"/>
      <c r="T14" s="83"/>
    </row>
    <row r="15" ht="39.95" customHeight="1" spans="2:20">
      <c r="B15" s="27">
        <v>4</v>
      </c>
      <c r="C15" s="26">
        <f>B7</f>
        <v>83333.4</v>
      </c>
      <c r="D15" s="26">
        <f t="shared" si="0"/>
        <v>333333.6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287905.552</v>
      </c>
      <c r="M15" s="56">
        <f t="shared" si="3"/>
        <v>0.2</v>
      </c>
      <c r="N15" s="56">
        <f t="shared" si="4"/>
        <v>16920</v>
      </c>
      <c r="O15" s="56">
        <f>L15*M15-N15-O14-O13-O12</f>
        <v>14395.2776</v>
      </c>
      <c r="P15" s="69">
        <f t="shared" si="5"/>
        <v>64081.1104</v>
      </c>
      <c r="Q15" s="69">
        <f>P15+H15+MIN(E7,G7)*M7</f>
        <v>68032.0504</v>
      </c>
      <c r="R15" s="69"/>
      <c r="S15" s="82"/>
      <c r="T15" s="83"/>
    </row>
    <row r="16" ht="39.95" customHeight="1" spans="2:20">
      <c r="B16" s="27">
        <v>5</v>
      </c>
      <c r="C16" s="26">
        <f>B7</f>
        <v>83333.4</v>
      </c>
      <c r="D16" s="26">
        <f t="shared" si="0"/>
        <v>416667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359881.94</v>
      </c>
      <c r="M16" s="56">
        <f t="shared" si="3"/>
        <v>0.25</v>
      </c>
      <c r="N16" s="56">
        <f t="shared" si="4"/>
        <v>31920</v>
      </c>
      <c r="O16" s="56">
        <f>L16*M16-N16-O15-O14-O13-O12</f>
        <v>17389.3746</v>
      </c>
      <c r="P16" s="69">
        <f t="shared" si="5"/>
        <v>61087.0134</v>
      </c>
      <c r="Q16" s="69">
        <f>P16+H16+MIN(E7,G7)*M7</f>
        <v>65037.9534</v>
      </c>
      <c r="R16" s="69"/>
      <c r="S16" s="82"/>
      <c r="T16" s="83"/>
    </row>
    <row r="17" ht="39.95" customHeight="1" spans="2:20">
      <c r="B17" s="27">
        <v>6</v>
      </c>
      <c r="C17" s="26">
        <f>B7</f>
        <v>83333.4</v>
      </c>
      <c r="D17" s="26">
        <f t="shared" si="0"/>
        <v>500000.4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431858.328</v>
      </c>
      <c r="M17" s="56">
        <f t="shared" si="3"/>
        <v>0.3</v>
      </c>
      <c r="N17" s="56">
        <f t="shared" si="4"/>
        <v>52920</v>
      </c>
      <c r="O17" s="56">
        <f>L17*M17-N17-O16-O15-O14-O13-O12</f>
        <v>18587.0134</v>
      </c>
      <c r="P17" s="69">
        <f t="shared" si="5"/>
        <v>59889.3746</v>
      </c>
      <c r="Q17" s="69">
        <f>P17+H17+MIN(E7,G7)*M7</f>
        <v>63840.3146</v>
      </c>
      <c r="R17" s="69"/>
      <c r="S17" s="82"/>
      <c r="T17" s="83"/>
    </row>
    <row r="18" ht="39.95" customHeight="1" spans="2:20">
      <c r="B18" s="27">
        <v>7</v>
      </c>
      <c r="C18" s="26">
        <f>B7</f>
        <v>83333.4</v>
      </c>
      <c r="D18" s="26">
        <f t="shared" si="0"/>
        <v>583333.8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503834.716</v>
      </c>
      <c r="M18" s="56">
        <f t="shared" si="3"/>
        <v>0.3</v>
      </c>
      <c r="N18" s="56">
        <f t="shared" si="4"/>
        <v>52920</v>
      </c>
      <c r="O18" s="56">
        <f>L18*M18-N18-O17-O16-O15-O14-O13-O12</f>
        <v>21592.9164</v>
      </c>
      <c r="P18" s="69">
        <f t="shared" si="5"/>
        <v>56883.4716</v>
      </c>
      <c r="Q18" s="69">
        <f>P18+H18+MIN(E7,G7)*M7</f>
        <v>60834.4116</v>
      </c>
      <c r="R18" s="69"/>
      <c r="S18" s="82"/>
      <c r="T18" s="83"/>
    </row>
    <row r="19" ht="39.95" customHeight="1" spans="2:20">
      <c r="B19" s="27">
        <v>8</v>
      </c>
      <c r="C19" s="26">
        <f>B7</f>
        <v>83333.4</v>
      </c>
      <c r="D19" s="26">
        <f t="shared" si="0"/>
        <v>666667.2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575811.104</v>
      </c>
      <c r="M19" s="56">
        <f t="shared" si="3"/>
        <v>0.3</v>
      </c>
      <c r="N19" s="56">
        <f t="shared" si="4"/>
        <v>52920</v>
      </c>
      <c r="O19" s="56">
        <f>L19*M19-N19-O18-O17-O16-O15-O14-O13-O12</f>
        <v>21592.9164</v>
      </c>
      <c r="P19" s="69">
        <f t="shared" si="5"/>
        <v>56883.4716</v>
      </c>
      <c r="Q19" s="69">
        <f>P19+H19+MIN(E7,G7)*M7</f>
        <v>60834.4116</v>
      </c>
      <c r="R19" s="69"/>
      <c r="S19" s="82"/>
      <c r="T19" s="83"/>
    </row>
    <row r="20" ht="39.95" customHeight="1" spans="2:20">
      <c r="B20" s="27">
        <v>9</v>
      </c>
      <c r="C20" s="26">
        <f>B7</f>
        <v>83333.4</v>
      </c>
      <c r="D20" s="26">
        <f t="shared" si="0"/>
        <v>750000.6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647787.492</v>
      </c>
      <c r="M20" s="56">
        <f t="shared" si="3"/>
        <v>0.3</v>
      </c>
      <c r="N20" s="56">
        <f t="shared" si="4"/>
        <v>52920</v>
      </c>
      <c r="O20" s="56">
        <f>L20*M20-N20-O19-O18-O17-O16-O15-O14-O13-O12</f>
        <v>21592.9164</v>
      </c>
      <c r="P20" s="69">
        <f t="shared" si="5"/>
        <v>56883.4716</v>
      </c>
      <c r="Q20" s="69">
        <f>P20+H20+MIN(E7,G7)*M7</f>
        <v>60834.4116</v>
      </c>
      <c r="R20" s="69"/>
      <c r="S20" s="82"/>
      <c r="T20" s="83"/>
    </row>
    <row r="21" ht="39.95" customHeight="1" spans="2:20">
      <c r="B21" s="27">
        <v>10</v>
      </c>
      <c r="C21" s="26">
        <f>B7</f>
        <v>83333.4</v>
      </c>
      <c r="D21" s="26">
        <f t="shared" si="0"/>
        <v>833334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719763.88</v>
      </c>
      <c r="M21" s="56">
        <f t="shared" si="3"/>
        <v>0.35</v>
      </c>
      <c r="N21" s="56">
        <f t="shared" si="4"/>
        <v>85920</v>
      </c>
      <c r="O21" s="56">
        <f>L21*M21-N21-O20-O19-O18-O17-O16-O15-O14-O13-O12</f>
        <v>24581.1104</v>
      </c>
      <c r="P21" s="69">
        <f t="shared" si="5"/>
        <v>53895.2776</v>
      </c>
      <c r="Q21" s="69">
        <f>P21+H21+MIN(E7,G7)*M7</f>
        <v>57846.2176</v>
      </c>
      <c r="R21" s="69"/>
      <c r="S21" s="82"/>
      <c r="T21" s="83"/>
    </row>
    <row r="22" ht="39.95" customHeight="1" spans="2:20">
      <c r="B22" s="27">
        <v>11</v>
      </c>
      <c r="C22" s="26">
        <f>B7</f>
        <v>83333.4</v>
      </c>
      <c r="D22" s="26">
        <f t="shared" si="0"/>
        <v>916667.4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791740.268</v>
      </c>
      <c r="M22" s="56">
        <f t="shared" si="3"/>
        <v>0.35</v>
      </c>
      <c r="N22" s="56">
        <f t="shared" si="4"/>
        <v>85920</v>
      </c>
      <c r="O22" s="56">
        <f>L22*M22-N22-O21-O20-O19-O18-O17-O16-O15-O14-O13-O12</f>
        <v>25191.7358</v>
      </c>
      <c r="P22" s="69">
        <f t="shared" si="5"/>
        <v>53284.6522</v>
      </c>
      <c r="Q22" s="69">
        <f>P22+H22+MIN(E7,G7)*M7</f>
        <v>57235.5922</v>
      </c>
      <c r="R22" s="69"/>
      <c r="S22" s="82"/>
      <c r="T22" s="83"/>
    </row>
    <row r="23" ht="39.95" customHeight="1" spans="2:20">
      <c r="B23" s="27">
        <v>12</v>
      </c>
      <c r="C23" s="26">
        <f>B7</f>
        <v>83333.4</v>
      </c>
      <c r="D23" s="26">
        <f t="shared" si="0"/>
        <v>1000000.8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863716.656</v>
      </c>
      <c r="M23" s="56">
        <f t="shared" si="3"/>
        <v>0.35</v>
      </c>
      <c r="N23" s="56">
        <f t="shared" si="4"/>
        <v>85920</v>
      </c>
      <c r="O23" s="56">
        <f>L23*M23-N23-O22-O21-O20-O19-O18-O17-O16-O15-O14-O13-O12</f>
        <v>25191.7358</v>
      </c>
      <c r="P23" s="69">
        <f t="shared" si="5"/>
        <v>53284.6522</v>
      </c>
      <c r="Q23" s="69">
        <f>P23+H23+MIN(E7,G7)*M7</f>
        <v>57235.5922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1000000.8</v>
      </c>
      <c r="E24" s="44"/>
      <c r="F24" s="44"/>
      <c r="G24" s="44"/>
      <c r="H24" s="44"/>
      <c r="I24" s="44"/>
      <c r="J24" s="54"/>
      <c r="K24" s="57"/>
      <c r="L24" s="58">
        <f>L23+C7</f>
        <v>863716.656</v>
      </c>
      <c r="M24" s="58">
        <f t="shared" si="3"/>
        <v>0.35</v>
      </c>
      <c r="N24" s="58">
        <f t="shared" si="4"/>
        <v>85920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725335.8264</v>
      </c>
      <c r="Q25" s="64">
        <f>SUM(Q12:Q23)</f>
        <v>772747.1064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725335.8264</v>
      </c>
      <c r="Q26" s="64">
        <f>SUM(Q12:Q24)</f>
        <v>772747.1064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725335.8264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725335.8264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47411.2799999999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772747.1064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216380.8296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Q10:R11"/>
    <mergeCell ref="F37:G39"/>
    <mergeCell ref="H28:R39"/>
    <mergeCell ref="B2:T3"/>
    <mergeCell ref="S10:T42"/>
    <mergeCell ref="B25:J27"/>
    <mergeCell ref="B34:E36"/>
    <mergeCell ref="F34:G36"/>
    <mergeCell ref="H40:R42"/>
    <mergeCell ref="B28:E30"/>
    <mergeCell ref="B31:E33"/>
    <mergeCell ref="B40:E42"/>
    <mergeCell ref="F28:G30"/>
    <mergeCell ref="F31:G33"/>
    <mergeCell ref="F40:G42"/>
    <mergeCell ref="B37:E39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0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100000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100000</v>
      </c>
      <c r="D12" s="26">
        <f t="shared" ref="D12:D23" si="0">C12*B12</f>
        <v>100000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88642.988</v>
      </c>
      <c r="M12" s="56">
        <f t="shared" ref="M12:M24" si="3">IF(L12&lt;=0,0,IF(L12&lt;=36000,3%,IF(L12&lt;=144000,10%,IF(L12&lt;=300000,20%,IF(L12&lt;=420000,25%,IF(L12&lt;=660000,30%,IF(L12&lt;=960000,35%,45%)))))))</f>
        <v>0.1</v>
      </c>
      <c r="N12" s="56">
        <f t="shared" ref="N12:N24" si="4">IF(L12&lt;=36000,0,IF(L12&lt;=144000,2520,IF(L12&lt;=300000,16920,IF(L12&lt;=420000,31920,IF(L12&lt;=660000,52920,IF(L12&lt;=960000,85920,181920))))))</f>
        <v>2520</v>
      </c>
      <c r="O12" s="56">
        <f>L12*M12-N12</f>
        <v>6344.2988</v>
      </c>
      <c r="P12" s="69">
        <f t="shared" ref="P12:P23" si="5">C12-E12-F12-G12-H12-O12</f>
        <v>88798.6892</v>
      </c>
      <c r="Q12" s="69">
        <f>P12+H12+MIN(E7,G7)*M7</f>
        <v>92749.6292</v>
      </c>
      <c r="R12" s="69"/>
      <c r="S12" s="82"/>
      <c r="T12" s="83"/>
    </row>
    <row r="13" ht="39.95" customHeight="1" spans="2:20">
      <c r="B13" s="27">
        <v>2</v>
      </c>
      <c r="C13" s="26">
        <f>B7</f>
        <v>100000</v>
      </c>
      <c r="D13" s="26">
        <f t="shared" si="0"/>
        <v>200000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177285.976</v>
      </c>
      <c r="M13" s="56">
        <f t="shared" si="3"/>
        <v>0.2</v>
      </c>
      <c r="N13" s="56">
        <f t="shared" si="4"/>
        <v>16920</v>
      </c>
      <c r="O13" s="56">
        <f>L13*M13-N13-O12</f>
        <v>12192.8964</v>
      </c>
      <c r="P13" s="69">
        <f t="shared" si="5"/>
        <v>82950.0916</v>
      </c>
      <c r="Q13" s="69">
        <f>P13+H13+MIN(E7,G7)*M7</f>
        <v>86901.0316</v>
      </c>
      <c r="R13" s="69"/>
      <c r="S13" s="82"/>
      <c r="T13" s="83"/>
    </row>
    <row r="14" ht="39.95" customHeight="1" spans="2:20">
      <c r="B14" s="27">
        <v>3</v>
      </c>
      <c r="C14" s="26">
        <f>B7</f>
        <v>100000</v>
      </c>
      <c r="D14" s="26">
        <f t="shared" si="0"/>
        <v>300000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265928.964</v>
      </c>
      <c r="M14" s="56">
        <f t="shared" si="3"/>
        <v>0.2</v>
      </c>
      <c r="N14" s="56">
        <f t="shared" si="4"/>
        <v>16920</v>
      </c>
      <c r="O14" s="56">
        <f>L14*M14-N14-O13-O12</f>
        <v>17728.5976</v>
      </c>
      <c r="P14" s="69">
        <f t="shared" si="5"/>
        <v>77414.3904</v>
      </c>
      <c r="Q14" s="69">
        <f>P14+H14+MIN(E7,G7)*M7</f>
        <v>81365.3304</v>
      </c>
      <c r="R14" s="69"/>
      <c r="S14" s="82"/>
      <c r="T14" s="83"/>
    </row>
    <row r="15" ht="39.95" customHeight="1" spans="2:20">
      <c r="B15" s="27">
        <v>4</v>
      </c>
      <c r="C15" s="26">
        <f>B7</f>
        <v>100000</v>
      </c>
      <c r="D15" s="26">
        <f t="shared" si="0"/>
        <v>400000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354571.952</v>
      </c>
      <c r="M15" s="56">
        <f t="shared" si="3"/>
        <v>0.25</v>
      </c>
      <c r="N15" s="56">
        <f t="shared" si="4"/>
        <v>31920</v>
      </c>
      <c r="O15" s="56">
        <f>L15*M15-N15-O14-O13-O12</f>
        <v>20457.1952</v>
      </c>
      <c r="P15" s="69">
        <f t="shared" si="5"/>
        <v>74685.7928</v>
      </c>
      <c r="Q15" s="69">
        <f>P15+H15+MIN(E7,G7)*M7</f>
        <v>78636.7328</v>
      </c>
      <c r="R15" s="69"/>
      <c r="S15" s="82"/>
      <c r="T15" s="83"/>
    </row>
    <row r="16" ht="39.95" customHeight="1" spans="2:20">
      <c r="B16" s="27">
        <v>5</v>
      </c>
      <c r="C16" s="26">
        <f>B7</f>
        <v>100000</v>
      </c>
      <c r="D16" s="26">
        <f t="shared" si="0"/>
        <v>500000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443214.94</v>
      </c>
      <c r="M16" s="56">
        <f t="shared" si="3"/>
        <v>0.3</v>
      </c>
      <c r="N16" s="56">
        <f t="shared" si="4"/>
        <v>52920</v>
      </c>
      <c r="O16" s="56">
        <f>L16*M16-N16-O15-O14-O13-O12</f>
        <v>23321.494</v>
      </c>
      <c r="P16" s="69">
        <f t="shared" si="5"/>
        <v>71821.494</v>
      </c>
      <c r="Q16" s="69">
        <f>P16+H16+MIN(E7,G7)*M7</f>
        <v>75772.434</v>
      </c>
      <c r="R16" s="69"/>
      <c r="S16" s="82"/>
      <c r="T16" s="83"/>
    </row>
    <row r="17" ht="39.95" customHeight="1" spans="2:20">
      <c r="B17" s="27">
        <v>6</v>
      </c>
      <c r="C17" s="26">
        <f>B7</f>
        <v>100000</v>
      </c>
      <c r="D17" s="26">
        <f t="shared" si="0"/>
        <v>600000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531857.928</v>
      </c>
      <c r="M17" s="56">
        <f t="shared" si="3"/>
        <v>0.3</v>
      </c>
      <c r="N17" s="56">
        <f t="shared" si="4"/>
        <v>52920</v>
      </c>
      <c r="O17" s="56">
        <f>L17*M17-N17-O16-O15-O14-O13-O12</f>
        <v>26592.8964</v>
      </c>
      <c r="P17" s="69">
        <f t="shared" si="5"/>
        <v>68550.0916</v>
      </c>
      <c r="Q17" s="69">
        <f>P17+H17+MIN(E7,G7)*M7</f>
        <v>72501.0316</v>
      </c>
      <c r="R17" s="69"/>
      <c r="S17" s="82"/>
      <c r="T17" s="83"/>
    </row>
    <row r="18" ht="39.95" customHeight="1" spans="2:20">
      <c r="B18" s="27">
        <v>7</v>
      </c>
      <c r="C18" s="26">
        <f>B7</f>
        <v>100000</v>
      </c>
      <c r="D18" s="26">
        <f t="shared" si="0"/>
        <v>700000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620500.916</v>
      </c>
      <c r="M18" s="56">
        <f t="shared" si="3"/>
        <v>0.3</v>
      </c>
      <c r="N18" s="56">
        <f t="shared" si="4"/>
        <v>52920</v>
      </c>
      <c r="O18" s="56">
        <f>L18*M18-N18-O17-O16-O15-O14-O13-O12</f>
        <v>26592.8964</v>
      </c>
      <c r="P18" s="69">
        <f t="shared" si="5"/>
        <v>68550.0916</v>
      </c>
      <c r="Q18" s="69">
        <f>P18+H18+MIN(E7,G7)*M7</f>
        <v>72501.0316</v>
      </c>
      <c r="R18" s="69"/>
      <c r="S18" s="82"/>
      <c r="T18" s="83"/>
    </row>
    <row r="19" ht="39.95" customHeight="1" spans="2:20">
      <c r="B19" s="27">
        <v>8</v>
      </c>
      <c r="C19" s="26">
        <f>B7</f>
        <v>100000</v>
      </c>
      <c r="D19" s="26">
        <f t="shared" si="0"/>
        <v>800000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709143.904</v>
      </c>
      <c r="M19" s="56">
        <f t="shared" si="3"/>
        <v>0.35</v>
      </c>
      <c r="N19" s="56">
        <f t="shared" si="4"/>
        <v>85920</v>
      </c>
      <c r="O19" s="56">
        <f>L19*M19-N19-O18-O17-O16-O15-O14-O13-O12</f>
        <v>29050.0916</v>
      </c>
      <c r="P19" s="69">
        <f t="shared" si="5"/>
        <v>66092.8964</v>
      </c>
      <c r="Q19" s="69">
        <f>P19+H19+MIN(E7,G7)*M7</f>
        <v>70043.8364</v>
      </c>
      <c r="R19" s="69"/>
      <c r="S19" s="82"/>
      <c r="T19" s="83"/>
    </row>
    <row r="20" ht="39.95" customHeight="1" spans="2:20">
      <c r="B20" s="27">
        <v>9</v>
      </c>
      <c r="C20" s="26">
        <f>B7</f>
        <v>100000</v>
      </c>
      <c r="D20" s="26">
        <f t="shared" si="0"/>
        <v>900000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797786.892</v>
      </c>
      <c r="M20" s="56">
        <f t="shared" si="3"/>
        <v>0.35</v>
      </c>
      <c r="N20" s="56">
        <f t="shared" si="4"/>
        <v>85920</v>
      </c>
      <c r="O20" s="56">
        <f>L20*M20-N20-O19-O18-O17-O16-O15-O14-O13-O12</f>
        <v>31025.0458</v>
      </c>
      <c r="P20" s="69">
        <f t="shared" si="5"/>
        <v>64117.9422</v>
      </c>
      <c r="Q20" s="69">
        <f>P20+H20+MIN(E7,G7)*M7</f>
        <v>68068.8822</v>
      </c>
      <c r="R20" s="69"/>
      <c r="S20" s="82"/>
      <c r="T20" s="83"/>
    </row>
    <row r="21" ht="39.95" customHeight="1" spans="2:20">
      <c r="B21" s="27">
        <v>10</v>
      </c>
      <c r="C21" s="26">
        <f>B7</f>
        <v>100000</v>
      </c>
      <c r="D21" s="26">
        <f t="shared" si="0"/>
        <v>1000000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886429.88</v>
      </c>
      <c r="M21" s="56">
        <f t="shared" si="3"/>
        <v>0.35</v>
      </c>
      <c r="N21" s="56">
        <f t="shared" si="4"/>
        <v>85920</v>
      </c>
      <c r="O21" s="56">
        <f>L21*M21-N21-O20-O19-O18-O17-O16-O15-O14-O13-O12</f>
        <v>31025.0458</v>
      </c>
      <c r="P21" s="69">
        <f t="shared" si="5"/>
        <v>64117.9422</v>
      </c>
      <c r="Q21" s="69">
        <f>P21+H21+MIN(E7,G7)*M7</f>
        <v>68068.8822</v>
      </c>
      <c r="R21" s="69"/>
      <c r="S21" s="82"/>
      <c r="T21" s="83"/>
    </row>
    <row r="22" ht="39.95" customHeight="1" spans="2:20">
      <c r="B22" s="27">
        <v>11</v>
      </c>
      <c r="C22" s="26">
        <f>B7</f>
        <v>100000</v>
      </c>
      <c r="D22" s="26">
        <f t="shared" si="0"/>
        <v>1100000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975072.868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32532.3326</v>
      </c>
      <c r="P22" s="69">
        <f t="shared" si="5"/>
        <v>62610.6554</v>
      </c>
      <c r="Q22" s="69">
        <f>P22+H22+MIN(E7,G7)*M7</f>
        <v>66561.5954</v>
      </c>
      <c r="R22" s="69"/>
      <c r="S22" s="82"/>
      <c r="T22" s="83"/>
    </row>
    <row r="23" ht="39.95" customHeight="1" spans="2:20">
      <c r="B23" s="27">
        <v>12</v>
      </c>
      <c r="C23" s="26">
        <f>B7</f>
        <v>100000</v>
      </c>
      <c r="D23" s="26">
        <f t="shared" si="0"/>
        <v>1200000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1063715.856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39889.3446</v>
      </c>
      <c r="P23" s="69">
        <f t="shared" si="5"/>
        <v>55253.6434000001</v>
      </c>
      <c r="Q23" s="69">
        <f>P23+H23+MIN(E7,G7)*M7</f>
        <v>59204.5834000001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1200000</v>
      </c>
      <c r="E24" s="44"/>
      <c r="F24" s="44"/>
      <c r="G24" s="44"/>
      <c r="H24" s="44"/>
      <c r="I24" s="44"/>
      <c r="J24" s="54"/>
      <c r="K24" s="57"/>
      <c r="L24" s="58">
        <f>L23+C7</f>
        <v>1063715.856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844963.7208</v>
      </c>
      <c r="Q25" s="64">
        <f>SUM(Q12:Q23)</f>
        <v>892375.0008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844963.7208</v>
      </c>
      <c r="Q26" s="64">
        <f>SUM(Q12:Q24)</f>
        <v>892375.0008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844963.7208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844963.7208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47411.2799999997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892375.0008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296752.1352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0" workbookViewId="0">
      <selection activeCell="B8" sqref="B8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125000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125000</v>
      </c>
      <c r="D12" s="26">
        <f t="shared" ref="D12:D23" si="0">C12*B12</f>
        <v>125000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113642.988</v>
      </c>
      <c r="M12" s="56">
        <f t="shared" ref="M12:M24" si="3">IF(L12&lt;=0,0,IF(L12&lt;=36000,3%,IF(L12&lt;=144000,10%,IF(L12&lt;=300000,20%,IF(L12&lt;=420000,25%,IF(L12&lt;=660000,30%,IF(L12&lt;=960000,35%,45%)))))))</f>
        <v>0.1</v>
      </c>
      <c r="N12" s="56">
        <f t="shared" ref="N12:N24" si="4">IF(L12&lt;=36000,0,IF(L12&lt;=144000,2520,IF(L12&lt;=300000,16920,IF(L12&lt;=420000,31920,IF(L12&lt;=660000,52920,IF(L12&lt;=960000,85920,181920))))))</f>
        <v>2520</v>
      </c>
      <c r="O12" s="56">
        <f>L12*M12-N12</f>
        <v>8844.2988</v>
      </c>
      <c r="P12" s="69">
        <f t="shared" ref="P12:P23" si="5">C12-E12-F12-G12-H12-O12</f>
        <v>111298.6892</v>
      </c>
      <c r="Q12" s="69">
        <f>P12+H12+MIN(E7,G7)*M7</f>
        <v>115249.6292</v>
      </c>
      <c r="R12" s="69"/>
      <c r="S12" s="82"/>
      <c r="T12" s="83"/>
    </row>
    <row r="13" ht="39.95" customHeight="1" spans="2:20">
      <c r="B13" s="27">
        <v>2</v>
      </c>
      <c r="C13" s="26">
        <f>B7</f>
        <v>125000</v>
      </c>
      <c r="D13" s="26">
        <f t="shared" si="0"/>
        <v>250000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227285.976</v>
      </c>
      <c r="M13" s="56">
        <f t="shared" si="3"/>
        <v>0.2</v>
      </c>
      <c r="N13" s="56">
        <f t="shared" si="4"/>
        <v>16920</v>
      </c>
      <c r="O13" s="56">
        <f>L13*M13-N13-O12</f>
        <v>19692.8964</v>
      </c>
      <c r="P13" s="69">
        <f t="shared" si="5"/>
        <v>100450.0916</v>
      </c>
      <c r="Q13" s="69">
        <f>P13+H13+MIN(E7,G7)*M7</f>
        <v>104401.0316</v>
      </c>
      <c r="R13" s="69"/>
      <c r="S13" s="82"/>
      <c r="T13" s="83"/>
    </row>
    <row r="14" ht="39.95" customHeight="1" spans="2:20">
      <c r="B14" s="27">
        <v>3</v>
      </c>
      <c r="C14" s="26">
        <f>B7</f>
        <v>125000</v>
      </c>
      <c r="D14" s="26">
        <f t="shared" si="0"/>
        <v>375000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340928.964</v>
      </c>
      <c r="M14" s="56">
        <f t="shared" si="3"/>
        <v>0.25</v>
      </c>
      <c r="N14" s="56">
        <f t="shared" si="4"/>
        <v>31920</v>
      </c>
      <c r="O14" s="56">
        <f>L14*M14-N14-O13-O12</f>
        <v>24775.0458</v>
      </c>
      <c r="P14" s="69">
        <f t="shared" si="5"/>
        <v>95367.9422</v>
      </c>
      <c r="Q14" s="69">
        <f>P14+H14+MIN(E7,G7)*M7</f>
        <v>99318.8822</v>
      </c>
      <c r="R14" s="69"/>
      <c r="S14" s="82"/>
      <c r="T14" s="83"/>
    </row>
    <row r="15" ht="39.95" customHeight="1" spans="2:20">
      <c r="B15" s="27">
        <v>4</v>
      </c>
      <c r="C15" s="26">
        <f>B7</f>
        <v>125000</v>
      </c>
      <c r="D15" s="26">
        <f t="shared" si="0"/>
        <v>500000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454571.952</v>
      </c>
      <c r="M15" s="56">
        <f t="shared" si="3"/>
        <v>0.3</v>
      </c>
      <c r="N15" s="56">
        <f t="shared" si="4"/>
        <v>52920</v>
      </c>
      <c r="O15" s="56">
        <f>L15*M15-N15-O14-O13-O12</f>
        <v>30139.3446</v>
      </c>
      <c r="P15" s="69">
        <f t="shared" si="5"/>
        <v>90003.6434</v>
      </c>
      <c r="Q15" s="69">
        <f>P15+H15+MIN(E7,G7)*M7</f>
        <v>93954.5834</v>
      </c>
      <c r="R15" s="69"/>
      <c r="S15" s="82"/>
      <c r="T15" s="83"/>
    </row>
    <row r="16" ht="39.95" customHeight="1" spans="2:20">
      <c r="B16" s="27">
        <v>5</v>
      </c>
      <c r="C16" s="26">
        <f>B7</f>
        <v>125000</v>
      </c>
      <c r="D16" s="26">
        <f t="shared" si="0"/>
        <v>625000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568214.94</v>
      </c>
      <c r="M16" s="56">
        <f t="shared" si="3"/>
        <v>0.3</v>
      </c>
      <c r="N16" s="56">
        <f t="shared" si="4"/>
        <v>52920</v>
      </c>
      <c r="O16" s="56">
        <f>L16*M16-N16-O15-O14-O13-O12</f>
        <v>34092.8964</v>
      </c>
      <c r="P16" s="69">
        <f t="shared" si="5"/>
        <v>86050.0916</v>
      </c>
      <c r="Q16" s="69">
        <f>P16+H16+MIN(E7,G7)*M7</f>
        <v>90001.0316</v>
      </c>
      <c r="R16" s="69"/>
      <c r="S16" s="82"/>
      <c r="T16" s="83"/>
    </row>
    <row r="17" ht="39.95" customHeight="1" spans="2:20">
      <c r="B17" s="27">
        <v>6</v>
      </c>
      <c r="C17" s="26">
        <f>B7</f>
        <v>125000</v>
      </c>
      <c r="D17" s="26">
        <f t="shared" si="0"/>
        <v>750000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681857.928</v>
      </c>
      <c r="M17" s="56">
        <f t="shared" si="3"/>
        <v>0.35</v>
      </c>
      <c r="N17" s="56">
        <f t="shared" si="4"/>
        <v>85920</v>
      </c>
      <c r="O17" s="56">
        <f>L17*M17-N17-O16-O15-O14-O13-O12</f>
        <v>35185.7928</v>
      </c>
      <c r="P17" s="69">
        <f t="shared" si="5"/>
        <v>84957.1952</v>
      </c>
      <c r="Q17" s="69">
        <f>P17+H17+MIN(E7,G7)*M7</f>
        <v>88908.1352</v>
      </c>
      <c r="R17" s="69"/>
      <c r="S17" s="82"/>
      <c r="T17" s="83"/>
    </row>
    <row r="18" ht="39.95" customHeight="1" spans="2:20">
      <c r="B18" s="27">
        <v>7</v>
      </c>
      <c r="C18" s="26">
        <f>B7</f>
        <v>125000</v>
      </c>
      <c r="D18" s="26">
        <f t="shared" si="0"/>
        <v>875000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795500.916</v>
      </c>
      <c r="M18" s="56">
        <f t="shared" si="3"/>
        <v>0.35</v>
      </c>
      <c r="N18" s="56">
        <f t="shared" si="4"/>
        <v>85920</v>
      </c>
      <c r="O18" s="56">
        <f>L18*M18-N18-O17-O16-O15-O14-O13-O12</f>
        <v>39775.0458</v>
      </c>
      <c r="P18" s="69">
        <f t="shared" si="5"/>
        <v>80367.9422</v>
      </c>
      <c r="Q18" s="69">
        <f>P18+H18+MIN(E7,G7)*M7</f>
        <v>84318.8822</v>
      </c>
      <c r="R18" s="69"/>
      <c r="S18" s="82"/>
      <c r="T18" s="83"/>
    </row>
    <row r="19" ht="39.95" customHeight="1" spans="2:20">
      <c r="B19" s="27">
        <v>8</v>
      </c>
      <c r="C19" s="26">
        <f>B7</f>
        <v>125000</v>
      </c>
      <c r="D19" s="26">
        <f t="shared" si="0"/>
        <v>1000000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909143.904</v>
      </c>
      <c r="M19" s="56">
        <f t="shared" si="3"/>
        <v>0.35</v>
      </c>
      <c r="N19" s="56">
        <f t="shared" si="4"/>
        <v>85920</v>
      </c>
      <c r="O19" s="56">
        <f>L19*M19-N19-O18-O17-O16-O15-O14-O13-O12</f>
        <v>39775.0458</v>
      </c>
      <c r="P19" s="69">
        <f t="shared" si="5"/>
        <v>80367.9422</v>
      </c>
      <c r="Q19" s="69">
        <f>P19+H19+MIN(E7,G7)*M7</f>
        <v>84318.8822</v>
      </c>
      <c r="R19" s="69"/>
      <c r="S19" s="82"/>
      <c r="T19" s="83"/>
    </row>
    <row r="20" ht="39.95" customHeight="1" spans="2:20">
      <c r="B20" s="27">
        <v>9</v>
      </c>
      <c r="C20" s="26">
        <f>B7</f>
        <v>125000</v>
      </c>
      <c r="D20" s="26">
        <f t="shared" si="0"/>
        <v>1125000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1022786.892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46053.735</v>
      </c>
      <c r="P20" s="69">
        <f t="shared" si="5"/>
        <v>74089.253</v>
      </c>
      <c r="Q20" s="69">
        <f>P20+H20+MIN(E7,G7)*M7</f>
        <v>78040.193</v>
      </c>
      <c r="R20" s="69"/>
      <c r="S20" s="82"/>
      <c r="T20" s="83"/>
    </row>
    <row r="21" ht="39.95" customHeight="1" spans="2:20">
      <c r="B21" s="27">
        <v>10</v>
      </c>
      <c r="C21" s="26">
        <f>B7</f>
        <v>125000</v>
      </c>
      <c r="D21" s="26">
        <f t="shared" si="0"/>
        <v>1250000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1136429.88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51139.3446</v>
      </c>
      <c r="P21" s="69">
        <f t="shared" si="5"/>
        <v>69003.6434000001</v>
      </c>
      <c r="Q21" s="69">
        <f>P21+H21+MIN(E7,G7)*M7</f>
        <v>72954.5834000001</v>
      </c>
      <c r="R21" s="69"/>
      <c r="S21" s="82"/>
      <c r="T21" s="83"/>
    </row>
    <row r="22" ht="39.95" customHeight="1" spans="2:20">
      <c r="B22" s="27">
        <v>11</v>
      </c>
      <c r="C22" s="26">
        <f>B7</f>
        <v>125000</v>
      </c>
      <c r="D22" s="26">
        <f t="shared" si="0"/>
        <v>1375000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1250072.868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51139.3446000001</v>
      </c>
      <c r="P22" s="69">
        <f t="shared" si="5"/>
        <v>69003.6433999999</v>
      </c>
      <c r="Q22" s="69">
        <f>P22+H22+MIN(E7,G7)*M7</f>
        <v>72954.5833999999</v>
      </c>
      <c r="R22" s="69"/>
      <c r="S22" s="82"/>
      <c r="T22" s="83"/>
    </row>
    <row r="23" ht="39.95" customHeight="1" spans="2:20">
      <c r="B23" s="27">
        <v>12</v>
      </c>
      <c r="C23" s="26">
        <f>B7</f>
        <v>125000</v>
      </c>
      <c r="D23" s="26">
        <f t="shared" si="0"/>
        <v>1500000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1363715.856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51139.3446</v>
      </c>
      <c r="P23" s="69">
        <f t="shared" si="5"/>
        <v>69003.6434000001</v>
      </c>
      <c r="Q23" s="69">
        <f>P23+H23+MIN(E7,G7)*M7</f>
        <v>72954.5834000001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1500000</v>
      </c>
      <c r="E24" s="44"/>
      <c r="F24" s="44"/>
      <c r="G24" s="44"/>
      <c r="H24" s="44"/>
      <c r="I24" s="44"/>
      <c r="J24" s="54"/>
      <c r="K24" s="57"/>
      <c r="L24" s="58">
        <f>L23+C7</f>
        <v>1363715.856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1009963.7208</v>
      </c>
      <c r="Q25" s="64">
        <f>SUM(Q12:Q23)</f>
        <v>1057375.0008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1009963.7208</v>
      </c>
      <c r="Q26" s="64">
        <f>SUM(Q12:Q24)</f>
        <v>1057375.0008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1009963.7208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1009963.7208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47411.2800000004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1057375.0008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431752.1352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42"/>
  <sheetViews>
    <sheetView zoomScale="55" zoomScaleNormal="55" topLeftCell="A20" workbookViewId="0">
      <selection activeCell="D45" sqref="D45"/>
    </sheetView>
  </sheetViews>
  <sheetFormatPr defaultColWidth="9" defaultRowHeight="23.2"/>
  <cols>
    <col min="1" max="1" width="3.25" style="5" customWidth="1"/>
    <col min="2" max="2" width="17.25" style="5" customWidth="1"/>
    <col min="3" max="3" width="26.375" style="5" customWidth="1"/>
    <col min="4" max="4" width="29.125" style="5" customWidth="1"/>
    <col min="5" max="5" width="30.375" style="5" customWidth="1"/>
    <col min="6" max="6" width="18.875" style="5" customWidth="1"/>
    <col min="7" max="7" width="21.75" style="5" customWidth="1"/>
    <col min="8" max="8" width="26" style="5" customWidth="1"/>
    <col min="9" max="9" width="31.625" style="5" customWidth="1"/>
    <col min="10" max="10" width="25.125" style="5" customWidth="1"/>
    <col min="11" max="11" width="25.5" style="5" customWidth="1"/>
    <col min="12" max="12" width="24.875" style="5" customWidth="1"/>
    <col min="13" max="13" width="31" style="5" customWidth="1"/>
    <col min="14" max="14" width="27.625" style="5" customWidth="1"/>
    <col min="15" max="15" width="39.875" style="5" customWidth="1"/>
    <col min="16" max="16" width="33.5" style="5" customWidth="1"/>
    <col min="17" max="17" width="21.25" style="5" customWidth="1"/>
    <col min="18" max="18" width="18.5" style="5" customWidth="1"/>
    <col min="19" max="19" width="15.875" style="5" customWidth="1"/>
    <col min="20" max="20" width="17" style="5" customWidth="1"/>
    <col min="21" max="16384" width="9" style="5"/>
  </cols>
  <sheetData>
    <row r="2" spans="2:20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81" customHeight="1" spans="2:20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2"/>
    </row>
    <row r="4" ht="75" customHeight="1" spans="2:20"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3"/>
    </row>
    <row r="5" ht="39.95" customHeight="1" spans="2:23">
      <c r="B5" s="12" t="s">
        <v>2</v>
      </c>
      <c r="C5" s="13" t="s">
        <v>3</v>
      </c>
      <c r="D5" s="14" t="s">
        <v>4</v>
      </c>
      <c r="E5" s="14" t="s">
        <v>5</v>
      </c>
      <c r="F5" s="38" t="s">
        <v>6</v>
      </c>
      <c r="G5" s="38" t="s">
        <v>7</v>
      </c>
      <c r="H5" s="39" t="s">
        <v>8</v>
      </c>
      <c r="I5" s="39"/>
      <c r="J5" s="39"/>
      <c r="K5" s="39"/>
      <c r="L5" s="50" t="s">
        <v>9</v>
      </c>
      <c r="M5" s="50"/>
      <c r="N5" s="66" t="s">
        <v>10</v>
      </c>
      <c r="O5" s="66"/>
      <c r="P5" s="66"/>
      <c r="Q5" s="66"/>
      <c r="R5" s="66"/>
      <c r="S5" s="66"/>
      <c r="T5" s="74" t="s">
        <v>11</v>
      </c>
      <c r="U5" s="86"/>
      <c r="V5" s="86"/>
      <c r="W5" s="86"/>
    </row>
    <row r="6" ht="39.95" customHeight="1" spans="2:20">
      <c r="B6" s="15"/>
      <c r="C6" s="16"/>
      <c r="D6" s="17"/>
      <c r="E6" s="17"/>
      <c r="F6" s="40"/>
      <c r="G6" s="40"/>
      <c r="H6" s="41" t="s">
        <v>12</v>
      </c>
      <c r="I6" s="41" t="s">
        <v>13</v>
      </c>
      <c r="J6" s="41" t="s">
        <v>14</v>
      </c>
      <c r="K6" s="41" t="s">
        <v>15</v>
      </c>
      <c r="L6" s="51" t="s">
        <v>16</v>
      </c>
      <c r="M6" s="51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75"/>
    </row>
    <row r="7" ht="39.95" customHeight="1" spans="2:20">
      <c r="B7" s="18">
        <v>166667</v>
      </c>
      <c r="C7" s="19">
        <v>0</v>
      </c>
      <c r="D7" s="20">
        <v>28221</v>
      </c>
      <c r="E7" s="20">
        <v>28221</v>
      </c>
      <c r="F7" s="42">
        <v>28221</v>
      </c>
      <c r="G7" s="42">
        <v>28221</v>
      </c>
      <c r="H7" s="43">
        <v>0.08</v>
      </c>
      <c r="I7" s="43">
        <v>0.02</v>
      </c>
      <c r="J7" s="52">
        <v>3</v>
      </c>
      <c r="K7" s="43">
        <v>0.002</v>
      </c>
      <c r="L7" s="53">
        <v>0.07</v>
      </c>
      <c r="M7" s="53">
        <v>0.07</v>
      </c>
      <c r="N7" s="67">
        <v>0</v>
      </c>
      <c r="O7" s="67">
        <v>0</v>
      </c>
      <c r="P7" s="67">
        <v>0</v>
      </c>
      <c r="Q7" s="67">
        <v>0</v>
      </c>
      <c r="R7" s="67">
        <v>1500</v>
      </c>
      <c r="S7" s="67">
        <v>0</v>
      </c>
      <c r="T7" s="76">
        <v>5000</v>
      </c>
    </row>
    <row r="8" ht="31.5" customHeight="1" spans="2:20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77"/>
    </row>
    <row r="9" ht="75" customHeight="1" spans="2:20">
      <c r="B9" s="23" t="s">
        <v>24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78"/>
    </row>
    <row r="10" ht="39.95" customHeight="1" spans="2:20">
      <c r="B10" s="25" t="s">
        <v>25</v>
      </c>
      <c r="C10" s="26" t="s">
        <v>26</v>
      </c>
      <c r="D10" s="26" t="s">
        <v>27</v>
      </c>
      <c r="E10" s="44" t="s">
        <v>28</v>
      </c>
      <c r="F10" s="44"/>
      <c r="G10" s="44"/>
      <c r="H10" s="44" t="s">
        <v>29</v>
      </c>
      <c r="I10" s="44" t="s">
        <v>30</v>
      </c>
      <c r="J10" s="54" t="s">
        <v>31</v>
      </c>
      <c r="K10" s="55" t="s">
        <v>32</v>
      </c>
      <c r="L10" s="56" t="s">
        <v>33</v>
      </c>
      <c r="M10" s="68" t="s">
        <v>34</v>
      </c>
      <c r="N10" s="68" t="s">
        <v>35</v>
      </c>
      <c r="O10" s="56" t="s">
        <v>36</v>
      </c>
      <c r="P10" s="69" t="s">
        <v>37</v>
      </c>
      <c r="Q10" s="79" t="s">
        <v>38</v>
      </c>
      <c r="R10" s="79"/>
      <c r="S10" s="80" t="s">
        <v>39</v>
      </c>
      <c r="T10" s="81"/>
    </row>
    <row r="11" ht="39.95" customHeight="1" spans="2:20">
      <c r="B11" s="25"/>
      <c r="C11" s="26"/>
      <c r="D11" s="26"/>
      <c r="E11" s="44" t="s">
        <v>40</v>
      </c>
      <c r="F11" s="44" t="s">
        <v>41</v>
      </c>
      <c r="G11" s="44" t="s">
        <v>42</v>
      </c>
      <c r="H11" s="44"/>
      <c r="I11" s="44"/>
      <c r="J11" s="54"/>
      <c r="K11" s="55"/>
      <c r="L11" s="56"/>
      <c r="M11" s="56"/>
      <c r="N11" s="56"/>
      <c r="O11" s="56"/>
      <c r="P11" s="69"/>
      <c r="Q11" s="79"/>
      <c r="R11" s="79"/>
      <c r="S11" s="82"/>
      <c r="T11" s="83"/>
    </row>
    <row r="12" ht="39.95" customHeight="1" spans="2:20">
      <c r="B12" s="27">
        <v>1</v>
      </c>
      <c r="C12" s="26">
        <f>B7</f>
        <v>166667</v>
      </c>
      <c r="D12" s="26">
        <f t="shared" ref="D12:D23" si="0">C12*B12</f>
        <v>166667</v>
      </c>
      <c r="E12" s="44">
        <f>MIN(D7,F7)*H7</f>
        <v>2257.68</v>
      </c>
      <c r="F12" s="44">
        <f>MIN(D7,F7)*I7+J7</f>
        <v>567.42</v>
      </c>
      <c r="G12" s="44">
        <f>MIN(D7,F7)*K7</f>
        <v>56.442</v>
      </c>
      <c r="H12" s="44">
        <f>MIN(E7,G7)*L7</f>
        <v>1975.47</v>
      </c>
      <c r="I12" s="44">
        <f t="shared" ref="I12:I23" si="1">(E12+F12+G12+H12)*B12</f>
        <v>4857.012</v>
      </c>
      <c r="J12" s="54">
        <f>(N7+O7+P7+Q7+R7+S7)*B12</f>
        <v>1500</v>
      </c>
      <c r="K12" s="55">
        <f>T7*B12</f>
        <v>5000</v>
      </c>
      <c r="L12" s="56">
        <f t="shared" ref="L12:L23" si="2">D12-I12-J12-K12</f>
        <v>155309.988</v>
      </c>
      <c r="M12" s="56">
        <f t="shared" ref="M12:M24" si="3">IF(L12&lt;=0,0,IF(L12&lt;=36000,3%,IF(L12&lt;=144000,10%,IF(L12&lt;=300000,20%,IF(L12&lt;=420000,25%,IF(L12&lt;=660000,30%,IF(L12&lt;=960000,35%,45%)))))))</f>
        <v>0.2</v>
      </c>
      <c r="N12" s="56">
        <f t="shared" ref="N12:N24" si="4">IF(L12&lt;=36000,0,IF(L12&lt;=144000,2520,IF(L12&lt;=300000,16920,IF(L12&lt;=420000,31920,IF(L12&lt;=660000,52920,IF(L12&lt;=960000,85920,181920))))))</f>
        <v>16920</v>
      </c>
      <c r="O12" s="56">
        <f>L12*M12-N12</f>
        <v>14141.9976</v>
      </c>
      <c r="P12" s="69">
        <f t="shared" ref="P12:P23" si="5">C12-E12-F12-G12-H12-O12</f>
        <v>147667.9904</v>
      </c>
      <c r="Q12" s="69">
        <f>P12+H12+MIN(E7,G7)*M7</f>
        <v>151618.9304</v>
      </c>
      <c r="R12" s="69"/>
      <c r="S12" s="82"/>
      <c r="T12" s="83"/>
    </row>
    <row r="13" ht="39.95" customHeight="1" spans="2:20">
      <c r="B13" s="27">
        <v>2</v>
      </c>
      <c r="C13" s="26">
        <f>B7</f>
        <v>166667</v>
      </c>
      <c r="D13" s="26">
        <f t="shared" si="0"/>
        <v>333334</v>
      </c>
      <c r="E13" s="44">
        <f>MIN(D7,F7)*H7</f>
        <v>2257.68</v>
      </c>
      <c r="F13" s="44">
        <f>MIN(D7,F7)*I7+J7</f>
        <v>567.42</v>
      </c>
      <c r="G13" s="44">
        <f>MIN(D7,F7)*K7</f>
        <v>56.442</v>
      </c>
      <c r="H13" s="44">
        <f>MIN(E7,G7)*L7</f>
        <v>1975.47</v>
      </c>
      <c r="I13" s="44">
        <f t="shared" si="1"/>
        <v>9714.024</v>
      </c>
      <c r="J13" s="54">
        <f>(N7+O7+P7+Q7+R7+S7)*B13</f>
        <v>3000</v>
      </c>
      <c r="K13" s="55">
        <f>T7*B13</f>
        <v>10000</v>
      </c>
      <c r="L13" s="56">
        <f t="shared" si="2"/>
        <v>310619.976</v>
      </c>
      <c r="M13" s="56">
        <f t="shared" si="3"/>
        <v>0.25</v>
      </c>
      <c r="N13" s="56">
        <f t="shared" si="4"/>
        <v>31920</v>
      </c>
      <c r="O13" s="56">
        <f>L13*M13-N13-O12</f>
        <v>31592.9964</v>
      </c>
      <c r="P13" s="69">
        <f t="shared" si="5"/>
        <v>130216.9916</v>
      </c>
      <c r="Q13" s="69">
        <f>P13+H13+MIN(E7,G7)*M7</f>
        <v>134167.9316</v>
      </c>
      <c r="R13" s="69"/>
      <c r="S13" s="82"/>
      <c r="T13" s="83"/>
    </row>
    <row r="14" ht="39.95" customHeight="1" spans="2:20">
      <c r="B14" s="27">
        <v>3</v>
      </c>
      <c r="C14" s="26">
        <f>B7</f>
        <v>166667</v>
      </c>
      <c r="D14" s="26">
        <f t="shared" si="0"/>
        <v>500001</v>
      </c>
      <c r="E14" s="44">
        <f>MIN(D7,F7)*H7</f>
        <v>2257.68</v>
      </c>
      <c r="F14" s="44">
        <f>MIN(D7,F7)*I7+J7</f>
        <v>567.42</v>
      </c>
      <c r="G14" s="44">
        <f>MIN(D7,F7)*K7</f>
        <v>56.442</v>
      </c>
      <c r="H14" s="44">
        <f>MIN(E7,G7)*L7</f>
        <v>1975.47</v>
      </c>
      <c r="I14" s="44">
        <f t="shared" si="1"/>
        <v>14571.036</v>
      </c>
      <c r="J14" s="54">
        <f>(N7+O7+P7+Q7+R7+S7)*B14</f>
        <v>4500</v>
      </c>
      <c r="K14" s="55">
        <f>T7*B14</f>
        <v>15000</v>
      </c>
      <c r="L14" s="56">
        <f t="shared" si="2"/>
        <v>465929.964</v>
      </c>
      <c r="M14" s="56">
        <f t="shared" si="3"/>
        <v>0.3</v>
      </c>
      <c r="N14" s="56">
        <f t="shared" si="4"/>
        <v>52920</v>
      </c>
      <c r="O14" s="56">
        <f>L14*M14-N14-O13-O12</f>
        <v>41123.9952</v>
      </c>
      <c r="P14" s="69">
        <f t="shared" si="5"/>
        <v>120685.9928</v>
      </c>
      <c r="Q14" s="69">
        <f>P14+H14+MIN(E7,G7)*M7</f>
        <v>124636.9328</v>
      </c>
      <c r="R14" s="69"/>
      <c r="S14" s="82"/>
      <c r="T14" s="83"/>
    </row>
    <row r="15" ht="39.95" customHeight="1" spans="2:20">
      <c r="B15" s="27">
        <v>4</v>
      </c>
      <c r="C15" s="26">
        <f>B7</f>
        <v>166667</v>
      </c>
      <c r="D15" s="26">
        <f t="shared" si="0"/>
        <v>666668</v>
      </c>
      <c r="E15" s="44">
        <f>MIN(D7,F7)*H7</f>
        <v>2257.68</v>
      </c>
      <c r="F15" s="44">
        <f>MIN(D7,F7)*I7+J7</f>
        <v>567.42</v>
      </c>
      <c r="G15" s="44">
        <f>MIN(D7,F7)*K7</f>
        <v>56.442</v>
      </c>
      <c r="H15" s="44">
        <f>MIN(E7,G7)*L7</f>
        <v>1975.47</v>
      </c>
      <c r="I15" s="44">
        <f t="shared" si="1"/>
        <v>19428.048</v>
      </c>
      <c r="J15" s="54">
        <f>(N7+O7+P7+Q7+R7+S7)*B15</f>
        <v>6000</v>
      </c>
      <c r="K15" s="55">
        <f>T7*B15</f>
        <v>20000</v>
      </c>
      <c r="L15" s="56">
        <f t="shared" si="2"/>
        <v>621239.952</v>
      </c>
      <c r="M15" s="56">
        <f t="shared" si="3"/>
        <v>0.3</v>
      </c>
      <c r="N15" s="56">
        <f t="shared" si="4"/>
        <v>52920</v>
      </c>
      <c r="O15" s="56">
        <f>L15*M15-N15-O14-O13-O12</f>
        <v>46592.9964</v>
      </c>
      <c r="P15" s="69">
        <f t="shared" si="5"/>
        <v>115216.9916</v>
      </c>
      <c r="Q15" s="69">
        <f>P15+H15+MIN(E7,G7)*M7</f>
        <v>119167.9316</v>
      </c>
      <c r="R15" s="69"/>
      <c r="S15" s="82"/>
      <c r="T15" s="83"/>
    </row>
    <row r="16" ht="39.95" customHeight="1" spans="2:20">
      <c r="B16" s="27">
        <v>5</v>
      </c>
      <c r="C16" s="26">
        <f>B7</f>
        <v>166667</v>
      </c>
      <c r="D16" s="26">
        <f t="shared" si="0"/>
        <v>833335</v>
      </c>
      <c r="E16" s="44">
        <f>MIN(D7,F7)*H7</f>
        <v>2257.68</v>
      </c>
      <c r="F16" s="44">
        <f>MIN(D7,F7)*I7+J7</f>
        <v>567.42</v>
      </c>
      <c r="G16" s="44">
        <f>MIN(D7,F7)*K7</f>
        <v>56.442</v>
      </c>
      <c r="H16" s="44">
        <f>MIN(E7,G7)*L7</f>
        <v>1975.47</v>
      </c>
      <c r="I16" s="44">
        <f t="shared" si="1"/>
        <v>24285.06</v>
      </c>
      <c r="J16" s="54">
        <f>(N7+O7+P7+Q7+R7+S7)*B16</f>
        <v>7500</v>
      </c>
      <c r="K16" s="55">
        <f>T7*B16</f>
        <v>25000</v>
      </c>
      <c r="L16" s="56">
        <f t="shared" si="2"/>
        <v>776549.94</v>
      </c>
      <c r="M16" s="56">
        <f t="shared" si="3"/>
        <v>0.35</v>
      </c>
      <c r="N16" s="56">
        <f t="shared" si="4"/>
        <v>85920</v>
      </c>
      <c r="O16" s="56">
        <f>L16*M16-N16-O15-O14-O13-O12</f>
        <v>52420.4934</v>
      </c>
      <c r="P16" s="69">
        <f t="shared" si="5"/>
        <v>109389.4946</v>
      </c>
      <c r="Q16" s="69">
        <f>P16+H16+MIN(E7,G7)*M7</f>
        <v>113340.4346</v>
      </c>
      <c r="R16" s="69"/>
      <c r="S16" s="82"/>
      <c r="T16" s="83"/>
    </row>
    <row r="17" ht="39.95" customHeight="1" spans="2:20">
      <c r="B17" s="27">
        <v>6</v>
      </c>
      <c r="C17" s="26">
        <f>B7</f>
        <v>166667</v>
      </c>
      <c r="D17" s="26">
        <f t="shared" si="0"/>
        <v>1000002</v>
      </c>
      <c r="E17" s="44">
        <f>MIN(D7,F7)*H7</f>
        <v>2257.68</v>
      </c>
      <c r="F17" s="44">
        <f>MIN(D7,F7)*I7+J7</f>
        <v>567.42</v>
      </c>
      <c r="G17" s="44">
        <f>MIN(D7,F7)*K7</f>
        <v>56.442</v>
      </c>
      <c r="H17" s="44">
        <f>MIN(E7,G7)*L7</f>
        <v>1975.47</v>
      </c>
      <c r="I17" s="44">
        <f t="shared" si="1"/>
        <v>29142.072</v>
      </c>
      <c r="J17" s="54">
        <f>(N7+O7+P7+Q7+R7+S7)*B17</f>
        <v>9000</v>
      </c>
      <c r="K17" s="55">
        <f>T7*B17</f>
        <v>30000</v>
      </c>
      <c r="L17" s="56">
        <f t="shared" si="2"/>
        <v>931859.928</v>
      </c>
      <c r="M17" s="56">
        <f t="shared" si="3"/>
        <v>0.35</v>
      </c>
      <c r="N17" s="56">
        <f t="shared" si="4"/>
        <v>85920</v>
      </c>
      <c r="O17" s="56">
        <f>L17*M17-N17-O16-O15-O14-O13-O12</f>
        <v>54358.4958</v>
      </c>
      <c r="P17" s="69">
        <f t="shared" si="5"/>
        <v>107451.4922</v>
      </c>
      <c r="Q17" s="69">
        <f>P17+H17+MIN(E7,G7)*M7</f>
        <v>111402.4322</v>
      </c>
      <c r="R17" s="69"/>
      <c r="S17" s="82"/>
      <c r="T17" s="83"/>
    </row>
    <row r="18" ht="39.95" customHeight="1" spans="2:20">
      <c r="B18" s="27">
        <v>7</v>
      </c>
      <c r="C18" s="26">
        <f>B7</f>
        <v>166667</v>
      </c>
      <c r="D18" s="26">
        <f t="shared" si="0"/>
        <v>1166669</v>
      </c>
      <c r="E18" s="44">
        <f>MIN(D7,F7)*H7</f>
        <v>2257.68</v>
      </c>
      <c r="F18" s="44">
        <f>MIN(D7,F7)*I7+J7</f>
        <v>567.42</v>
      </c>
      <c r="G18" s="44">
        <f>MIN(D7,F7)*K7</f>
        <v>56.442</v>
      </c>
      <c r="H18" s="44">
        <f>MIN(E7,G7)*L7</f>
        <v>1975.47</v>
      </c>
      <c r="I18" s="44">
        <f t="shared" si="1"/>
        <v>33999.084</v>
      </c>
      <c r="J18" s="54">
        <f>(N7+O7+P7+Q7+R7+S7)*B18</f>
        <v>10500</v>
      </c>
      <c r="K18" s="55">
        <f>T7*B18</f>
        <v>35000</v>
      </c>
      <c r="L18" s="56">
        <f t="shared" si="2"/>
        <v>1087169.916</v>
      </c>
      <c r="M18" s="56">
        <f t="shared" si="3"/>
        <v>0.45</v>
      </c>
      <c r="N18" s="56">
        <f t="shared" si="4"/>
        <v>181920</v>
      </c>
      <c r="O18" s="56">
        <f>L18*M18-N18-O17-O16-O15-O14-O13-O12</f>
        <v>67075.4874</v>
      </c>
      <c r="P18" s="69">
        <f t="shared" si="5"/>
        <v>94734.5005999999</v>
      </c>
      <c r="Q18" s="69">
        <f>P18+H18+MIN(E7,G7)*M7</f>
        <v>98685.4405999999</v>
      </c>
      <c r="R18" s="69"/>
      <c r="S18" s="82"/>
      <c r="T18" s="83"/>
    </row>
    <row r="19" ht="39.95" customHeight="1" spans="2:20">
      <c r="B19" s="27">
        <v>8</v>
      </c>
      <c r="C19" s="26">
        <f>B7</f>
        <v>166667</v>
      </c>
      <c r="D19" s="26">
        <f t="shared" si="0"/>
        <v>1333336</v>
      </c>
      <c r="E19" s="44">
        <f>MIN(D7,F7)*H7</f>
        <v>2257.68</v>
      </c>
      <c r="F19" s="44">
        <f>MIN(D7,F7)*I7+J7</f>
        <v>567.42</v>
      </c>
      <c r="G19" s="44">
        <f>MIN(D7,F7)*K7</f>
        <v>56.442</v>
      </c>
      <c r="H19" s="44">
        <f>MIN(E7,G7)*L7</f>
        <v>1975.47</v>
      </c>
      <c r="I19" s="44">
        <f t="shared" si="1"/>
        <v>38856.096</v>
      </c>
      <c r="J19" s="54">
        <f>(N7+O7+P7+Q7+R7+S7)*B19</f>
        <v>12000</v>
      </c>
      <c r="K19" s="55">
        <f>T7*B19</f>
        <v>40000</v>
      </c>
      <c r="L19" s="56">
        <f t="shared" si="2"/>
        <v>1242479.904</v>
      </c>
      <c r="M19" s="56">
        <f t="shared" si="3"/>
        <v>0.45</v>
      </c>
      <c r="N19" s="56">
        <f t="shared" si="4"/>
        <v>181920</v>
      </c>
      <c r="O19" s="56">
        <f>L19*M19-N19-O18-O17-O16-O15-O14-O13-O12</f>
        <v>69889.4946</v>
      </c>
      <c r="P19" s="69">
        <f t="shared" si="5"/>
        <v>91920.4933999999</v>
      </c>
      <c r="Q19" s="69">
        <f>P19+H19+MIN(E7,G7)*M7</f>
        <v>95871.4334</v>
      </c>
      <c r="R19" s="69"/>
      <c r="S19" s="82"/>
      <c r="T19" s="83"/>
    </row>
    <row r="20" ht="39.95" customHeight="1" spans="2:20">
      <c r="B20" s="27">
        <v>9</v>
      </c>
      <c r="C20" s="26">
        <f>B7</f>
        <v>166667</v>
      </c>
      <c r="D20" s="26">
        <f t="shared" si="0"/>
        <v>1500003</v>
      </c>
      <c r="E20" s="44">
        <f>MIN(D7,F7)*H7</f>
        <v>2257.68</v>
      </c>
      <c r="F20" s="44">
        <f>MIN(D7,F7)*I7+J7</f>
        <v>567.42</v>
      </c>
      <c r="G20" s="44">
        <f>MIN(D7,F7)*K7</f>
        <v>56.442</v>
      </c>
      <c r="H20" s="44">
        <f>MIN(E7,G7)*L7</f>
        <v>1975.47</v>
      </c>
      <c r="I20" s="44">
        <f t="shared" si="1"/>
        <v>43713.108</v>
      </c>
      <c r="J20" s="54">
        <f>(N7+O7+P7+Q7+R7+S7)*B20</f>
        <v>13500</v>
      </c>
      <c r="K20" s="55">
        <f>T7*B20</f>
        <v>45000</v>
      </c>
      <c r="L20" s="56">
        <f t="shared" si="2"/>
        <v>1397789.892</v>
      </c>
      <c r="M20" s="56">
        <f t="shared" si="3"/>
        <v>0.45</v>
      </c>
      <c r="N20" s="56">
        <f t="shared" si="4"/>
        <v>181920</v>
      </c>
      <c r="O20" s="56">
        <f>L20*M20-N20-O19-O18-O17-O16-O15-O14-O13-O12</f>
        <v>69889.4946</v>
      </c>
      <c r="P20" s="69">
        <f t="shared" si="5"/>
        <v>91920.4934</v>
      </c>
      <c r="Q20" s="69">
        <f>P20+H20+MIN(E7,G7)*M7</f>
        <v>95871.4334</v>
      </c>
      <c r="R20" s="69"/>
      <c r="S20" s="82"/>
      <c r="T20" s="83"/>
    </row>
    <row r="21" ht="39.95" customHeight="1" spans="2:20">
      <c r="B21" s="27">
        <v>10</v>
      </c>
      <c r="C21" s="26">
        <f>B7</f>
        <v>166667</v>
      </c>
      <c r="D21" s="26">
        <f t="shared" si="0"/>
        <v>1666670</v>
      </c>
      <c r="E21" s="44">
        <f>MIN(D7,F7)*H7</f>
        <v>2257.68</v>
      </c>
      <c r="F21" s="44">
        <f>MIN(D7,F7)*I7+J7</f>
        <v>567.42</v>
      </c>
      <c r="G21" s="44">
        <f>MIN(D7,F7)*K7</f>
        <v>56.442</v>
      </c>
      <c r="H21" s="44">
        <f>MIN(E7,G7)*L7</f>
        <v>1975.47</v>
      </c>
      <c r="I21" s="44">
        <f t="shared" si="1"/>
        <v>48570.12</v>
      </c>
      <c r="J21" s="54">
        <f>(N7+O7+P7+Q7+R7+S7)*B21</f>
        <v>15000</v>
      </c>
      <c r="K21" s="55">
        <f>T7*B21</f>
        <v>50000</v>
      </c>
      <c r="L21" s="56">
        <f t="shared" si="2"/>
        <v>1553099.88</v>
      </c>
      <c r="M21" s="56">
        <f t="shared" si="3"/>
        <v>0.45</v>
      </c>
      <c r="N21" s="56">
        <f t="shared" si="4"/>
        <v>181920</v>
      </c>
      <c r="O21" s="56">
        <f>L21*M21-N21-O20-O19-O18-O17-O16-O15-O14-O13-O12</f>
        <v>69889.4946</v>
      </c>
      <c r="P21" s="69">
        <f t="shared" si="5"/>
        <v>91920.4934</v>
      </c>
      <c r="Q21" s="69">
        <f>P21+H21+MIN(E7,G7)*M7</f>
        <v>95871.4334</v>
      </c>
      <c r="R21" s="69"/>
      <c r="S21" s="82"/>
      <c r="T21" s="83"/>
    </row>
    <row r="22" ht="39.95" customHeight="1" spans="2:20">
      <c r="B22" s="27">
        <v>11</v>
      </c>
      <c r="C22" s="26">
        <f>B7</f>
        <v>166667</v>
      </c>
      <c r="D22" s="26">
        <f t="shared" si="0"/>
        <v>1833337</v>
      </c>
      <c r="E22" s="44">
        <f>MIN(D7,F7)*H7</f>
        <v>2257.68</v>
      </c>
      <c r="F22" s="44">
        <f>MIN(D7,F7)*I7+J7</f>
        <v>567.42</v>
      </c>
      <c r="G22" s="44">
        <f>MIN(D7,F7)*K7</f>
        <v>56.442</v>
      </c>
      <c r="H22" s="44">
        <f>MIN(E7,G7)*L7</f>
        <v>1975.47</v>
      </c>
      <c r="I22" s="44">
        <f t="shared" si="1"/>
        <v>53427.132</v>
      </c>
      <c r="J22" s="54">
        <f>(N7+O7+P7+Q7+R7+S7)*B22</f>
        <v>16500</v>
      </c>
      <c r="K22" s="55">
        <f>T7*B22</f>
        <v>55000</v>
      </c>
      <c r="L22" s="56">
        <f t="shared" si="2"/>
        <v>1708409.868</v>
      </c>
      <c r="M22" s="56">
        <f t="shared" si="3"/>
        <v>0.45</v>
      </c>
      <c r="N22" s="56">
        <f t="shared" si="4"/>
        <v>181920</v>
      </c>
      <c r="O22" s="56">
        <f>L22*M22-N22-O21-O20-O19-O18-O17-O16-O15-O14-O13-O12</f>
        <v>69889.4946</v>
      </c>
      <c r="P22" s="69">
        <f t="shared" si="5"/>
        <v>91920.4934</v>
      </c>
      <c r="Q22" s="69">
        <f>P22+H22+MIN(E7,G7)*M7</f>
        <v>95871.4334</v>
      </c>
      <c r="R22" s="69"/>
      <c r="S22" s="82"/>
      <c r="T22" s="83"/>
    </row>
    <row r="23" ht="39.95" customHeight="1" spans="2:20">
      <c r="B23" s="27">
        <v>12</v>
      </c>
      <c r="C23" s="26">
        <f>B7</f>
        <v>166667</v>
      </c>
      <c r="D23" s="26">
        <f t="shared" si="0"/>
        <v>2000004</v>
      </c>
      <c r="E23" s="44">
        <f>MIN(D7,F7)*H7</f>
        <v>2257.68</v>
      </c>
      <c r="F23" s="44">
        <f>MIN(D7,F7)*I7+J7</f>
        <v>567.42</v>
      </c>
      <c r="G23" s="44">
        <f>MIN(D7,F7)*K7</f>
        <v>56.442</v>
      </c>
      <c r="H23" s="44">
        <f>MIN(E7,G7)*L7</f>
        <v>1975.47</v>
      </c>
      <c r="I23" s="44">
        <f t="shared" si="1"/>
        <v>58284.144</v>
      </c>
      <c r="J23" s="54">
        <f>(N7+O7+P7+Q7+R7+S7)*B23</f>
        <v>18000</v>
      </c>
      <c r="K23" s="55">
        <f>T7*B23</f>
        <v>60000</v>
      </c>
      <c r="L23" s="56">
        <f t="shared" si="2"/>
        <v>1863719.856</v>
      </c>
      <c r="M23" s="56">
        <f t="shared" si="3"/>
        <v>0.45</v>
      </c>
      <c r="N23" s="56">
        <f t="shared" si="4"/>
        <v>181920</v>
      </c>
      <c r="O23" s="56">
        <f>L23*M23-N23-O22-O21-O20-O19-O18-O17-O16-O15-O14-O13-O12</f>
        <v>69889.4946</v>
      </c>
      <c r="P23" s="69">
        <f t="shared" si="5"/>
        <v>91920.4934</v>
      </c>
      <c r="Q23" s="69">
        <f>P23+H23+MIN(E7,G7)*M7</f>
        <v>95871.4334</v>
      </c>
      <c r="R23" s="69"/>
      <c r="S23" s="82"/>
      <c r="T23" s="83"/>
    </row>
    <row r="24" ht="39.95" customHeight="1" spans="2:20">
      <c r="B24" s="25" t="s">
        <v>3</v>
      </c>
      <c r="C24" s="26">
        <f>C7</f>
        <v>0</v>
      </c>
      <c r="D24" s="26">
        <f>D23+C7</f>
        <v>2000004</v>
      </c>
      <c r="E24" s="44"/>
      <c r="F24" s="44"/>
      <c r="G24" s="44"/>
      <c r="H24" s="44"/>
      <c r="I24" s="44"/>
      <c r="J24" s="54"/>
      <c r="K24" s="57"/>
      <c r="L24" s="58">
        <f>L23+C7</f>
        <v>1863719.856</v>
      </c>
      <c r="M24" s="58">
        <f t="shared" si="3"/>
        <v>0.45</v>
      </c>
      <c r="N24" s="58">
        <f t="shared" si="4"/>
        <v>181920</v>
      </c>
      <c r="O24" s="56">
        <f>L24*M24-N24-O23-O22-O21-O20-O19-O18-O17-O16-O15-O14-O13-O12</f>
        <v>0</v>
      </c>
      <c r="P24" s="69">
        <f>C7-O24</f>
        <v>0</v>
      </c>
      <c r="Q24" s="69">
        <f>P24</f>
        <v>0</v>
      </c>
      <c r="R24" s="69"/>
      <c r="S24" s="82"/>
      <c r="T24" s="83"/>
    </row>
    <row r="25" ht="39.95" customHeight="1" spans="2:20">
      <c r="B25" s="28"/>
      <c r="C25" s="29"/>
      <c r="D25" s="29"/>
      <c r="E25" s="29"/>
      <c r="F25" s="29"/>
      <c r="G25" s="29"/>
      <c r="H25" s="29"/>
      <c r="I25" s="29"/>
      <c r="J25" s="59"/>
      <c r="K25" s="60"/>
      <c r="L25" s="61"/>
      <c r="M25" s="61"/>
      <c r="N25" s="70"/>
      <c r="O25" s="63" t="s">
        <v>43</v>
      </c>
      <c r="P25" s="64">
        <f>SUM(P12:P23)</f>
        <v>1284965.9208</v>
      </c>
      <c r="Q25" s="64">
        <f>SUM(Q12:Q23)</f>
        <v>1332377.2008</v>
      </c>
      <c r="R25" s="64"/>
      <c r="S25" s="82"/>
      <c r="T25" s="83"/>
    </row>
    <row r="26" ht="39.95" customHeight="1" spans="2:20">
      <c r="B26" s="30"/>
      <c r="C26" s="31"/>
      <c r="D26" s="31"/>
      <c r="E26" s="31"/>
      <c r="F26" s="31"/>
      <c r="G26" s="31"/>
      <c r="H26" s="31"/>
      <c r="I26" s="31"/>
      <c r="J26" s="62"/>
      <c r="K26" s="63" t="s">
        <v>44</v>
      </c>
      <c r="L26" s="64">
        <f>C7</f>
        <v>0</v>
      </c>
      <c r="M26" s="63" t="s">
        <v>45</v>
      </c>
      <c r="N26" s="64">
        <f>P24</f>
        <v>0</v>
      </c>
      <c r="O26" s="63" t="s">
        <v>46</v>
      </c>
      <c r="P26" s="64">
        <f>SUM(P12:P24)</f>
        <v>1284965.9208</v>
      </c>
      <c r="Q26" s="64">
        <f>SUM(Q12:Q24)</f>
        <v>1332377.2008</v>
      </c>
      <c r="R26" s="64"/>
      <c r="S26" s="82"/>
      <c r="T26" s="83"/>
    </row>
    <row r="27" ht="39.95" customHeight="1" spans="2:20">
      <c r="B27" s="32"/>
      <c r="C27" s="33"/>
      <c r="D27" s="33"/>
      <c r="E27" s="33"/>
      <c r="F27" s="33"/>
      <c r="G27" s="33"/>
      <c r="H27" s="33"/>
      <c r="I27" s="33"/>
      <c r="J27" s="65"/>
      <c r="K27" s="60"/>
      <c r="L27" s="61"/>
      <c r="M27" s="61"/>
      <c r="N27" s="61"/>
      <c r="O27" s="61"/>
      <c r="P27" s="61"/>
      <c r="Q27" s="61"/>
      <c r="R27" s="70"/>
      <c r="S27" s="82"/>
      <c r="T27" s="83"/>
    </row>
    <row r="28" ht="30" customHeight="1" spans="2:20">
      <c r="B28" s="34" t="s">
        <v>47</v>
      </c>
      <c r="C28" s="35"/>
      <c r="D28" s="35"/>
      <c r="E28" s="35"/>
      <c r="F28" s="45">
        <f>P25</f>
        <v>1284965.9208</v>
      </c>
      <c r="G28" s="45"/>
      <c r="H28" s="46" t="s">
        <v>48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82"/>
      <c r="T28" s="83"/>
    </row>
    <row r="29" ht="30" customHeight="1" spans="2:20">
      <c r="B29" s="34"/>
      <c r="C29" s="35"/>
      <c r="D29" s="35"/>
      <c r="E29" s="3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82"/>
      <c r="T29" s="83"/>
    </row>
    <row r="30" ht="30" customHeight="1" spans="2:20">
      <c r="B30" s="34"/>
      <c r="C30" s="35"/>
      <c r="D30" s="35"/>
      <c r="E30" s="3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82"/>
      <c r="T30" s="83"/>
    </row>
    <row r="31" ht="30" customHeight="1" spans="2:20">
      <c r="B31" s="34" t="s">
        <v>49</v>
      </c>
      <c r="C31" s="35"/>
      <c r="D31" s="35"/>
      <c r="E31" s="35"/>
      <c r="F31" s="45">
        <f>P26</f>
        <v>1284965.9208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82"/>
      <c r="T31" s="83"/>
    </row>
    <row r="32" ht="30" customHeight="1" spans="2:20">
      <c r="B32" s="34"/>
      <c r="C32" s="35"/>
      <c r="D32" s="35"/>
      <c r="E32" s="3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82"/>
      <c r="T32" s="83"/>
    </row>
    <row r="33" ht="30" customHeight="1" spans="2:20">
      <c r="B33" s="34"/>
      <c r="C33" s="35"/>
      <c r="D33" s="35"/>
      <c r="E33" s="35"/>
      <c r="F33" s="45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82"/>
      <c r="T33" s="83"/>
    </row>
    <row r="34" ht="30" customHeight="1" spans="2:20">
      <c r="B34" s="34" t="s">
        <v>50</v>
      </c>
      <c r="C34" s="35"/>
      <c r="D34" s="35"/>
      <c r="E34" s="35"/>
      <c r="F34" s="45">
        <f>Q25-P25</f>
        <v>47411.2800000003</v>
      </c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82"/>
      <c r="T34" s="83"/>
    </row>
    <row r="35" ht="30" customHeight="1" spans="2:20">
      <c r="B35" s="34"/>
      <c r="C35" s="35"/>
      <c r="D35" s="35"/>
      <c r="E35" s="35"/>
      <c r="F35" s="45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82"/>
      <c r="T35" s="83"/>
    </row>
    <row r="36" ht="30" customHeight="1" spans="2:20">
      <c r="B36" s="34"/>
      <c r="C36" s="35"/>
      <c r="D36" s="35"/>
      <c r="E36" s="3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82"/>
      <c r="T36" s="83"/>
    </row>
    <row r="37" ht="30" customHeight="1" spans="2:20">
      <c r="B37" s="34" t="s">
        <v>51</v>
      </c>
      <c r="C37" s="35"/>
      <c r="D37" s="35"/>
      <c r="E37" s="35"/>
      <c r="F37" s="45">
        <f>F31+F34</f>
        <v>1332377.2008</v>
      </c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82"/>
      <c r="T37" s="83"/>
    </row>
    <row r="38" ht="30" customHeight="1" spans="2:20">
      <c r="B38" s="34"/>
      <c r="C38" s="35"/>
      <c r="D38" s="35"/>
      <c r="E38" s="35"/>
      <c r="F38" s="45"/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82"/>
      <c r="T38" s="83"/>
    </row>
    <row r="39" ht="30" customHeight="1" spans="2:20">
      <c r="B39" s="34"/>
      <c r="C39" s="35"/>
      <c r="D39" s="35"/>
      <c r="E39" s="35"/>
      <c r="F39" s="45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82"/>
      <c r="T39" s="83"/>
    </row>
    <row r="40" ht="30" customHeight="1" spans="2:20">
      <c r="B40" s="34" t="s">
        <v>52</v>
      </c>
      <c r="C40" s="35"/>
      <c r="D40" s="35"/>
      <c r="E40" s="35"/>
      <c r="F40" s="45">
        <f>SUM(O12:O24)</f>
        <v>656753.9352</v>
      </c>
      <c r="G40" s="45"/>
      <c r="H40" s="47" t="s">
        <v>53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82"/>
      <c r="T40" s="83"/>
    </row>
    <row r="41" ht="30" customHeight="1" spans="2:20">
      <c r="B41" s="34"/>
      <c r="C41" s="35"/>
      <c r="D41" s="35"/>
      <c r="E41" s="35"/>
      <c r="F41" s="45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82"/>
      <c r="T41" s="83"/>
    </row>
    <row r="42" ht="54.75" customHeight="1" spans="2:20">
      <c r="B42" s="36"/>
      <c r="C42" s="37"/>
      <c r="D42" s="37"/>
      <c r="E42" s="3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84"/>
      <c r="T42" s="85"/>
    </row>
  </sheetData>
  <mergeCells count="58">
    <mergeCell ref="B4:T4"/>
    <mergeCell ref="H5:K5"/>
    <mergeCell ref="L5:M5"/>
    <mergeCell ref="N5:S5"/>
    <mergeCell ref="B9:T9"/>
    <mergeCell ref="E10:G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K25:N25"/>
    <mergeCell ref="Q25:R25"/>
    <mergeCell ref="Q26:R26"/>
    <mergeCell ref="K27:R27"/>
    <mergeCell ref="B5:B6"/>
    <mergeCell ref="B10:B11"/>
    <mergeCell ref="C5:C6"/>
    <mergeCell ref="C10:C11"/>
    <mergeCell ref="D5:D6"/>
    <mergeCell ref="D10:D11"/>
    <mergeCell ref="E5:E6"/>
    <mergeCell ref="F5:F6"/>
    <mergeCell ref="G5:G6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T5:T6"/>
    <mergeCell ref="B2:T3"/>
    <mergeCell ref="Q10:R11"/>
    <mergeCell ref="S10:T42"/>
    <mergeCell ref="B25:J27"/>
    <mergeCell ref="B28:E30"/>
    <mergeCell ref="F28:G30"/>
    <mergeCell ref="H28:R39"/>
    <mergeCell ref="B31:E33"/>
    <mergeCell ref="F31:G33"/>
    <mergeCell ref="B34:E36"/>
    <mergeCell ref="F34:G36"/>
    <mergeCell ref="B37:E39"/>
    <mergeCell ref="F37:G39"/>
    <mergeCell ref="B40:E42"/>
    <mergeCell ref="F40:G42"/>
    <mergeCell ref="H40:R4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40</vt:lpstr>
      <vt:lpstr>50</vt:lpstr>
      <vt:lpstr>60</vt:lpstr>
      <vt:lpstr>80</vt:lpstr>
      <vt:lpstr>90</vt:lpstr>
      <vt:lpstr>100</vt:lpstr>
      <vt:lpstr>120</vt:lpstr>
      <vt:lpstr>150</vt:lpstr>
      <vt:lpstr>200</vt:lpstr>
      <vt:lpstr>250</vt:lpstr>
      <vt:lpstr>300</vt:lpstr>
      <vt:lpstr>350</vt:lpstr>
      <vt:lpstr>400 </vt:lpstr>
      <vt:lpstr>500</vt:lpstr>
      <vt:lpstr>获得感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2021-10-29T13:17:00Z</dcterms:created>
  <dcterms:modified xsi:type="dcterms:W3CDTF">2021-12-13T13:41:03Z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